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2E70AE-3876-46A2-B76B-35425EFCF898}" xr6:coauthVersionLast="47" xr6:coauthVersionMax="47" xr10:uidLastSave="{00000000-0000-0000-0000-000000000000}"/>
  <bookViews>
    <workbookView xWindow="-120" yWindow="-120" windowWidth="38640" windowHeight="15720" firstSheet="8" activeTab="11"/>
  </bookViews>
  <sheets>
    <sheet name="PSA" sheetId="1" r:id="rId1"/>
    <sheet name="PrepayBOND" sheetId="9" r:id="rId2"/>
    <sheet name="Sheet1" sheetId="14" r:id="rId3"/>
    <sheet name="GNMA graph" sheetId="3" r:id="rId4"/>
    <sheet name="GNMA" sheetId="2" r:id="rId5"/>
    <sheet name="Total Coupon" sheetId="12" r:id="rId6"/>
    <sheet name="IOPO" sheetId="11" r:id="rId7"/>
    <sheet name="Tranches" sheetId="6" r:id="rId8"/>
    <sheet name="PrepayCTranche" sheetId="10" r:id="rId9"/>
    <sheet name="Tranche Payments" sheetId="8" r:id="rId10"/>
    <sheet name="Tranche Balances" sheetId="7" r:id="rId11"/>
    <sheet name="Sheet4" sheetId="5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C26" i="2"/>
  <c r="D26" i="2"/>
  <c r="E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C56" i="2"/>
  <c r="D56" i="2"/>
  <c r="E56" i="2"/>
  <c r="F56" i="2"/>
  <c r="G56" i="2"/>
  <c r="H56" i="2"/>
  <c r="I56" i="2"/>
  <c r="J56" i="2"/>
  <c r="K56" i="2"/>
  <c r="A1" i="3"/>
  <c r="B1" i="3"/>
  <c r="C1" i="3"/>
  <c r="D1" i="3"/>
  <c r="E1" i="3"/>
  <c r="A2" i="3"/>
  <c r="B2" i="3"/>
  <c r="C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H4" i="11"/>
  <c r="I4" i="11"/>
  <c r="C5" i="11"/>
  <c r="D5" i="11"/>
  <c r="E5" i="11"/>
  <c r="F5" i="11"/>
  <c r="H5" i="11"/>
  <c r="I5" i="11"/>
  <c r="K5" i="11"/>
  <c r="L5" i="11"/>
  <c r="C6" i="11"/>
  <c r="D6" i="11"/>
  <c r="E6" i="11"/>
  <c r="F6" i="11"/>
  <c r="H6" i="11"/>
  <c r="I6" i="11"/>
  <c r="J6" i="11"/>
  <c r="C7" i="11"/>
  <c r="D7" i="11"/>
  <c r="E7" i="11"/>
  <c r="F7" i="11"/>
  <c r="H7" i="11"/>
  <c r="I7" i="11"/>
  <c r="J7" i="11"/>
  <c r="C8" i="11"/>
  <c r="D8" i="11"/>
  <c r="E8" i="11"/>
  <c r="F8" i="11"/>
  <c r="H8" i="11"/>
  <c r="I8" i="11"/>
  <c r="J8" i="11"/>
  <c r="C9" i="11"/>
  <c r="D9" i="11"/>
  <c r="E9" i="11"/>
  <c r="F9" i="11"/>
  <c r="H9" i="11"/>
  <c r="I9" i="11"/>
  <c r="J9" i="11"/>
  <c r="C10" i="11"/>
  <c r="D10" i="11"/>
  <c r="E10" i="11"/>
  <c r="F10" i="11"/>
  <c r="H10" i="11"/>
  <c r="I10" i="11"/>
  <c r="J10" i="11"/>
  <c r="C11" i="11"/>
  <c r="D11" i="11"/>
  <c r="E11" i="11"/>
  <c r="F11" i="11"/>
  <c r="H11" i="11"/>
  <c r="I11" i="11"/>
  <c r="C12" i="11"/>
  <c r="D12" i="11"/>
  <c r="E12" i="11"/>
  <c r="F12" i="11"/>
  <c r="H12" i="11"/>
  <c r="I12" i="11"/>
  <c r="C13" i="11"/>
  <c r="D13" i="11"/>
  <c r="E13" i="11"/>
  <c r="F13" i="11"/>
  <c r="H13" i="11"/>
  <c r="I13" i="11"/>
  <c r="C14" i="11"/>
  <c r="D14" i="11"/>
  <c r="E14" i="11"/>
  <c r="F14" i="11"/>
  <c r="H14" i="11"/>
  <c r="I14" i="11"/>
  <c r="C15" i="11"/>
  <c r="D15" i="11"/>
  <c r="E15" i="11"/>
  <c r="F15" i="11"/>
  <c r="H15" i="11"/>
  <c r="I15" i="11"/>
  <c r="C16" i="11"/>
  <c r="D16" i="11"/>
  <c r="E16" i="11"/>
  <c r="F16" i="11"/>
  <c r="H16" i="11"/>
  <c r="I16" i="11"/>
  <c r="C17" i="11"/>
  <c r="D17" i="11"/>
  <c r="E17" i="11"/>
  <c r="F17" i="11"/>
  <c r="H17" i="11"/>
  <c r="I17" i="11"/>
  <c r="C18" i="11"/>
  <c r="D18" i="11"/>
  <c r="E18" i="11"/>
  <c r="F18" i="11"/>
  <c r="H18" i="11"/>
  <c r="I18" i="11"/>
  <c r="C19" i="11"/>
  <c r="D19" i="11"/>
  <c r="E19" i="11"/>
  <c r="F19" i="11"/>
  <c r="H19" i="11"/>
  <c r="I19" i="11"/>
  <c r="C20" i="11"/>
  <c r="D20" i="11"/>
  <c r="E20" i="11"/>
  <c r="F20" i="11"/>
  <c r="H20" i="11"/>
  <c r="I20" i="11"/>
  <c r="C21" i="11"/>
  <c r="D21" i="11"/>
  <c r="E21" i="11"/>
  <c r="F21" i="11"/>
  <c r="H21" i="11"/>
  <c r="I21" i="11"/>
  <c r="C22" i="11"/>
  <c r="D22" i="11"/>
  <c r="E22" i="11"/>
  <c r="F22" i="11"/>
  <c r="H22" i="11"/>
  <c r="I22" i="11"/>
  <c r="C23" i="11"/>
  <c r="D23" i="11"/>
  <c r="E23" i="11"/>
  <c r="F23" i="11"/>
  <c r="H23" i="11"/>
  <c r="I23" i="11"/>
  <c r="C24" i="11"/>
  <c r="D24" i="11"/>
  <c r="E24" i="11"/>
  <c r="F24" i="11"/>
  <c r="H24" i="11"/>
  <c r="I24" i="11"/>
  <c r="C25" i="11"/>
  <c r="D25" i="11"/>
  <c r="E25" i="11"/>
  <c r="F25" i="11"/>
  <c r="H25" i="11"/>
  <c r="I25" i="11"/>
  <c r="C26" i="11"/>
  <c r="D26" i="11"/>
  <c r="E26" i="11"/>
  <c r="F26" i="11"/>
  <c r="H26" i="11"/>
  <c r="I26" i="11"/>
  <c r="C27" i="11"/>
  <c r="D27" i="11"/>
  <c r="E27" i="11"/>
  <c r="F27" i="11"/>
  <c r="H27" i="11"/>
  <c r="I27" i="11"/>
  <c r="C28" i="11"/>
  <c r="D28" i="11"/>
  <c r="E28" i="11"/>
  <c r="F28" i="11"/>
  <c r="H28" i="11"/>
  <c r="I28" i="11"/>
  <c r="C29" i="11"/>
  <c r="D29" i="11"/>
  <c r="E29" i="11"/>
  <c r="F29" i="11"/>
  <c r="H29" i="11"/>
  <c r="I29" i="11"/>
  <c r="C30" i="11"/>
  <c r="D30" i="11"/>
  <c r="E30" i="11"/>
  <c r="F30" i="11"/>
  <c r="H30" i="11"/>
  <c r="I30" i="11"/>
  <c r="C31" i="11"/>
  <c r="D31" i="11"/>
  <c r="E31" i="11"/>
  <c r="F31" i="11"/>
  <c r="H31" i="11"/>
  <c r="I31" i="11"/>
  <c r="C32" i="11"/>
  <c r="D32" i="11"/>
  <c r="E32" i="11"/>
  <c r="F32" i="11"/>
  <c r="H32" i="11"/>
  <c r="I32" i="11"/>
  <c r="C33" i="11"/>
  <c r="D33" i="11"/>
  <c r="E33" i="11"/>
  <c r="F33" i="11"/>
  <c r="H33" i="11"/>
  <c r="I33" i="11"/>
  <c r="C34" i="11"/>
  <c r="D34" i="11"/>
  <c r="E34" i="11"/>
  <c r="F34" i="11"/>
  <c r="H34" i="11"/>
  <c r="I34" i="11"/>
  <c r="B4" i="9"/>
  <c r="F5" i="9"/>
  <c r="B6" i="9"/>
  <c r="F6" i="9"/>
  <c r="G6" i="9"/>
  <c r="B7" i="9"/>
  <c r="F7" i="9"/>
  <c r="G7" i="9"/>
  <c r="H7" i="9"/>
  <c r="B8" i="9"/>
  <c r="F8" i="9"/>
  <c r="G8" i="9"/>
  <c r="H8" i="9"/>
  <c r="I8" i="9"/>
  <c r="B9" i="9"/>
  <c r="F9" i="9"/>
  <c r="G9" i="9"/>
  <c r="H9" i="9"/>
  <c r="I9" i="9"/>
  <c r="J9" i="9"/>
  <c r="B10" i="9"/>
  <c r="F10" i="9"/>
  <c r="G10" i="9"/>
  <c r="H10" i="9"/>
  <c r="I10" i="9"/>
  <c r="J10" i="9"/>
  <c r="K10" i="9"/>
  <c r="B11" i="9"/>
  <c r="F11" i="9"/>
  <c r="G11" i="9"/>
  <c r="H11" i="9"/>
  <c r="I11" i="9"/>
  <c r="J11" i="9"/>
  <c r="K11" i="9"/>
  <c r="L11" i="9"/>
  <c r="B12" i="9"/>
  <c r="F12" i="9"/>
  <c r="G12" i="9"/>
  <c r="H12" i="9"/>
  <c r="I12" i="9"/>
  <c r="J12" i="9"/>
  <c r="K12" i="9"/>
  <c r="L12" i="9"/>
  <c r="M12" i="9"/>
  <c r="B13" i="9"/>
  <c r="F13" i="9"/>
  <c r="G13" i="9"/>
  <c r="H13" i="9"/>
  <c r="I13" i="9"/>
  <c r="J13" i="9"/>
  <c r="K13" i="9"/>
  <c r="L13" i="9"/>
  <c r="M13" i="9"/>
  <c r="N13" i="9"/>
  <c r="B14" i="9"/>
  <c r="F14" i="9"/>
  <c r="G14" i="9"/>
  <c r="H14" i="9"/>
  <c r="I14" i="9"/>
  <c r="J14" i="9"/>
  <c r="K14" i="9"/>
  <c r="L14" i="9"/>
  <c r="M14" i="9"/>
  <c r="N14" i="9"/>
  <c r="O14" i="9"/>
  <c r="B15" i="9"/>
  <c r="F15" i="9"/>
  <c r="G15" i="9"/>
  <c r="H15" i="9"/>
  <c r="I15" i="9"/>
  <c r="J15" i="9"/>
  <c r="K15" i="9"/>
  <c r="L15" i="9"/>
  <c r="M15" i="9"/>
  <c r="N15" i="9"/>
  <c r="O15" i="9"/>
  <c r="P15" i="9"/>
  <c r="B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B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B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B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C3" i="10"/>
  <c r="D3" i="10"/>
  <c r="E3" i="10"/>
  <c r="F3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J23" i="10"/>
  <c r="K23" i="10"/>
  <c r="L23" i="10"/>
  <c r="M23" i="10"/>
  <c r="B24" i="10"/>
  <c r="C24" i="10"/>
  <c r="J24" i="10"/>
  <c r="K24" i="10"/>
  <c r="L24" i="10"/>
  <c r="M24" i="10"/>
  <c r="B25" i="10"/>
  <c r="C25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B4" i="12"/>
  <c r="C4" i="12"/>
  <c r="D4" i="12"/>
  <c r="E4" i="12"/>
  <c r="F4" i="12"/>
  <c r="G4" i="12"/>
  <c r="H4" i="12"/>
  <c r="K4" i="12"/>
  <c r="L4" i="12"/>
  <c r="M4" i="12"/>
  <c r="N4" i="12"/>
  <c r="O4" i="12"/>
  <c r="R4" i="12"/>
  <c r="T4" i="12"/>
  <c r="B5" i="12"/>
  <c r="C5" i="12"/>
  <c r="D5" i="12"/>
  <c r="E5" i="12"/>
  <c r="F5" i="12"/>
  <c r="G5" i="12"/>
  <c r="H5" i="12"/>
  <c r="K5" i="12"/>
  <c r="L5" i="12"/>
  <c r="M5" i="12"/>
  <c r="N5" i="12"/>
  <c r="O5" i="12"/>
  <c r="R5" i="12"/>
  <c r="T5" i="12"/>
  <c r="B6" i="12"/>
  <c r="C6" i="12"/>
  <c r="D6" i="12"/>
  <c r="E6" i="12"/>
  <c r="F6" i="12"/>
  <c r="G6" i="12"/>
  <c r="H6" i="12"/>
  <c r="K6" i="12"/>
  <c r="L6" i="12"/>
  <c r="M6" i="12"/>
  <c r="N6" i="12"/>
  <c r="O6" i="12"/>
  <c r="R6" i="12"/>
  <c r="T6" i="12"/>
  <c r="B7" i="12"/>
  <c r="C7" i="12"/>
  <c r="D7" i="12"/>
  <c r="E7" i="12"/>
  <c r="F7" i="12"/>
  <c r="G7" i="12"/>
  <c r="H7" i="12"/>
  <c r="K7" i="12"/>
  <c r="L7" i="12"/>
  <c r="M7" i="12"/>
  <c r="N7" i="12"/>
  <c r="O7" i="12"/>
  <c r="R7" i="12"/>
  <c r="T7" i="12"/>
  <c r="B8" i="12"/>
  <c r="C8" i="12"/>
  <c r="D8" i="12"/>
  <c r="E8" i="12"/>
  <c r="F8" i="12"/>
  <c r="G8" i="12"/>
  <c r="H8" i="12"/>
  <c r="K8" i="12"/>
  <c r="L8" i="12"/>
  <c r="M8" i="12"/>
  <c r="N8" i="12"/>
  <c r="O8" i="12"/>
  <c r="R8" i="12"/>
  <c r="T8" i="12"/>
  <c r="B9" i="12"/>
  <c r="C9" i="12"/>
  <c r="D9" i="12"/>
  <c r="E9" i="12"/>
  <c r="F9" i="12"/>
  <c r="G9" i="12"/>
  <c r="H9" i="12"/>
  <c r="K9" i="12"/>
  <c r="L9" i="12"/>
  <c r="M9" i="12"/>
  <c r="N9" i="12"/>
  <c r="O9" i="12"/>
  <c r="R9" i="12"/>
  <c r="T9" i="12"/>
  <c r="B10" i="12"/>
  <c r="C10" i="12"/>
  <c r="D10" i="12"/>
  <c r="E10" i="12"/>
  <c r="F10" i="12"/>
  <c r="G10" i="12"/>
  <c r="H10" i="12"/>
  <c r="K10" i="12"/>
  <c r="L10" i="12"/>
  <c r="M10" i="12"/>
  <c r="N10" i="12"/>
  <c r="O10" i="12"/>
  <c r="R10" i="12"/>
  <c r="T10" i="12"/>
  <c r="B11" i="12"/>
  <c r="C11" i="12"/>
  <c r="D11" i="12"/>
  <c r="E11" i="12"/>
  <c r="F11" i="12"/>
  <c r="G11" i="12"/>
  <c r="H11" i="12"/>
  <c r="K11" i="12"/>
  <c r="L11" i="12"/>
  <c r="M11" i="12"/>
  <c r="N11" i="12"/>
  <c r="O11" i="12"/>
  <c r="R11" i="12"/>
  <c r="T11" i="12"/>
  <c r="B12" i="12"/>
  <c r="C12" i="12"/>
  <c r="D12" i="12"/>
  <c r="E12" i="12"/>
  <c r="F12" i="12"/>
  <c r="G12" i="12"/>
  <c r="H12" i="12"/>
  <c r="K12" i="12"/>
  <c r="L12" i="12"/>
  <c r="M12" i="12"/>
  <c r="N12" i="12"/>
  <c r="O12" i="12"/>
  <c r="R12" i="12"/>
  <c r="T12" i="12"/>
  <c r="B13" i="12"/>
  <c r="C13" i="12"/>
  <c r="D13" i="12"/>
  <c r="E13" i="12"/>
  <c r="F13" i="12"/>
  <c r="G13" i="12"/>
  <c r="H13" i="12"/>
  <c r="K13" i="12"/>
  <c r="L13" i="12"/>
  <c r="M13" i="12"/>
  <c r="N13" i="12"/>
  <c r="O13" i="12"/>
  <c r="R13" i="12"/>
  <c r="T13" i="12"/>
  <c r="B14" i="12"/>
  <c r="C14" i="12"/>
  <c r="D14" i="12"/>
  <c r="E14" i="12"/>
  <c r="F14" i="12"/>
  <c r="G14" i="12"/>
  <c r="H14" i="12"/>
  <c r="K14" i="12"/>
  <c r="L14" i="12"/>
  <c r="N14" i="12"/>
  <c r="O14" i="12"/>
  <c r="R14" i="12"/>
  <c r="T14" i="12"/>
  <c r="B15" i="12"/>
  <c r="C15" i="12"/>
  <c r="D15" i="12"/>
  <c r="E15" i="12"/>
  <c r="F15" i="12"/>
  <c r="G15" i="12"/>
  <c r="H15" i="12"/>
  <c r="K15" i="12"/>
  <c r="L15" i="12"/>
  <c r="N15" i="12"/>
  <c r="O15" i="12"/>
  <c r="R15" i="12"/>
  <c r="T15" i="12"/>
  <c r="B16" i="12"/>
  <c r="C16" i="12"/>
  <c r="D16" i="12"/>
  <c r="E16" i="12"/>
  <c r="F16" i="12"/>
  <c r="G16" i="12"/>
  <c r="H16" i="12"/>
  <c r="K16" i="12"/>
  <c r="L16" i="12"/>
  <c r="N16" i="12"/>
  <c r="O16" i="12"/>
  <c r="R16" i="12"/>
  <c r="T16" i="12"/>
  <c r="B17" i="12"/>
  <c r="C17" i="12"/>
  <c r="D17" i="12"/>
  <c r="E17" i="12"/>
  <c r="F17" i="12"/>
  <c r="G17" i="12"/>
  <c r="H17" i="12"/>
  <c r="K17" i="12"/>
  <c r="L17" i="12"/>
  <c r="N17" i="12"/>
  <c r="O17" i="12"/>
  <c r="R17" i="12"/>
  <c r="T17" i="12"/>
  <c r="B18" i="12"/>
  <c r="C18" i="12"/>
  <c r="D18" i="12"/>
  <c r="E18" i="12"/>
  <c r="F18" i="12"/>
  <c r="G18" i="12"/>
  <c r="H18" i="12"/>
  <c r="K18" i="12"/>
  <c r="L18" i="12"/>
  <c r="N18" i="12"/>
  <c r="O18" i="12"/>
  <c r="R18" i="12"/>
  <c r="T18" i="12"/>
  <c r="B19" i="12"/>
  <c r="C19" i="12"/>
  <c r="D19" i="12"/>
  <c r="E19" i="12"/>
  <c r="F19" i="12"/>
  <c r="G19" i="12"/>
  <c r="H19" i="12"/>
  <c r="K19" i="12"/>
  <c r="L19" i="12"/>
  <c r="N19" i="12"/>
  <c r="O19" i="12"/>
  <c r="R19" i="12"/>
  <c r="T19" i="12"/>
  <c r="B20" i="12"/>
  <c r="C20" i="12"/>
  <c r="D20" i="12"/>
  <c r="E20" i="12"/>
  <c r="F20" i="12"/>
  <c r="G20" i="12"/>
  <c r="H20" i="12"/>
  <c r="K20" i="12"/>
  <c r="L20" i="12"/>
  <c r="N20" i="12"/>
  <c r="O20" i="12"/>
  <c r="R20" i="12"/>
  <c r="T20" i="12"/>
  <c r="B21" i="12"/>
  <c r="C21" i="12"/>
  <c r="D21" i="12"/>
  <c r="E21" i="12"/>
  <c r="F21" i="12"/>
  <c r="G21" i="12"/>
  <c r="H21" i="12"/>
  <c r="K21" i="12"/>
  <c r="L21" i="12"/>
  <c r="N21" i="12"/>
  <c r="O21" i="12"/>
  <c r="R21" i="12"/>
  <c r="T21" i="12"/>
  <c r="B22" i="12"/>
  <c r="C22" i="12"/>
  <c r="D22" i="12"/>
  <c r="E22" i="12"/>
  <c r="F22" i="12"/>
  <c r="G22" i="12"/>
  <c r="H22" i="12"/>
  <c r="K22" i="12"/>
  <c r="L22" i="12"/>
  <c r="N22" i="12"/>
  <c r="O22" i="12"/>
  <c r="R22" i="12"/>
  <c r="T22" i="12"/>
  <c r="B23" i="12"/>
  <c r="C23" i="12"/>
  <c r="D23" i="12"/>
  <c r="E23" i="12"/>
  <c r="F23" i="12"/>
  <c r="G23" i="12"/>
  <c r="H23" i="12"/>
  <c r="K23" i="12"/>
  <c r="L23" i="12"/>
  <c r="N23" i="12"/>
  <c r="O23" i="12"/>
  <c r="R23" i="12"/>
  <c r="T23" i="12"/>
  <c r="B24" i="12"/>
  <c r="C24" i="12"/>
  <c r="D24" i="12"/>
  <c r="E24" i="12"/>
  <c r="F24" i="12"/>
  <c r="G24" i="12"/>
  <c r="H24" i="12"/>
  <c r="K24" i="12"/>
  <c r="L24" i="12"/>
  <c r="N24" i="12"/>
  <c r="O24" i="12"/>
  <c r="R24" i="12"/>
  <c r="T24" i="12"/>
  <c r="B25" i="12"/>
  <c r="C25" i="12"/>
  <c r="D25" i="12"/>
  <c r="E25" i="12"/>
  <c r="F25" i="12"/>
  <c r="G25" i="12"/>
  <c r="H25" i="12"/>
  <c r="K25" i="12"/>
  <c r="L25" i="12"/>
  <c r="N25" i="12"/>
  <c r="O25" i="12"/>
  <c r="R25" i="12"/>
  <c r="T25" i="12"/>
  <c r="B26" i="12"/>
  <c r="C26" i="12"/>
  <c r="D26" i="12"/>
  <c r="E26" i="12"/>
  <c r="F26" i="12"/>
  <c r="G26" i="12"/>
  <c r="H26" i="12"/>
  <c r="K26" i="12"/>
  <c r="L26" i="12"/>
  <c r="N26" i="12"/>
  <c r="O26" i="12"/>
  <c r="R26" i="12"/>
  <c r="T26" i="12"/>
  <c r="B27" i="12"/>
  <c r="C27" i="12"/>
  <c r="D27" i="12"/>
  <c r="E27" i="12"/>
  <c r="F27" i="12"/>
  <c r="G27" i="12"/>
  <c r="H27" i="12"/>
  <c r="K27" i="12"/>
  <c r="L27" i="12"/>
  <c r="N27" i="12"/>
  <c r="O27" i="12"/>
  <c r="R27" i="12"/>
  <c r="T27" i="12"/>
  <c r="B28" i="12"/>
  <c r="C28" i="12"/>
  <c r="D28" i="12"/>
  <c r="E28" i="12"/>
  <c r="F28" i="12"/>
  <c r="G28" i="12"/>
  <c r="H28" i="12"/>
  <c r="K28" i="12"/>
  <c r="L28" i="12"/>
  <c r="N28" i="12"/>
  <c r="O28" i="12"/>
  <c r="R28" i="12"/>
  <c r="T28" i="12"/>
  <c r="B29" i="12"/>
  <c r="C29" i="12"/>
  <c r="D29" i="12"/>
  <c r="E29" i="12"/>
  <c r="F29" i="12"/>
  <c r="G29" i="12"/>
  <c r="H29" i="12"/>
  <c r="K29" i="12"/>
  <c r="L29" i="12"/>
  <c r="N29" i="12"/>
  <c r="O29" i="12"/>
  <c r="R29" i="12"/>
  <c r="T29" i="12"/>
  <c r="B30" i="12"/>
  <c r="C30" i="12"/>
  <c r="D30" i="12"/>
  <c r="E30" i="12"/>
  <c r="F30" i="12"/>
  <c r="G30" i="12"/>
  <c r="H30" i="12"/>
  <c r="K30" i="12"/>
  <c r="L30" i="12"/>
  <c r="N30" i="12"/>
  <c r="O30" i="12"/>
  <c r="R30" i="12"/>
  <c r="T30" i="12"/>
  <c r="B31" i="12"/>
  <c r="C31" i="12"/>
  <c r="D31" i="12"/>
  <c r="E31" i="12"/>
  <c r="F31" i="12"/>
  <c r="G31" i="12"/>
  <c r="H31" i="12"/>
  <c r="K31" i="12"/>
  <c r="L31" i="12"/>
  <c r="N31" i="12"/>
  <c r="O31" i="12"/>
  <c r="R31" i="12"/>
  <c r="T31" i="12"/>
  <c r="B32" i="12"/>
  <c r="C32" i="12"/>
  <c r="D32" i="12"/>
  <c r="E32" i="12"/>
  <c r="F32" i="12"/>
  <c r="G32" i="12"/>
  <c r="H32" i="12"/>
  <c r="K32" i="12"/>
  <c r="L32" i="12"/>
  <c r="N32" i="12"/>
  <c r="O32" i="12"/>
  <c r="R32" i="12"/>
  <c r="T32" i="12"/>
  <c r="B33" i="12"/>
  <c r="C33" i="12"/>
  <c r="D33" i="12"/>
  <c r="E33" i="12"/>
  <c r="F33" i="12"/>
  <c r="G33" i="12"/>
  <c r="H33" i="12"/>
  <c r="K33" i="12"/>
  <c r="L33" i="12"/>
  <c r="N33" i="12"/>
  <c r="O33" i="12"/>
  <c r="R33" i="12"/>
  <c r="T33" i="12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W11" i="6"/>
  <c r="CX11" i="6"/>
  <c r="CY11" i="6"/>
  <c r="CZ11" i="6"/>
  <c r="DA11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BM13" i="6"/>
  <c r="BY13" i="6"/>
  <c r="CK13" i="6"/>
  <c r="B26" i="6"/>
  <c r="C26" i="6"/>
  <c r="E26" i="6"/>
  <c r="L26" i="6"/>
  <c r="M26" i="6"/>
  <c r="N26" i="6"/>
  <c r="O26" i="6"/>
  <c r="S26" i="6"/>
  <c r="T26" i="6"/>
  <c r="U26" i="6"/>
  <c r="Y26" i="6"/>
  <c r="Z26" i="6"/>
  <c r="AA26" i="6"/>
  <c r="AE26" i="6"/>
  <c r="AF26" i="6"/>
  <c r="AG26" i="6"/>
  <c r="AN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O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O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O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O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O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O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O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O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O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O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O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O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O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O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O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O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O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O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O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O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56" i="6"/>
  <c r="C56" i="6"/>
  <c r="D56" i="6"/>
  <c r="E56" i="6"/>
  <c r="F56" i="6"/>
  <c r="G56" i="6"/>
  <c r="H56" i="6"/>
  <c r="I56" i="6"/>
  <c r="J56" i="6"/>
  <c r="K56" i="6"/>
  <c r="L56" i="6"/>
  <c r="N56" i="6"/>
  <c r="O56" i="6"/>
  <c r="P56" i="6"/>
  <c r="Q56" i="6"/>
  <c r="R56" i="6"/>
  <c r="T56" i="6"/>
  <c r="U56" i="6"/>
  <c r="V56" i="6"/>
  <c r="W56" i="6"/>
  <c r="X56" i="6"/>
  <c r="Z56" i="6"/>
  <c r="AA56" i="6"/>
  <c r="AB56" i="6"/>
  <c r="AC56" i="6"/>
  <c r="AD56" i="6"/>
  <c r="AF56" i="6"/>
  <c r="AG56" i="6"/>
  <c r="AH56" i="6"/>
  <c r="AI56" i="6"/>
  <c r="AJ56" i="6"/>
  <c r="AK56" i="6"/>
  <c r="AL56" i="6"/>
  <c r="AM56" i="6"/>
  <c r="AN56" i="6"/>
  <c r="AO56" i="6"/>
</calcChain>
</file>

<file path=xl/sharedStrings.xml><?xml version="1.0" encoding="utf-8"?>
<sst xmlns="http://schemas.openxmlformats.org/spreadsheetml/2006/main" count="152" uniqueCount="88">
  <si>
    <t>Month</t>
  </si>
  <si>
    <t>6) CMO example. Underlying pool 10% annual interest rate, 30 year loans</t>
  </si>
  <si>
    <t>Pool Interest rate</t>
  </si>
  <si>
    <t>% PSA</t>
  </si>
  <si>
    <t>Pool Balance</t>
  </si>
  <si>
    <t>Residual payment</t>
  </si>
  <si>
    <t>A balance</t>
  </si>
  <si>
    <t>A interest rate</t>
  </si>
  <si>
    <t xml:space="preserve"> </t>
  </si>
  <si>
    <t>B balance</t>
  </si>
  <si>
    <t>B interest rate</t>
  </si>
  <si>
    <t>C balance</t>
  </si>
  <si>
    <t>C interest rate</t>
  </si>
  <si>
    <t>Z balance</t>
  </si>
  <si>
    <t>Z interest rate</t>
  </si>
  <si>
    <t>WHOLE POOL</t>
  </si>
  <si>
    <t>Owed to</t>
  </si>
  <si>
    <t>Year</t>
  </si>
  <si>
    <t>Disc.</t>
  </si>
  <si>
    <t>AF</t>
  </si>
  <si>
    <t>Prep. %</t>
  </si>
  <si>
    <t>Sec</t>
  </si>
  <si>
    <t>Pool Principal</t>
  </si>
  <si>
    <t>EOY</t>
  </si>
  <si>
    <t>P&amp;I Payment</t>
  </si>
  <si>
    <t>Unscheduled Prepayment</t>
  </si>
  <si>
    <t>Scheduled Payment</t>
  </si>
  <si>
    <t>Interest Payment</t>
  </si>
  <si>
    <t>Servicing</t>
  </si>
  <si>
    <t>Net Interest</t>
  </si>
  <si>
    <t>TRANCHE A</t>
  </si>
  <si>
    <t>TRANCHE B</t>
  </si>
  <si>
    <t>TRANCHE C</t>
  </si>
  <si>
    <t>TRANCHE Z</t>
  </si>
  <si>
    <t>RESIDUAL</t>
  </si>
  <si>
    <t>Amort.</t>
  </si>
  <si>
    <t>Int.</t>
  </si>
  <si>
    <t>Accum.</t>
  </si>
  <si>
    <t>Total</t>
  </si>
  <si>
    <t>Initial</t>
  </si>
  <si>
    <t>Pool</t>
  </si>
  <si>
    <t>Payment</t>
  </si>
  <si>
    <t>Prep.</t>
  </si>
  <si>
    <t>exc. prep</t>
  </si>
  <si>
    <t>Owed</t>
  </si>
  <si>
    <t>Principal</t>
  </si>
  <si>
    <t>Expense</t>
  </si>
  <si>
    <t>Accrued</t>
  </si>
  <si>
    <t>paid</t>
  </si>
  <si>
    <t>Paid</t>
  </si>
  <si>
    <t>Interest</t>
  </si>
  <si>
    <t>Tranche A</t>
  </si>
  <si>
    <t>Tranche B</t>
  </si>
  <si>
    <t>Tranche C</t>
  </si>
  <si>
    <t>Z Bond</t>
  </si>
  <si>
    <t>Residual</t>
  </si>
  <si>
    <t>200% PSA</t>
  </si>
  <si>
    <t>100% PSA</t>
  </si>
  <si>
    <t>500% PSA</t>
  </si>
  <si>
    <t>Residual bond</t>
  </si>
  <si>
    <t>Par</t>
  </si>
  <si>
    <t>Coupon rate</t>
  </si>
  <si>
    <t>Calc</t>
  </si>
  <si>
    <t>d</t>
  </si>
  <si>
    <t>Par Bond</t>
  </si>
  <si>
    <t>Percent Par</t>
  </si>
  <si>
    <t>IRR</t>
  </si>
  <si>
    <t>PSA</t>
  </si>
  <si>
    <t>Premium</t>
  </si>
  <si>
    <t>Discount</t>
  </si>
  <si>
    <t>LIBOR</t>
  </si>
  <si>
    <t>Coupon C</t>
  </si>
  <si>
    <t>PO</t>
  </si>
  <si>
    <t>IO</t>
  </si>
  <si>
    <t>IO (90)</t>
  </si>
  <si>
    <t>PO (150)</t>
  </si>
  <si>
    <t>Floater</t>
  </si>
  <si>
    <t>Inverse Floater</t>
  </si>
  <si>
    <t>A</t>
  </si>
  <si>
    <t>B</t>
  </si>
  <si>
    <t>C</t>
  </si>
  <si>
    <t>Z</t>
  </si>
  <si>
    <t>Total Int.</t>
  </si>
  <si>
    <t>A-Z Int.</t>
  </si>
  <si>
    <t>residual Int.</t>
  </si>
  <si>
    <t>WAC on Bonds</t>
  </si>
  <si>
    <t>Residual Coup. Diff.</t>
  </si>
  <si>
    <t>Bond 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</si>
</sst>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0_)"/>
    <numFmt numFmtId="165" formatCode="0.00000_)"/>
    <numFmt numFmtId="166" formatCode="0.000%"/>
    <numFmt numFmtId="167" formatCode="#,##0.0_);\(#,##0.0\)"/>
    <numFmt numFmtId="168" formatCode="&quot;$&quot;#,##0"/>
    <numFmt numFmtId="169" formatCode="0.000000%"/>
    <numFmt numFmtId="170" formatCode="0.0000%"/>
    <numFmt numFmtId="172" formatCode="0.00000000000000000%"/>
  </numFmts>
  <fonts count="3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10" fontId="0" fillId="0" borderId="0" xfId="0" applyNumberFormat="1" applyProtection="1"/>
    <xf numFmtId="0" fontId="0" fillId="0" borderId="0" xfId="0" applyAlignment="1" applyProtection="1">
      <alignment horizontal="left"/>
    </xf>
    <xf numFmtId="5" fontId="0" fillId="0" borderId="0" xfId="0" applyNumberFormat="1" applyProtection="1"/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165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0" fontId="1" fillId="0" borderId="0" xfId="0" applyFont="1"/>
    <xf numFmtId="168" fontId="2" fillId="0" borderId="0" xfId="0" applyNumberFormat="1" applyFont="1"/>
    <xf numFmtId="3" fontId="2" fillId="0" borderId="0" xfId="0" applyNumberFormat="1" applyFont="1"/>
    <xf numFmtId="168" fontId="0" fillId="0" borderId="0" xfId="0" applyNumberFormat="1"/>
    <xf numFmtId="10" fontId="1" fillId="0" borderId="0" xfId="0" applyNumberFormat="1" applyFont="1" applyProtection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5" fontId="0" fillId="0" borderId="0" xfId="0" applyNumberFormat="1"/>
    <xf numFmtId="7" fontId="0" fillId="0" borderId="0" xfId="0" applyNumberFormat="1"/>
    <xf numFmtId="3" fontId="0" fillId="0" borderId="0" xfId="0" applyNumberFormat="1"/>
    <xf numFmtId="172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06270146385302"/>
          <c:y val="0.23658536585365852"/>
          <c:w val="0.71406304478686888"/>
          <c:h val="0.5048780487804878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PSA!$A$2:$A$62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F-499C-8801-B74E8BA2B523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DBF-499C-8801-B74E8BA2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8111"/>
        <c:axId val="1"/>
      </c:lineChart>
      <c:catAx>
        <c:axId val="207111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52031289696723704"/>
              <c:y val="0.86829268292682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
</a:t>
                </a:r>
              </a:p>
            </c:rich>
          </c:tx>
          <c:layout>
            <c:manualLayout>
              <c:xMode val="edge"/>
              <c:yMode val="edge"/>
              <c:x val="3.2812525033969905E-2"/>
              <c:y val="0.10731707317073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11181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5998994264948"/>
          <c:y val="7.8431560277746531E-2"/>
          <c:w val="0.65291652746358209"/>
          <c:h val="0.71568798753443708"/>
        </c:manualLayout>
      </c:layout>
      <c:lineChart>
        <c:grouping val="standard"/>
        <c:varyColors val="0"/>
        <c:ser>
          <c:idx val="0"/>
          <c:order val="0"/>
          <c:tx>
            <c:strRef>
              <c:f>PrepayCTranche!$D$4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PrepayCTranche!$D$5:$D$25</c:f>
              <c:numCache>
                <c:formatCode>0.00%</c:formatCode>
                <c:ptCount val="21"/>
                <c:pt idx="0">
                  <c:v>4.7937613990335103E-2</c:v>
                </c:pt>
                <c:pt idx="1">
                  <c:v>4.528974295064285E-2</c:v>
                </c:pt>
                <c:pt idx="2">
                  <c:v>4.2665909303594554E-2</c:v>
                </c:pt>
                <c:pt idx="3">
                  <c:v>3.9856784035845881E-2</c:v>
                </c:pt>
                <c:pt idx="4">
                  <c:v>3.7059285648285832E-2</c:v>
                </c:pt>
                <c:pt idx="5">
                  <c:v>3.4151182523673905E-2</c:v>
                </c:pt>
                <c:pt idx="6">
                  <c:v>3.1266122806231429E-2</c:v>
                </c:pt>
                <c:pt idx="7">
                  <c:v>2.8481352972438284E-2</c:v>
                </c:pt>
                <c:pt idx="8">
                  <c:v>2.5766925061299854E-2</c:v>
                </c:pt>
                <c:pt idx="9">
                  <c:v>2.2853833440475244E-2</c:v>
                </c:pt>
                <c:pt idx="10">
                  <c:v>2.078359013222416E-2</c:v>
                </c:pt>
                <c:pt idx="11">
                  <c:v>1.766666070646257E-2</c:v>
                </c:pt>
                <c:pt idx="12">
                  <c:v>1.5118167224203217E-2</c:v>
                </c:pt>
                <c:pt idx="13">
                  <c:v>1.28938952857231E-2</c:v>
                </c:pt>
                <c:pt idx="14">
                  <c:v>1.0634516910507742E-2</c:v>
                </c:pt>
                <c:pt idx="15">
                  <c:v>8.1466714539870002E-3</c:v>
                </c:pt>
                <c:pt idx="16">
                  <c:v>5.7912029068286595E-3</c:v>
                </c:pt>
                <c:pt idx="17">
                  <c:v>3.3706991781055282E-3</c:v>
                </c:pt>
                <c:pt idx="18">
                  <c:v>8.8360403977350726E-4</c:v>
                </c:pt>
                <c:pt idx="19">
                  <c:v>-1.6717421926557771E-3</c:v>
                </c:pt>
                <c:pt idx="20">
                  <c:v>-3.3498990685120922E-3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B-4C6E-BF9A-3920DAF387E3}"/>
            </c:ext>
          </c:extLst>
        </c:ser>
        <c:ser>
          <c:idx val="1"/>
          <c:order val="1"/>
          <c:tx>
            <c:strRef>
              <c:f>PrepayCTranche!$E$4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PrepayCTranche!$E$5:$E$25</c:f>
              <c:numCache>
                <c:formatCode>0.00%</c:formatCode>
                <c:ptCount val="21"/>
                <c:pt idx="0">
                  <c:v>0.11287033688489297</c:v>
                </c:pt>
                <c:pt idx="1">
                  <c:v>0.11460149426555466</c:v>
                </c:pt>
                <c:pt idx="2">
                  <c:v>0.11635480239687217</c:v>
                </c:pt>
                <c:pt idx="3">
                  <c:v>0.11826252435333147</c:v>
                </c:pt>
                <c:pt idx="4">
                  <c:v>0.12018183875208964</c:v>
                </c:pt>
                <c:pt idx="5">
                  <c:v>0.12221083173325743</c:v>
                </c:pt>
                <c:pt idx="6">
                  <c:v>0.12423910058806593</c:v>
                </c:pt>
                <c:pt idx="7">
                  <c:v>0.12618306101149851</c:v>
                </c:pt>
                <c:pt idx="8">
                  <c:v>0.12814812479370433</c:v>
                </c:pt>
                <c:pt idx="9">
                  <c:v>0.13020925988998522</c:v>
                </c:pt>
                <c:pt idx="10">
                  <c:v>0.13169450013081208</c:v>
                </c:pt>
                <c:pt idx="11">
                  <c:v>0.13397867901627256</c:v>
                </c:pt>
                <c:pt idx="12">
                  <c:v>0.13584356638255826</c:v>
                </c:pt>
                <c:pt idx="13">
                  <c:v>0.13746904343029753</c:v>
                </c:pt>
                <c:pt idx="14">
                  <c:v>0.13908152900895535</c:v>
                </c:pt>
                <c:pt idx="15">
                  <c:v>0.14091936787253054</c:v>
                </c:pt>
                <c:pt idx="16">
                  <c:v>0.14273441957289676</c:v>
                </c:pt>
                <c:pt idx="17">
                  <c:v>0.14456857613817806</c:v>
                </c:pt>
                <c:pt idx="18">
                  <c:v>0.14641777764411609</c:v>
                </c:pt>
                <c:pt idx="19">
                  <c:v>0.14827772816190199</c:v>
                </c:pt>
                <c:pt idx="20">
                  <c:v>0.14952414733220407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B-4C6E-BF9A-3920DAF387E3}"/>
            </c:ext>
          </c:extLst>
        </c:ser>
        <c:ser>
          <c:idx val="2"/>
          <c:order val="2"/>
          <c:tx>
            <c:strRef>
              <c:f>PrepayCTranche!$F$4</c:f>
              <c:strCache>
                <c:ptCount val="1"/>
                <c:pt idx="0">
                  <c:v>Par Bond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PrepayCTranche!$F$5:$F$25</c:f>
              <c:numCache>
                <c:formatCode>0.00%</c:formatCode>
                <c:ptCount val="21"/>
                <c:pt idx="0">
                  <c:v>8.5000000000000048E-2</c:v>
                </c:pt>
                <c:pt idx="1">
                  <c:v>8.5000000000000062E-2</c:v>
                </c:pt>
                <c:pt idx="2">
                  <c:v>8.500000000000052E-2</c:v>
                </c:pt>
                <c:pt idx="3">
                  <c:v>8.5000000000000284E-2</c:v>
                </c:pt>
                <c:pt idx="4">
                  <c:v>8.5000000000000006E-2</c:v>
                </c:pt>
                <c:pt idx="5">
                  <c:v>8.4999999999999951E-2</c:v>
                </c:pt>
                <c:pt idx="6">
                  <c:v>8.5000000000000006E-2</c:v>
                </c:pt>
                <c:pt idx="7">
                  <c:v>8.5000000000000062E-2</c:v>
                </c:pt>
                <c:pt idx="8">
                  <c:v>8.5000000000000048E-2</c:v>
                </c:pt>
                <c:pt idx="9">
                  <c:v>8.4999999999999923E-2</c:v>
                </c:pt>
                <c:pt idx="10">
                  <c:v>8.4999999999999923E-2</c:v>
                </c:pt>
                <c:pt idx="11">
                  <c:v>8.4999999999999895E-2</c:v>
                </c:pt>
                <c:pt idx="12">
                  <c:v>8.5000000000000089E-2</c:v>
                </c:pt>
                <c:pt idx="13">
                  <c:v>8.5000000000000006E-2</c:v>
                </c:pt>
                <c:pt idx="14">
                  <c:v>8.5000000000000089E-2</c:v>
                </c:pt>
                <c:pt idx="15">
                  <c:v>8.5000000000000006E-2</c:v>
                </c:pt>
                <c:pt idx="16">
                  <c:v>8.4999999999999937E-2</c:v>
                </c:pt>
                <c:pt idx="17">
                  <c:v>8.5000000000000089E-2</c:v>
                </c:pt>
                <c:pt idx="18">
                  <c:v>8.4999999999999867E-2</c:v>
                </c:pt>
                <c:pt idx="19">
                  <c:v>8.4999999999999923E-2</c:v>
                </c:pt>
                <c:pt idx="20">
                  <c:v>8.4999999999999895E-2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B-4C6E-BF9A-3920DAF3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7631"/>
        <c:axId val="1"/>
      </c:lineChart>
      <c:catAx>
        <c:axId val="207111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PSA Rate</a:t>
                </a:r>
              </a:p>
            </c:rich>
          </c:tx>
          <c:layout>
            <c:manualLayout>
              <c:xMode val="edge"/>
              <c:yMode val="edge"/>
              <c:x val="0.40825063917657528"/>
              <c:y val="0.872551108089930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25000059838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111763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92375444784238"/>
          <c:y val="0.32598117240438401"/>
          <c:w val="0.170697131363028"/>
          <c:h val="0.223039749539841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70532915360503"/>
          <c:y val="8.5051653425586723E-2"/>
          <c:w val="0.54545454545454541"/>
          <c:h val="0.62886677078312614"/>
        </c:manualLayout>
      </c:layout>
      <c:lineChart>
        <c:grouping val="standard"/>
        <c:varyColors val="0"/>
        <c:ser>
          <c:idx val="0"/>
          <c:order val="0"/>
          <c:tx>
            <c:strRef>
              <c:f>'Tranche Payments'!$B$4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Payments'!$B$5:$B$34</c:f>
              <c:numCache>
                <c:formatCode>"$"#,##0</c:formatCode>
                <c:ptCount val="30"/>
                <c:pt idx="0">
                  <c:v>6136414.9164546393</c:v>
                </c:pt>
                <c:pt idx="1">
                  <c:v>8379505.2457011538</c:v>
                </c:pt>
                <c:pt idx="2">
                  <c:v>9905165.6317783073</c:v>
                </c:pt>
                <c:pt idx="3">
                  <c:v>9211744.9692518506</c:v>
                </c:pt>
                <c:pt idx="4">
                  <c:v>3673484.4844132373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0-4807-BF20-F6D757050948}"/>
            </c:ext>
          </c:extLst>
        </c:ser>
        <c:ser>
          <c:idx val="1"/>
          <c:order val="1"/>
          <c:tx>
            <c:strRef>
              <c:f>'Tranche Payments'!$C$4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Payments'!$C$5:$C$34</c:f>
              <c:numCache>
                <c:formatCode>"$"#,##0</c:formatCode>
                <c:ptCount val="30"/>
                <c:pt idx="0">
                  <c:v>2475000</c:v>
                </c:pt>
                <c:pt idx="1">
                  <c:v>2475000</c:v>
                </c:pt>
                <c:pt idx="2">
                  <c:v>2475000</c:v>
                </c:pt>
                <c:pt idx="3">
                  <c:v>2475000</c:v>
                </c:pt>
                <c:pt idx="4">
                  <c:v>7106109.0339462841</c:v>
                </c:pt>
                <c:pt idx="5">
                  <c:v>9921227.0734874383</c:v>
                </c:pt>
                <c:pt idx="6">
                  <c:v>9111538.257391626</c:v>
                </c:pt>
                <c:pt idx="7">
                  <c:v>8355497.3452833351</c:v>
                </c:pt>
                <c:pt idx="8">
                  <c:v>2528118.2923099664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0-4807-BF20-F6D757050948}"/>
            </c:ext>
          </c:extLst>
        </c:ser>
        <c:ser>
          <c:idx val="2"/>
          <c:order val="2"/>
          <c:tx>
            <c:strRef>
              <c:f>'Tranche Payments'!$D$4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Payments'!$D$5:$D$34</c:f>
              <c:numCache>
                <c:formatCode>"$"#,##0</c:formatCode>
                <c:ptCount val="30"/>
                <c:pt idx="0">
                  <c:v>2125000</c:v>
                </c:pt>
                <c:pt idx="1">
                  <c:v>2125000</c:v>
                </c:pt>
                <c:pt idx="2">
                  <c:v>2125000</c:v>
                </c:pt>
                <c:pt idx="3">
                  <c:v>2125000</c:v>
                </c:pt>
                <c:pt idx="4">
                  <c:v>2125000</c:v>
                </c:pt>
                <c:pt idx="5">
                  <c:v>2125000</c:v>
                </c:pt>
                <c:pt idx="6">
                  <c:v>2125000</c:v>
                </c:pt>
                <c:pt idx="7">
                  <c:v>2125000</c:v>
                </c:pt>
                <c:pt idx="8">
                  <c:v>7246698.3821683424</c:v>
                </c:pt>
                <c:pt idx="9">
                  <c:v>9103635.5178316683</c:v>
                </c:pt>
                <c:pt idx="10">
                  <c:v>8471188.8664536271</c:v>
                </c:pt>
                <c:pt idx="11">
                  <c:v>5482071.2373447111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0-4807-BF20-F6D757050948}"/>
            </c:ext>
          </c:extLst>
        </c:ser>
        <c:ser>
          <c:idx val="3"/>
          <c:order val="3"/>
          <c:tx>
            <c:strRef>
              <c:f>'Tranche Payments'!$E$4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Payments'!$E$5:$E$34</c:f>
              <c:numCache>
                <c:formatCode>"$"#,##0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2398508.9681166289</c:v>
                </c:pt>
                <c:pt idx="12">
                  <c:v>7317274.407909859</c:v>
                </c:pt>
                <c:pt idx="13">
                  <c:v>6765229.800132256</c:v>
                </c:pt>
                <c:pt idx="14">
                  <c:v>6247300.1138049411</c:v>
                </c:pt>
                <c:pt idx="15">
                  <c:v>5761230.285727052</c:v>
                </c:pt>
                <c:pt idx="16">
                  <c:v>5304909.317801021</c:v>
                </c:pt>
                <c:pt idx="17">
                  <c:v>4876360.737984335</c:v>
                </c:pt>
                <c:pt idx="18">
                  <c:v>4473733.5964289131</c:v>
                </c:pt>
                <c:pt idx="19">
                  <c:v>4095293.9158991431</c:v>
                </c:pt>
                <c:pt idx="20">
                  <c:v>3739416.487400691</c:v>
                </c:pt>
                <c:pt idx="21">
                  <c:v>3404576.8452813718</c:v>
                </c:pt>
                <c:pt idx="22">
                  <c:v>3089343.1380499555</c:v>
                </c:pt>
                <c:pt idx="23">
                  <c:v>2792367.3509343262</c:v>
                </c:pt>
                <c:pt idx="24">
                  <c:v>2512374.7151200096</c:v>
                </c:pt>
                <c:pt idx="25">
                  <c:v>2248148.491656932</c:v>
                </c:pt>
                <c:pt idx="26">
                  <c:v>1998502.285620451</c:v>
                </c:pt>
                <c:pt idx="27">
                  <c:v>913025.25545712071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0-4807-BF20-F6D757050948}"/>
            </c:ext>
          </c:extLst>
        </c:ser>
        <c:ser>
          <c:idx val="4"/>
          <c:order val="4"/>
          <c:tx>
            <c:strRef>
              <c:f>'Tranche Payments'!$F$4</c:f>
              <c:strCache>
                <c:ptCount val="1"/>
                <c:pt idx="0">
                  <c:v>Residual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Payments'!$F$5:$F$34</c:f>
              <c:numCache>
                <c:formatCode>"$"#,##0</c:formatCode>
                <c:ptCount val="30"/>
                <c:pt idx="0">
                  <c:v>1530000</c:v>
                </c:pt>
                <c:pt idx="1">
                  <c:v>1480703.7762531815</c:v>
                </c:pt>
                <c:pt idx="2">
                  <c:v>1393884.9996679164</c:v>
                </c:pt>
                <c:pt idx="3">
                  <c:v>1277309.3901646752</c:v>
                </c:pt>
                <c:pt idx="4">
                  <c:v>1161889.2385890735</c:v>
                </c:pt>
                <c:pt idx="5">
                  <c:v>1062507.9336931705</c:v>
                </c:pt>
                <c:pt idx="6">
                  <c:v>975039.97577889077</c:v>
                </c:pt>
                <c:pt idx="7">
                  <c:v>890554.91437560506</c:v>
                </c:pt>
                <c:pt idx="8">
                  <c:v>808635.25000101235</c:v>
                </c:pt>
                <c:pt idx="9">
                  <c:v>741675.01213648915</c:v>
                </c:pt>
                <c:pt idx="10">
                  <c:v>682195.49296956323</c:v>
                </c:pt>
                <c:pt idx="11">
                  <c:v>624057.98258541338</c:v>
                </c:pt>
                <c:pt idx="12">
                  <c:v>578957.31379313208</c:v>
                </c:pt>
                <c:pt idx="13">
                  <c:v>560277.09999496583</c:v>
                </c:pt>
                <c:pt idx="14">
                  <c:v>542675.88999385107</c:v>
                </c:pt>
                <c:pt idx="15">
                  <c:v>526080.21952427272</c:v>
                </c:pt>
                <c:pt idx="16">
                  <c:v>510421.28785282094</c:v>
                </c:pt>
                <c:pt idx="17">
                  <c:v>495634.65717056952</c:v>
                </c:pt>
                <c:pt idx="18">
                  <c:v>481659.97262600064</c:v>
                </c:pt>
                <c:pt idx="19">
                  <c:v>468440.70218019607</c:v>
                </c:pt>
                <c:pt idx="20">
                  <c:v>455923.89579691831</c:v>
                </c:pt>
                <c:pt idx="21">
                  <c:v>444059.96398163727</c:v>
                </c:pt>
                <c:pt idx="22">
                  <c:v>432802.47651357856</c:v>
                </c:pt>
                <c:pt idx="23">
                  <c:v>422107.98370955046</c:v>
                </c:pt>
                <c:pt idx="24">
                  <c:v>411935.86548873875</c:v>
                </c:pt>
                <c:pt idx="25">
                  <c:v>402248.21980712563</c:v>
                </c:pt>
                <c:pt idx="26">
                  <c:v>393009.81713148206</c:v>
                </c:pt>
                <c:pt idx="27">
                  <c:v>1233376.1972829977</c:v>
                </c:pt>
                <c:pt idx="28">
                  <c:v>1913548.1381851507</c:v>
                </c:pt>
                <c:pt idx="29">
                  <c:v>1689789.1150168879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0-4807-BF20-F6D75705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15359"/>
        <c:axId val="1"/>
      </c:lineChart>
      <c:catAx>
        <c:axId val="207311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40595611285266459"/>
              <c:y val="0.86598047124233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31153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40125391849525"/>
          <c:y val="0.20618582648627085"/>
          <c:w val="0.19905956112852666"/>
          <c:h val="0.389175747492836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70532915360503"/>
          <c:y val="8.4615596493380643E-2"/>
          <c:w val="0.52351097178683381"/>
          <c:h val="0.63077081022338299"/>
        </c:manualLayout>
      </c:layout>
      <c:lineChart>
        <c:grouping val="standard"/>
        <c:varyColors val="0"/>
        <c:ser>
          <c:idx val="0"/>
          <c:order val="0"/>
          <c:tx>
            <c:strRef>
              <c:f>'Tranche Balances'!$B$2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Balances'!$B$3:$B$32</c:f>
              <c:numCache>
                <c:formatCode>"$"#,##0</c:formatCode>
                <c:ptCount val="30"/>
                <c:pt idx="0">
                  <c:v>26263585.083545361</c:v>
                </c:pt>
                <c:pt idx="1">
                  <c:v>19985166.644527838</c:v>
                </c:pt>
                <c:pt idx="2">
                  <c:v>11678814.344311759</c:v>
                </c:pt>
                <c:pt idx="3">
                  <c:v>3401374.5226048492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C-4B82-988B-B1D0EAA7DBE1}"/>
            </c:ext>
          </c:extLst>
        </c:ser>
        <c:ser>
          <c:idx val="1"/>
          <c:order val="1"/>
          <c:tx>
            <c:strRef>
              <c:f>'Tranche Balances'!$C$2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Balances'!$C$3:$C$32</c:f>
              <c:numCache>
                <c:formatCode>"$"#,##0</c:formatCode>
                <c:ptCount val="30"/>
                <c:pt idx="0">
                  <c:v>30000000</c:v>
                </c:pt>
                <c:pt idx="1">
                  <c:v>30000000</c:v>
                </c:pt>
                <c:pt idx="2">
                  <c:v>30000000</c:v>
                </c:pt>
                <c:pt idx="3">
                  <c:v>30000000</c:v>
                </c:pt>
                <c:pt idx="4">
                  <c:v>25368890.966053717</c:v>
                </c:pt>
                <c:pt idx="5">
                  <c:v>17540597.39726571</c:v>
                </c:pt>
                <c:pt idx="6">
                  <c:v>9876158.4251485057</c:v>
                </c:pt>
                <c:pt idx="7">
                  <c:v>2335444.1499399226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C-4B82-988B-B1D0EAA7DBE1}"/>
            </c:ext>
          </c:extLst>
        </c:ser>
        <c:ser>
          <c:idx val="2"/>
          <c:order val="2"/>
          <c:tx>
            <c:strRef>
              <c:f>'Tranche Balances'!$D$2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Balances'!$D$3:$D$32</c:f>
              <c:numCache>
                <c:formatCode>"$"#,##0</c:formatCode>
                <c:ptCount val="30"/>
                <c:pt idx="0">
                  <c:v>25000000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25000000</c:v>
                </c:pt>
                <c:pt idx="7">
                  <c:v>25000000</c:v>
                </c:pt>
                <c:pt idx="8">
                  <c:v>19878301.617831659</c:v>
                </c:pt>
                <c:pt idx="9">
                  <c:v>12464321.73751568</c:v>
                </c:pt>
                <c:pt idx="10">
                  <c:v>5052600.2187508857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C-4B82-988B-B1D0EAA7DBE1}"/>
            </c:ext>
          </c:extLst>
        </c:ser>
        <c:ser>
          <c:idx val="3"/>
          <c:order val="3"/>
          <c:tx>
            <c:strRef>
              <c:f>'Tranche Balances'!$E$2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Balances'!$E$3:$E$32</c:f>
              <c:numCache>
                <c:formatCode>"$"#,##0</c:formatCode>
                <c:ptCount val="30"/>
                <c:pt idx="0">
                  <c:v>16350000</c:v>
                </c:pt>
                <c:pt idx="1">
                  <c:v>17821500</c:v>
                </c:pt>
                <c:pt idx="2">
                  <c:v>19425435</c:v>
                </c:pt>
                <c:pt idx="3">
                  <c:v>21173724.149999999</c:v>
                </c:pt>
                <c:pt idx="4">
                  <c:v>23079359.3235</c:v>
                </c:pt>
                <c:pt idx="5">
                  <c:v>25156501.662615001</c:v>
                </c:pt>
                <c:pt idx="6">
                  <c:v>27420586.81225035</c:v>
                </c:pt>
                <c:pt idx="7">
                  <c:v>29888439.625352882</c:v>
                </c:pt>
                <c:pt idx="8">
                  <c:v>32578399.19163464</c:v>
                </c:pt>
                <c:pt idx="9">
                  <c:v>35510455.118881755</c:v>
                </c:pt>
                <c:pt idx="10">
                  <c:v>38706396.079581112</c:v>
                </c:pt>
                <c:pt idx="11">
                  <c:v>39791462.758626781</c:v>
                </c:pt>
                <c:pt idx="12">
                  <c:v>36055419.99899333</c:v>
                </c:pt>
                <c:pt idx="13">
                  <c:v>32535177.998770472</c:v>
                </c:pt>
                <c:pt idx="14">
                  <c:v>29216043.904854871</c:v>
                </c:pt>
                <c:pt idx="15">
                  <c:v>26084257.570564758</c:v>
                </c:pt>
                <c:pt idx="16">
                  <c:v>23126931.434114564</c:v>
                </c:pt>
                <c:pt idx="17">
                  <c:v>20331994.525200538</c:v>
                </c:pt>
                <c:pt idx="18">
                  <c:v>17688140.436039675</c:v>
                </c:pt>
                <c:pt idx="19">
                  <c:v>15184779.159384102</c:v>
                </c:pt>
                <c:pt idx="20">
                  <c:v>12811992.79632798</c:v>
                </c:pt>
                <c:pt idx="21">
                  <c:v>10560495.302716127</c:v>
                </c:pt>
                <c:pt idx="22">
                  <c:v>8421596.7419106215</c:v>
                </c:pt>
                <c:pt idx="23">
                  <c:v>6387173.0977482516</c:v>
                </c:pt>
                <c:pt idx="24">
                  <c:v>4449643.9614255847</c:v>
                </c:pt>
                <c:pt idx="25">
                  <c:v>2601963.426296955</c:v>
                </c:pt>
                <c:pt idx="26">
                  <c:v>837637.84904323006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C-4B82-988B-B1D0EAA7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19679"/>
        <c:axId val="1"/>
      </c:lineChart>
      <c:catAx>
        <c:axId val="2073119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39498432601880878"/>
              <c:y val="0.86666883681098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31196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645768025078365"/>
          <c:y val="0.22564159064901504"/>
          <c:w val="0.22100313479623823"/>
          <c:h val="0.351282930896762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8928999692706"/>
          <c:y val="7.9012536199209588E-2"/>
          <c:w val="0.55520547491549421"/>
          <c:h val="0.6765448412057321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4AD8-8FF2-4A81FBE5120C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9-4AD8-8FF2-4A81FBE5120C}"/>
            </c:ext>
          </c:extLst>
        </c:ser>
        <c:ser>
          <c:idx val="3"/>
          <c:order val="2"/>
          <c:tx>
            <c:strRef>
              <c:f>PSA!$D$1</c:f>
              <c:strCache>
                <c:ptCount val="1"/>
                <c:pt idx="0">
                  <c:v>500% PSA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PSA!$D$2:$D$62</c:f>
              <c:numCache>
                <c:formatCode>0.00%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0.10000000000000002</c:v>
                </c:pt>
                <c:pt idx="11">
                  <c:v>0.11000000000000003</c:v>
                </c:pt>
                <c:pt idx="12">
                  <c:v>0.12000000000000004</c:v>
                </c:pt>
                <c:pt idx="13">
                  <c:v>0.13000000000000006</c:v>
                </c:pt>
                <c:pt idx="14">
                  <c:v>0.14000000000000007</c:v>
                </c:pt>
                <c:pt idx="15">
                  <c:v>0.15000000000000008</c:v>
                </c:pt>
                <c:pt idx="16">
                  <c:v>0.16000000000000009</c:v>
                </c:pt>
                <c:pt idx="17">
                  <c:v>0.1700000000000001</c:v>
                </c:pt>
                <c:pt idx="18">
                  <c:v>0.1800000000000001</c:v>
                </c:pt>
                <c:pt idx="19">
                  <c:v>0.19000000000000011</c:v>
                </c:pt>
                <c:pt idx="20">
                  <c:v>0.20000000000000012</c:v>
                </c:pt>
                <c:pt idx="21">
                  <c:v>0.21000000000000013</c:v>
                </c:pt>
                <c:pt idx="22">
                  <c:v>0.22000000000000014</c:v>
                </c:pt>
                <c:pt idx="23">
                  <c:v>0.23000000000000015</c:v>
                </c:pt>
                <c:pt idx="24">
                  <c:v>0.24000000000000016</c:v>
                </c:pt>
                <c:pt idx="25">
                  <c:v>0.25000000000000017</c:v>
                </c:pt>
                <c:pt idx="26">
                  <c:v>0.26000000000000018</c:v>
                </c:pt>
                <c:pt idx="27">
                  <c:v>0.27000000000000018</c:v>
                </c:pt>
                <c:pt idx="28">
                  <c:v>0.28000000000000019</c:v>
                </c:pt>
                <c:pt idx="29">
                  <c:v>0.2900000000000002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9-4AD8-8FF2-4A81FBE51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8591"/>
        <c:axId val="1"/>
      </c:lineChart>
      <c:catAx>
        <c:axId val="207111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7854918744238236"/>
              <c:y val="0.8716070399475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</a:t>
                </a:r>
              </a:p>
            </c:rich>
          </c:tx>
          <c:layout>
            <c:manualLayout>
              <c:xMode val="edge"/>
              <c:yMode val="edge"/>
              <c:x val="2.5236612496158824E-2"/>
              <c:y val="3.209884283092889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111859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44854597587398"/>
          <c:y val="0.30617357777193716"/>
          <c:w val="0.21293391793634009"/>
          <c:h val="0.22469189981650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57680250783699"/>
          <c:y val="7.3710073710073709E-2"/>
          <c:w val="0.58620689655172409"/>
          <c:h val="0.6904176904176904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537-AB11-D7A9AA31E368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537-AB11-D7A9AA31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9071"/>
        <c:axId val="1"/>
      </c:lineChart>
      <c:catAx>
        <c:axId val="207111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5109717868338558"/>
              <c:y val="0.86977886977886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Constant Prepayment Rate</a:t>
                </a:r>
              </a:p>
            </c:rich>
          </c:tx>
          <c:layout>
            <c:manualLayout>
              <c:xMode val="edge"/>
              <c:yMode val="edge"/>
              <c:x val="2.5078369905956112E-2"/>
              <c:y val="0.10073710073710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11190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02507836990597"/>
          <c:y val="0.34152334152334152"/>
          <c:w val="0.21943573667711599"/>
          <c:h val="0.154791154791154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3763232241236"/>
          <c:y val="8.2474330594508344E-2"/>
          <c:w val="0.61093796610867779"/>
          <c:h val="0.73969165251949665"/>
        </c:manualLayout>
      </c:layout>
      <c:lineChart>
        <c:grouping val="standard"/>
        <c:varyColors val="0"/>
        <c:ser>
          <c:idx val="0"/>
          <c:order val="0"/>
          <c:tx>
            <c:strRef>
              <c:f>PrepayBOND!$C$5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PrepayBOND!$C$6:$C$25</c:f>
              <c:numCache>
                <c:formatCode>0.000000%</c:formatCode>
                <c:ptCount val="20"/>
                <c:pt idx="0">
                  <c:v>-8.3333333333331538E-2</c:v>
                </c:pt>
                <c:pt idx="1">
                  <c:v>-3.4370753217225301E-17</c:v>
                </c:pt>
                <c:pt idx="2">
                  <c:v>2.937841031405573E-2</c:v>
                </c:pt>
                <c:pt idx="3">
                  <c:v>4.4337640658721429E-2</c:v>
                </c:pt>
                <c:pt idx="4">
                  <c:v>5.337342469727533E-2</c:v>
                </c:pt>
                <c:pt idx="5">
                  <c:v>5.9403649765944422E-2</c:v>
                </c:pt>
                <c:pt idx="6">
                  <c:v>6.3700380326913122E-2</c:v>
                </c:pt>
                <c:pt idx="7">
                  <c:v>6.6906826493917618E-2</c:v>
                </c:pt>
                <c:pt idx="8">
                  <c:v>6.9383201569574879E-2</c:v>
                </c:pt>
                <c:pt idx="9">
                  <c:v>7.1346945692897443E-2</c:v>
                </c:pt>
                <c:pt idx="10">
                  <c:v>7.2937091533088971E-2</c:v>
                </c:pt>
                <c:pt idx="11">
                  <c:v>7.4246688557445317E-2</c:v>
                </c:pt>
                <c:pt idx="12">
                  <c:v>7.5340365665480219E-2</c:v>
                </c:pt>
                <c:pt idx="13">
                  <c:v>7.6264415206872493E-2</c:v>
                </c:pt>
                <c:pt idx="14">
                  <c:v>7.7052867493484931E-2</c:v>
                </c:pt>
                <c:pt idx="15">
                  <c:v>7.7731300128923222E-2</c:v>
                </c:pt>
                <c:pt idx="16">
                  <c:v>7.8319309964379885E-2</c:v>
                </c:pt>
                <c:pt idx="17">
                  <c:v>7.8832165187626327E-2</c:v>
                </c:pt>
                <c:pt idx="18">
                  <c:v>7.928193818294961E-2</c:v>
                </c:pt>
                <c:pt idx="19">
                  <c:v>7.967830008318319E-2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C-4132-8F9B-396DA6932EFE}"/>
            </c:ext>
          </c:extLst>
        </c:ser>
        <c:ser>
          <c:idx val="1"/>
          <c:order val="1"/>
          <c:tx>
            <c:strRef>
              <c:f>PrepayBOND!$D$5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PrepayBOND!$D$6:$D$25</c:f>
              <c:numCache>
                <c:formatCode>0.000000%</c:formatCode>
                <c:ptCount val="20"/>
                <c:pt idx="0">
                  <c:v>0.37499999999999739</c:v>
                </c:pt>
                <c:pt idx="1">
                  <c:v>0.23676838925349597</c:v>
                </c:pt>
                <c:pt idx="2">
                  <c:v>0.19406360655643856</c:v>
                </c:pt>
                <c:pt idx="3">
                  <c:v>0.17339479292361851</c:v>
                </c:pt>
                <c:pt idx="4">
                  <c:v>0.16126175673908644</c:v>
                </c:pt>
                <c:pt idx="5">
                  <c:v>0.15332084290468076</c:v>
                </c:pt>
                <c:pt idx="6">
                  <c:v>0.14774769679163283</c:v>
                </c:pt>
                <c:pt idx="7">
                  <c:v>0.14364208444947807</c:v>
                </c:pt>
                <c:pt idx="8">
                  <c:v>0.14050848278234057</c:v>
                </c:pt>
                <c:pt idx="9">
                  <c:v>0.13805158611821708</c:v>
                </c:pt>
                <c:pt idx="10">
                  <c:v>0.13608442395793599</c:v>
                </c:pt>
                <c:pt idx="11">
                  <c:v>0.13448282525400662</c:v>
                </c:pt>
                <c:pt idx="12">
                  <c:v>0.1331610711032388</c:v>
                </c:pt>
                <c:pt idx="13">
                  <c:v>0.13205806165933237</c:v>
                </c:pt>
                <c:pt idx="14">
                  <c:v>0.13112905594532157</c:v>
                </c:pt>
                <c:pt idx="15">
                  <c:v>0.13034053020095743</c:v>
                </c:pt>
                <c:pt idx="16">
                  <c:v>0.12966686257579954</c:v>
                </c:pt>
                <c:pt idx="17">
                  <c:v>0.12908812966126165</c:v>
                </c:pt>
                <c:pt idx="18">
                  <c:v>0.12858860287751059</c:v>
                </c:pt>
                <c:pt idx="19">
                  <c:v>0.12815569839967275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C-4132-8F9B-396DA6932EFE}"/>
            </c:ext>
          </c:extLst>
        </c:ser>
        <c:ser>
          <c:idx val="2"/>
          <c:order val="2"/>
          <c:tx>
            <c:strRef>
              <c:f>PrepayBOND!$E$5</c:f>
              <c:strCache>
                <c:ptCount val="1"/>
                <c:pt idx="0">
                  <c:v>Par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PrepayBOND!$E$6:$E$25</c:f>
              <c:numCache>
                <c:formatCode>0.000000%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C-4132-8F9B-396DA693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115711"/>
        <c:axId val="1"/>
      </c:lineChart>
      <c:catAx>
        <c:axId val="207111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906283497835918"/>
              <c:y val="0.865980471242337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551549602767601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111571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56311154412196"/>
          <c:y val="0.33505196804019011"/>
          <c:w val="0.18593764185916278"/>
          <c:h val="0.23453637762813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3842236247768"/>
          <c:y val="8.1841534428866325E-2"/>
          <c:w val="0.4672371172168765"/>
          <c:h val="0.66496246723453889"/>
        </c:manualLayout>
      </c:layout>
      <c:areaChart>
        <c:grouping val="stacked"/>
        <c:varyColors val="0"/>
        <c:ser>
          <c:idx val="1"/>
          <c:order val="0"/>
          <c:tx>
            <c:strRef>
              <c:f>'GNMA graph'!$B$2</c:f>
              <c:strCache>
                <c:ptCount val="1"/>
                <c:pt idx="0">
                  <c:v>Unscheduled Prepayment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graph'!$B$3:$B$32</c:f>
              <c:numCache>
                <c:formatCode>"$"#,##0</c:formatCode>
                <c:ptCount val="30"/>
                <c:pt idx="0">
                  <c:v>1240413.0981807129</c:v>
                </c:pt>
                <c:pt idx="1">
                  <c:v>3651848.0883160289</c:v>
                </c:pt>
                <c:pt idx="2">
                  <c:v>5580935.8611168433</c:v>
                </c:pt>
                <c:pt idx="3">
                  <c:v>5443405.1333007691</c:v>
                </c:pt>
                <c:pt idx="4">
                  <c:v>5069935.8491995987</c:v>
                </c:pt>
                <c:pt idx="5">
                  <c:v>4717281.3129569935</c:v>
                </c:pt>
                <c:pt idx="6">
                  <c:v>4384138.4637890626</c:v>
                </c:pt>
                <c:pt idx="7">
                  <c:v>4069280.5825779298</c:v>
                </c:pt>
                <c:pt idx="8">
                  <c:v>3771552.6487444164</c:v>
                </c:pt>
                <c:pt idx="9">
                  <c:v>3489866.9735790333</c:v>
                </c:pt>
                <c:pt idx="10">
                  <c:v>3223199.093371389</c:v>
                </c:pt>
                <c:pt idx="11">
                  <c:v>2970583.9066752442</c:v>
                </c:pt>
                <c:pt idx="12">
                  <c:v>2731112.0409836774</c:v>
                </c:pt>
                <c:pt idx="13">
                  <c:v>2503926.4349697083</c:v>
                </c:pt>
                <c:pt idx="14">
                  <c:v>2288219.1232757093</c:v>
                </c:pt>
                <c:pt idx="15">
                  <c:v>2083228.2116130928</c:v>
                </c:pt>
                <c:pt idx="16">
                  <c:v>1888235.0306651865</c:v>
                </c:pt>
                <c:pt idx="17">
                  <c:v>1702561.4579736167</c:v>
                </c:pt>
                <c:pt idx="18">
                  <c:v>1525567.3976345842</c:v>
                </c:pt>
                <c:pt idx="19">
                  <c:v>1356648.4082386331</c:v>
                </c:pt>
                <c:pt idx="20">
                  <c:v>1195233.4700581508</c:v>
                </c:pt>
                <c:pt idx="21">
                  <c:v>1040782.8830231682</c:v>
                </c:pt>
                <c:pt idx="22">
                  <c:v>892786.28753001383</c:v>
                </c:pt>
                <c:pt idx="23">
                  <c:v>750760.80060104863</c:v>
                </c:pt>
                <c:pt idx="24">
                  <c:v>614249.26035879785</c:v>
                </c:pt>
                <c:pt idx="25">
                  <c:v>482818.57219607173</c:v>
                </c:pt>
                <c:pt idx="26">
                  <c:v>356058.15041670843</c:v>
                </c:pt>
                <c:pt idx="27">
                  <c:v>233578.44949088845</c:v>
                </c:pt>
                <c:pt idx="28">
                  <c:v>115009.57941598991</c:v>
                </c:pt>
                <c:pt idx="29">
                  <c:v>4.1909515857696532E-11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4-4727-95A5-A1361CAA27F7}"/>
            </c:ext>
          </c:extLst>
        </c:ser>
        <c:ser>
          <c:idx val="2"/>
          <c:order val="1"/>
          <c:tx>
            <c:strRef>
              <c:f>'GNMA graph'!$C$2</c:f>
              <c:strCache>
                <c:ptCount val="1"/>
                <c:pt idx="0">
                  <c:v>Scheduled Payment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graph'!$C$3:$C$32</c:f>
              <c:numCache>
                <c:formatCode>"$"#,##0</c:formatCode>
                <c:ptCount val="30"/>
                <c:pt idx="0">
                  <c:v>632241.81827392615</c:v>
                </c:pt>
                <c:pt idx="1">
                  <c:v>687120.4081001021</c:v>
                </c:pt>
                <c:pt idx="2">
                  <c:v>728622.48074935004</c:v>
                </c:pt>
                <c:pt idx="3">
                  <c:v>755399.35691688769</c:v>
                </c:pt>
                <c:pt idx="4">
                  <c:v>781082.93505206332</c:v>
                </c:pt>
                <c:pt idx="5">
                  <c:v>807639.75484383292</c:v>
                </c:pt>
                <c:pt idx="6">
                  <c:v>835099.50650852174</c:v>
                </c:pt>
                <c:pt idx="7">
                  <c:v>863492.88972981181</c:v>
                </c:pt>
                <c:pt idx="8">
                  <c:v>892851.64798062667</c:v>
                </c:pt>
                <c:pt idx="9">
                  <c:v>923208.60401196778</c:v>
                </c:pt>
                <c:pt idx="10">
                  <c:v>954597.69654837251</c:v>
                </c:pt>
                <c:pt idx="11">
                  <c:v>987054.01823101845</c:v>
                </c:pt>
                <c:pt idx="12">
                  <c:v>1020613.8548508734</c:v>
                </c:pt>
                <c:pt idx="13">
                  <c:v>1055314.7259158026</c:v>
                </c:pt>
                <c:pt idx="14">
                  <c:v>1091195.42659694</c:v>
                </c:pt>
                <c:pt idx="15">
                  <c:v>1128296.0711012366</c:v>
                </c:pt>
                <c:pt idx="16">
                  <c:v>1166658.1375186783</c:v>
                </c:pt>
                <c:pt idx="17">
                  <c:v>1206324.514194313</c:v>
                </c:pt>
                <c:pt idx="18">
                  <c:v>1247339.5476769214</c:v>
                </c:pt>
                <c:pt idx="19">
                  <c:v>1289749.0922979368</c:v>
                </c:pt>
                <c:pt idx="20">
                  <c:v>1333600.5614360664</c:v>
                </c:pt>
                <c:pt idx="21">
                  <c:v>1378942.9805248925</c:v>
                </c:pt>
                <c:pt idx="22">
                  <c:v>1425827.0418627381</c:v>
                </c:pt>
                <c:pt idx="23">
                  <c:v>1474305.1612860721</c:v>
                </c:pt>
                <c:pt idx="24">
                  <c:v>1524431.5367697985</c:v>
                </c:pt>
                <c:pt idx="25">
                  <c:v>1576262.2090199713</c:v>
                </c:pt>
                <c:pt idx="26">
                  <c:v>1629855.1241266499</c:v>
                </c:pt>
                <c:pt idx="27">
                  <c:v>1685270.1983469576</c:v>
                </c:pt>
                <c:pt idx="28">
                  <c:v>1742569.3850907541</c:v>
                </c:pt>
                <c:pt idx="29">
                  <c:v>1801816.7441838414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4-4727-95A5-A1361CAA27F7}"/>
            </c:ext>
          </c:extLst>
        </c:ser>
        <c:ser>
          <c:idx val="3"/>
          <c:order val="2"/>
          <c:tx>
            <c:strRef>
              <c:f>'GNMA graph'!$D$2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graph'!$D$3:$D$32</c:f>
              <c:numCache>
                <c:formatCode>"$"#,##0</c:formatCode>
                <c:ptCount val="30"/>
                <c:pt idx="0">
                  <c:v>10400000</c:v>
                </c:pt>
                <c:pt idx="1">
                  <c:v>10212734.508354537</c:v>
                </c:pt>
                <c:pt idx="2">
                  <c:v>9778837.6587129235</c:v>
                </c:pt>
                <c:pt idx="3">
                  <c:v>9147881.8245263044</c:v>
                </c:pt>
                <c:pt idx="4">
                  <c:v>8528001.3755045384</c:v>
                </c:pt>
                <c:pt idx="5">
                  <c:v>7942899.4970793724</c:v>
                </c:pt>
                <c:pt idx="6">
                  <c:v>7390407.3902992904</c:v>
                </c:pt>
                <c:pt idx="7">
                  <c:v>6868483.5932695316</c:v>
                </c:pt>
                <c:pt idx="8">
                  <c:v>6375206.2460387573</c:v>
                </c:pt>
                <c:pt idx="9">
                  <c:v>5908765.8163662525</c:v>
                </c:pt>
                <c:pt idx="10">
                  <c:v>5467458.2586071528</c:v>
                </c:pt>
                <c:pt idx="11">
                  <c:v>5049678.5796151757</c:v>
                </c:pt>
                <c:pt idx="12">
                  <c:v>4653914.78712455</c:v>
                </c:pt>
                <c:pt idx="13">
                  <c:v>4278742.1975410944</c:v>
                </c:pt>
                <c:pt idx="14">
                  <c:v>3922818.0814525434</c:v>
                </c:pt>
                <c:pt idx="15">
                  <c:v>3584876.6264652782</c:v>
                </c:pt>
                <c:pt idx="16">
                  <c:v>3263724.1981938458</c:v>
                </c:pt>
                <c:pt idx="17">
                  <c:v>2958234.8813754595</c:v>
                </c:pt>
                <c:pt idx="18">
                  <c:v>2667346.2841586662</c:v>
                </c:pt>
                <c:pt idx="19">
                  <c:v>2390055.5896275155</c:v>
                </c:pt>
                <c:pt idx="20">
                  <c:v>2125415.8395738583</c:v>
                </c:pt>
                <c:pt idx="21">
                  <c:v>1872532.4364244365</c:v>
                </c:pt>
                <c:pt idx="22">
                  <c:v>1630559.8500696302</c:v>
                </c:pt>
                <c:pt idx="23">
                  <c:v>1398698.5171303551</c:v>
                </c:pt>
                <c:pt idx="24">
                  <c:v>1176191.920941643</c:v>
                </c:pt>
                <c:pt idx="25">
                  <c:v>962323.84122878336</c:v>
                </c:pt>
                <c:pt idx="26">
                  <c:v>756415.76310717908</c:v>
                </c:pt>
                <c:pt idx="27">
                  <c:v>557824.43565284321</c:v>
                </c:pt>
                <c:pt idx="28">
                  <c:v>365939.5708690586</c:v>
                </c:pt>
                <c:pt idx="29">
                  <c:v>180181.67441838421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4-4727-95A5-A1361CAA27F7}"/>
            </c:ext>
          </c:extLst>
        </c:ser>
        <c:ser>
          <c:idx val="4"/>
          <c:order val="3"/>
          <c:tx>
            <c:strRef>
              <c:f>'GNMA graph'!$E$2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graph'!$E$3:$E$32</c:f>
              <c:numCache>
                <c:formatCode>"$"#,##0</c:formatCode>
                <c:ptCount val="30"/>
                <c:pt idx="0">
                  <c:v>520000</c:v>
                </c:pt>
                <c:pt idx="1">
                  <c:v>510636.72541772679</c:v>
                </c:pt>
                <c:pt idx="2">
                  <c:v>488941.88293564616</c:v>
                </c:pt>
                <c:pt idx="3">
                  <c:v>457394.09122631518</c:v>
                </c:pt>
                <c:pt idx="4">
                  <c:v>426400.06877522694</c:v>
                </c:pt>
                <c:pt idx="5">
                  <c:v>397144.97485396866</c:v>
                </c:pt>
                <c:pt idx="6">
                  <c:v>369520.36951496452</c:v>
                </c:pt>
                <c:pt idx="7">
                  <c:v>343424.17966347659</c:v>
                </c:pt>
                <c:pt idx="8">
                  <c:v>318760.3123019379</c:v>
                </c:pt>
                <c:pt idx="9">
                  <c:v>295438.29081831261</c:v>
                </c:pt>
                <c:pt idx="10">
                  <c:v>273372.91293035762</c:v>
                </c:pt>
                <c:pt idx="11">
                  <c:v>252483.92898075879</c:v>
                </c:pt>
                <c:pt idx="12">
                  <c:v>232695.73935622748</c:v>
                </c:pt>
                <c:pt idx="13">
                  <c:v>213937.10987705473</c:v>
                </c:pt>
                <c:pt idx="14">
                  <c:v>196140.90407262716</c:v>
                </c:pt>
                <c:pt idx="15">
                  <c:v>179243.8313232639</c:v>
                </c:pt>
                <c:pt idx="16">
                  <c:v>163186.20990969229</c:v>
                </c:pt>
                <c:pt idx="17">
                  <c:v>147911.74406877297</c:v>
                </c:pt>
                <c:pt idx="18">
                  <c:v>133367.31420793332</c:v>
                </c:pt>
                <c:pt idx="19">
                  <c:v>119502.77948137578</c:v>
                </c:pt>
                <c:pt idx="20">
                  <c:v>106270.79197869291</c:v>
                </c:pt>
                <c:pt idx="21">
                  <c:v>93626.621821221823</c:v>
                </c:pt>
                <c:pt idx="22">
                  <c:v>81527.99250348151</c:v>
                </c:pt>
                <c:pt idx="23">
                  <c:v>69934.925856517744</c:v>
                </c:pt>
                <c:pt idx="24">
                  <c:v>58809.596047082145</c:v>
                </c:pt>
                <c:pt idx="25">
                  <c:v>48116.192061439164</c:v>
                </c:pt>
                <c:pt idx="26">
                  <c:v>37820.788155358954</c:v>
                </c:pt>
                <c:pt idx="27">
                  <c:v>27891.221782642162</c:v>
                </c:pt>
                <c:pt idx="28">
                  <c:v>18296.978543452929</c:v>
                </c:pt>
                <c:pt idx="29">
                  <c:v>9009.0837209192105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4-4727-95A5-A1361CAA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79167"/>
        <c:axId val="1"/>
      </c:areaChart>
      <c:catAx>
        <c:axId val="207057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2906028682042215"/>
              <c:y val="0.86700875535580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057916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63911792078146"/>
          <c:y val="0.2711000827956197"/>
          <c:w val="0.31196624594663397"/>
          <c:h val="0.28900291845193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11899689148126"/>
          <c:y val="8.2262210796915161E-2"/>
          <c:w val="0.49499353847228528"/>
          <c:h val="0.69151670951156807"/>
        </c:manualLayout>
      </c:layout>
      <c:areaChart>
        <c:grouping val="stacked"/>
        <c:varyColors val="0"/>
        <c:ser>
          <c:idx val="0"/>
          <c:order val="0"/>
          <c:tx>
            <c:strRef>
              <c:f>'Total Coupon'!$K$3</c:f>
              <c:strCache>
                <c:ptCount val="1"/>
                <c:pt idx="0">
                  <c:v>WAC on Bonds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Coupon'!$K$4:$K$33</c:f>
              <c:numCache>
                <c:formatCode>0.00%</c:formatCode>
                <c:ptCount val="30"/>
                <c:pt idx="0">
                  <c:v>8.2352941176470587E-2</c:v>
                </c:pt>
                <c:pt idx="1">
                  <c:v>8.2461126958580336E-2</c:v>
                </c:pt>
                <c:pt idx="2">
                  <c:v>8.2667194179191633E-2</c:v>
                </c:pt>
                <c:pt idx="3">
                  <c:v>8.2999453454094929E-2</c:v>
                </c:pt>
                <c:pt idx="4">
                  <c:v>8.342457693221908E-2</c:v>
                </c:pt>
                <c:pt idx="5">
                  <c:v>8.3740845267808686E-2</c:v>
                </c:pt>
                <c:pt idx="6">
                  <c:v>8.3969184821650319E-2</c:v>
                </c:pt>
                <c:pt idx="7">
                  <c:v>8.4292055169554833E-2</c:v>
                </c:pt>
                <c:pt idx="8">
                  <c:v>8.4786408797939264E-2</c:v>
                </c:pt>
                <c:pt idx="9">
                  <c:v>8.5000000000000006E-2</c:v>
                </c:pt>
                <c:pt idx="10">
                  <c:v>8.500000000000002E-2</c:v>
                </c:pt>
                <c:pt idx="11">
                  <c:v>8.9422678689394033E-2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9.0000000000000011E-2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414E-B2EB-DF5E613BBB92}"/>
            </c:ext>
          </c:extLst>
        </c:ser>
        <c:ser>
          <c:idx val="1"/>
          <c:order val="1"/>
          <c:tx>
            <c:strRef>
              <c:f>'Total Coupon'!$L$3</c:f>
              <c:strCache>
                <c:ptCount val="1"/>
                <c:pt idx="0">
                  <c:v>Residual Coup. Diff.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Coupon'!$L$4:$L$33</c:f>
              <c:numCache>
                <c:formatCode>0.00000000000000000%</c:formatCode>
                <c:ptCount val="30"/>
                <c:pt idx="0">
                  <c:v>1.2647058823529414E-2</c:v>
                </c:pt>
                <c:pt idx="1">
                  <c:v>1.2538873041419665E-2</c:v>
                </c:pt>
                <c:pt idx="2">
                  <c:v>1.2332805820808368E-2</c:v>
                </c:pt>
                <c:pt idx="3">
                  <c:v>1.2000546545905072E-2</c:v>
                </c:pt>
                <c:pt idx="4">
                  <c:v>1.1575423067780921E-2</c:v>
                </c:pt>
                <c:pt idx="5">
                  <c:v>1.1259154732191315E-2</c:v>
                </c:pt>
                <c:pt idx="6">
                  <c:v>1.1030815178349682E-2</c:v>
                </c:pt>
                <c:pt idx="7">
                  <c:v>1.0707944830445168E-2</c:v>
                </c:pt>
                <c:pt idx="8">
                  <c:v>1.0213591202060737E-2</c:v>
                </c:pt>
                <c:pt idx="9">
                  <c:v>9.999999999999995E-3</c:v>
                </c:pt>
                <c:pt idx="10">
                  <c:v>1.4999999999999986E-2</c:v>
                </c:pt>
                <c:pt idx="11">
                  <c:v>1.0577321310605972E-2</c:v>
                </c:pt>
                <c:pt idx="12">
                  <c:v>1.0000000000000009E-2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1.0000000000000009E-2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1.0000000000000009E-2</c:v>
                </c:pt>
                <c:pt idx="21">
                  <c:v>9.999999999999995E-3</c:v>
                </c:pt>
                <c:pt idx="22">
                  <c:v>1.0000000000000009E-2</c:v>
                </c:pt>
                <c:pt idx="23">
                  <c:v>1.0000000000000009E-2</c:v>
                </c:pt>
                <c:pt idx="24">
                  <c:v>1.0000000000000009E-2</c:v>
                </c:pt>
                <c:pt idx="25">
                  <c:v>1.0000000000000009E-2</c:v>
                </c:pt>
                <c:pt idx="26">
                  <c:v>1.0000000000000009E-2</c:v>
                </c:pt>
                <c:pt idx="27">
                  <c:v>1.0000000000000009E-2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9-414E-B2EB-DF5E613BBB92}"/>
            </c:ext>
          </c:extLst>
        </c:ser>
        <c:ser>
          <c:idx val="2"/>
          <c:order val="2"/>
          <c:tx>
            <c:strRef>
              <c:f>'Total Coupon'!$M$3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Coupon'!$M$4:$M$33</c:f>
              <c:numCache>
                <c:formatCode>0%</c:formatCode>
                <c:ptCount val="3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9-414E-B2EB-DF5E613BB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14399"/>
        <c:axId val="1"/>
      </c:areaChart>
      <c:catAx>
        <c:axId val="207311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4907058782438616"/>
              <c:y val="0.86632390745501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Coupon Rate</a:t>
                </a:r>
              </a:p>
            </c:rich>
          </c:tx>
          <c:layout>
            <c:manualLayout>
              <c:xMode val="edge"/>
              <c:yMode val="edge"/>
              <c:x val="2.2889874611435157E-2"/>
              <c:y val="0.267352185089974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3114399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384932415912826"/>
          <c:y val="0.3110539845758355"/>
          <c:w val="0.29470713562222767"/>
          <c:h val="0.23393316195372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25019550338402"/>
          <c:y val="8.1841534428866325E-2"/>
          <c:w val="0.60000045776402111"/>
          <c:h val="0.64705963157822433"/>
        </c:manualLayout>
      </c:layout>
      <c:lineChart>
        <c:grouping val="standard"/>
        <c:varyColors val="0"/>
        <c:ser>
          <c:idx val="0"/>
          <c:order val="0"/>
          <c:tx>
            <c:strRef>
              <c:f>IOPO!$H$3</c:f>
              <c:strCache>
                <c:ptCount val="1"/>
                <c:pt idx="0">
                  <c:v>PO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IOPO!$H$5:$H$34</c:f>
              <c:numCache>
                <c:formatCode>#,##0</c:formatCode>
                <c:ptCount val="30"/>
                <c:pt idx="0">
                  <c:v>1872654.9164546391</c:v>
                </c:pt>
                <c:pt idx="1">
                  <c:v>4338968.496416131</c:v>
                </c:pt>
                <c:pt idx="2">
                  <c:v>6309558.3418661933</c:v>
                </c:pt>
                <c:pt idx="3">
                  <c:v>6198804.4902176568</c:v>
                </c:pt>
                <c:pt idx="4">
                  <c:v>5851018.784251662</c:v>
                </c:pt>
                <c:pt idx="5">
                  <c:v>5524921.0678008264</c:v>
                </c:pt>
                <c:pt idx="6">
                  <c:v>5219237.9702975843</c:v>
                </c:pt>
                <c:pt idx="7">
                  <c:v>4932773.4723077416</c:v>
                </c:pt>
                <c:pt idx="8">
                  <c:v>4664404.2967250431</c:v>
                </c:pt>
                <c:pt idx="9">
                  <c:v>4413075.5775910011</c:v>
                </c:pt>
                <c:pt idx="10">
                  <c:v>4177796.7899197615</c:v>
                </c:pt>
                <c:pt idx="11">
                  <c:v>3957637.9249062627</c:v>
                </c:pt>
                <c:pt idx="12">
                  <c:v>3751725.8958345507</c:v>
                </c:pt>
                <c:pt idx="13">
                  <c:v>3559241.160885511</c:v>
                </c:pt>
                <c:pt idx="14">
                  <c:v>3379414.5498726494</c:v>
                </c:pt>
                <c:pt idx="15">
                  <c:v>3211524.2827143297</c:v>
                </c:pt>
                <c:pt idx="16">
                  <c:v>3054893.168183865</c:v>
                </c:pt>
                <c:pt idx="17">
                  <c:v>2908885.9721679296</c:v>
                </c:pt>
                <c:pt idx="18">
                  <c:v>2772906.9453115053</c:v>
                </c:pt>
                <c:pt idx="19">
                  <c:v>2646397.5005365699</c:v>
                </c:pt>
                <c:pt idx="20">
                  <c:v>2528834.031494217</c:v>
                </c:pt>
                <c:pt idx="21">
                  <c:v>2419725.8635480609</c:v>
                </c:pt>
                <c:pt idx="22">
                  <c:v>2318613.3293927517</c:v>
                </c:pt>
                <c:pt idx="23">
                  <c:v>2225065.9618871207</c:v>
                </c:pt>
                <c:pt idx="24">
                  <c:v>2138680.7971285963</c:v>
                </c:pt>
                <c:pt idx="25">
                  <c:v>2059080.781216043</c:v>
                </c:pt>
                <c:pt idx="26">
                  <c:v>1985913.2745433585</c:v>
                </c:pt>
                <c:pt idx="27">
                  <c:v>1918848.6478378461</c:v>
                </c:pt>
                <c:pt idx="28">
                  <c:v>1857578.9645067439</c:v>
                </c:pt>
                <c:pt idx="29">
                  <c:v>1801816.7441838414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B-4DBC-9686-7625A7032B3B}"/>
            </c:ext>
          </c:extLst>
        </c:ser>
        <c:ser>
          <c:idx val="1"/>
          <c:order val="1"/>
          <c:tx>
            <c:strRef>
              <c:f>IOPO!$I$3</c:f>
              <c:strCache>
                <c:ptCount val="1"/>
                <c:pt idx="0">
                  <c:v>IO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IOPO!$I$5:$I$34</c:f>
              <c:numCache>
                <c:formatCode>#,##0</c:formatCode>
                <c:ptCount val="30"/>
                <c:pt idx="0">
                  <c:v>9880000</c:v>
                </c:pt>
                <c:pt idx="1">
                  <c:v>9702097.7829368096</c:v>
                </c:pt>
                <c:pt idx="2">
                  <c:v>9289895.7757772766</c:v>
                </c:pt>
                <c:pt idx="3">
                  <c:v>8690487.7332999893</c:v>
                </c:pt>
                <c:pt idx="4">
                  <c:v>8101601.3067293111</c:v>
                </c:pt>
                <c:pt idx="5">
                  <c:v>7545754.5222254042</c:v>
                </c:pt>
                <c:pt idx="6">
                  <c:v>7020887.0207843259</c:v>
                </c:pt>
                <c:pt idx="7">
                  <c:v>6525059.4136060551</c:v>
                </c:pt>
                <c:pt idx="8">
                  <c:v>6056445.9337368198</c:v>
                </c:pt>
                <c:pt idx="9">
                  <c:v>5613327.5255479403</c:v>
                </c:pt>
                <c:pt idx="10">
                  <c:v>5194085.3456767956</c:v>
                </c:pt>
                <c:pt idx="11">
                  <c:v>4797194.6506344173</c:v>
                </c:pt>
                <c:pt idx="12">
                  <c:v>4421219.0477683228</c:v>
                </c:pt>
                <c:pt idx="13">
                  <c:v>4064805.0876640398</c:v>
                </c:pt>
                <c:pt idx="14">
                  <c:v>3726677.1773799164</c:v>
                </c:pt>
                <c:pt idx="15">
                  <c:v>3405632.7951420145</c:v>
                </c:pt>
                <c:pt idx="16">
                  <c:v>3100537.9882841534</c:v>
                </c:pt>
                <c:pt idx="17">
                  <c:v>2810323.1373066865</c:v>
                </c:pt>
                <c:pt idx="18">
                  <c:v>2533978.9699507328</c:v>
                </c:pt>
                <c:pt idx="19">
                  <c:v>2270552.8101461399</c:v>
                </c:pt>
                <c:pt idx="20">
                  <c:v>2019145.0475951654</c:v>
                </c:pt>
                <c:pt idx="21">
                  <c:v>1778905.8146032146</c:v>
                </c:pt>
                <c:pt idx="22">
                  <c:v>1549031.8575661487</c:v>
                </c:pt>
                <c:pt idx="23">
                  <c:v>1328763.5912738373</c:v>
                </c:pt>
                <c:pt idx="24">
                  <c:v>1117382.3248945607</c:v>
                </c:pt>
                <c:pt idx="25">
                  <c:v>914207.64916734421</c:v>
                </c:pt>
                <c:pt idx="26">
                  <c:v>718594.9749518201</c:v>
                </c:pt>
                <c:pt idx="27">
                  <c:v>529933.21387020103</c:v>
                </c:pt>
                <c:pt idx="28">
                  <c:v>347642.59232560568</c:v>
                </c:pt>
                <c:pt idx="29">
                  <c:v>171172.590697465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B-4DBC-9686-7625A703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574367"/>
        <c:axId val="1"/>
      </c:lineChart>
      <c:catAx>
        <c:axId val="20705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45781284928348487"/>
              <c:y val="0.86189365945399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</a:t>
                </a:r>
              </a:p>
            </c:rich>
          </c:tx>
          <c:layout>
            <c:manualLayout>
              <c:xMode val="edge"/>
              <c:yMode val="edge"/>
              <c:x val="2.5000019073500881E-2"/>
              <c:y val="0.2608698909920114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057436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3816638043703"/>
          <c:y val="0.31713594591185701"/>
          <c:w val="0.11406258702284776"/>
          <c:h val="0.176470808612243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47672931764418"/>
          <c:y val="8.5333555556134255E-2"/>
          <c:w val="0.49273059869323527"/>
          <c:h val="0.64800168750439457"/>
        </c:manualLayout>
      </c:layout>
      <c:lineChart>
        <c:grouping val="standard"/>
        <c:varyColors val="0"/>
        <c:ser>
          <c:idx val="0"/>
          <c:order val="0"/>
          <c:tx>
            <c:strRef>
              <c:f>IOPO!$C$4</c:f>
              <c:strCache>
                <c:ptCount val="1"/>
                <c:pt idx="0">
                  <c:v>Floater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IOPO!$C$5:$C$34</c:f>
              <c:numCache>
                <c:formatCode>"$"#,##0.00_);\("$"#,##0.00\)</c:formatCode>
                <c:ptCount val="30"/>
                <c:pt idx="0" formatCode="&quot;$&quot;#,##0_);\(&quot;$&quot;#,##0\)">
                  <c:v>5200000</c:v>
                </c:pt>
                <c:pt idx="1">
                  <c:v>5149452.3751591677</c:v>
                </c:pt>
                <c:pt idx="2">
                  <c:v>4975642.8514344515</c:v>
                </c:pt>
                <c:pt idx="3">
                  <c:v>4704115.6083396003</c:v>
                </c:pt>
                <c:pt idx="4">
                  <c:v>4466550.4205357572</c:v>
                </c:pt>
                <c:pt idx="5">
                  <c:v>4230330.0656113029</c:v>
                </c:pt>
                <c:pt idx="6">
                  <c:v>3971720.4616105855</c:v>
                </c:pt>
                <c:pt idx="7">
                  <c:v>3748986.8246222986</c:v>
                </c:pt>
                <c:pt idx="8">
                  <c:v>3517292.8910968392</c:v>
                </c:pt>
                <c:pt idx="9">
                  <c:v>3296752.1277552741</c:v>
                </c:pt>
                <c:pt idx="10">
                  <c:v>3102537.9124332387</c:v>
                </c:pt>
                <c:pt idx="11">
                  <c:v>2895468.6154370424</c:v>
                </c:pt>
                <c:pt idx="12">
                  <c:v>2678989.447964258</c:v>
                </c:pt>
                <c:pt idx="13">
                  <c:v>2485922.9007753427</c:v>
                </c:pt>
                <c:pt idx="14">
                  <c:v>2284210.4836919224</c:v>
                </c:pt>
                <c:pt idx="15">
                  <c:v>2099756.6523704156</c:v>
                </c:pt>
                <c:pt idx="16">
                  <c:v>1939521.1158437338</c:v>
                </c:pt>
                <c:pt idx="17">
                  <c:v>1765470.9013675461</c:v>
                </c:pt>
                <c:pt idx="18">
                  <c:v>1602384.2653645424</c:v>
                </c:pt>
                <c:pt idx="19">
                  <c:v>1456945.6010197497</c:v>
                </c:pt>
                <c:pt idx="20">
                  <c:v>1303522.789690003</c:v>
                </c:pt>
                <c:pt idx="21">
                  <c:v>1161096.4294071037</c:v>
                </c:pt>
                <c:pt idx="22">
                  <c:v>1012757.8134397959</c:v>
                </c:pt>
                <c:pt idx="23">
                  <c:v>876632.34204510332</c:v>
                </c:pt>
                <c:pt idx="24">
                  <c:v>742008.85342042125</c:v>
                </c:pt>
                <c:pt idx="25">
                  <c:v>607312.59105198213</c:v>
                </c:pt>
                <c:pt idx="26">
                  <c:v>482780.1291253239</c:v>
                </c:pt>
                <c:pt idx="27">
                  <c:v>358925.75786493771</c:v>
                </c:pt>
                <c:pt idx="28">
                  <c:v>238404.12336338576</c:v>
                </c:pt>
                <c:pt idx="29">
                  <c:v>118396.15379619991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3-47D6-810C-FB82B527574F}"/>
            </c:ext>
          </c:extLst>
        </c:ser>
        <c:ser>
          <c:idx val="1"/>
          <c:order val="1"/>
          <c:tx>
            <c:strRef>
              <c:f>IOPO!$E$4</c:f>
              <c:strCache>
                <c:ptCount val="1"/>
                <c:pt idx="0">
                  <c:v>Inverse Floater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IOPO!$E$5:$E$34</c:f>
              <c:numCache>
                <c:formatCode>"$"#,##0.00_);\("$"#,##0.00\)</c:formatCode>
                <c:ptCount val="30"/>
                <c:pt idx="0" formatCode="&quot;$&quot;#,##0_);\(&quot;$&quot;#,##0\)">
                  <c:v>4680000</c:v>
                </c:pt>
                <c:pt idx="1">
                  <c:v>4552645.407777641</c:v>
                </c:pt>
                <c:pt idx="2">
                  <c:v>4314252.924342826</c:v>
                </c:pt>
                <c:pt idx="3">
                  <c:v>3986372.124960389</c:v>
                </c:pt>
                <c:pt idx="4">
                  <c:v>3635050.8861935544</c:v>
                </c:pt>
                <c:pt idx="5">
                  <c:v>3315424.4566141008</c:v>
                </c:pt>
                <c:pt idx="6">
                  <c:v>3049166.559173739</c:v>
                </c:pt>
                <c:pt idx="7">
                  <c:v>2776072.5889837551</c:v>
                </c:pt>
                <c:pt idx="8">
                  <c:v>2539153.0426399792</c:v>
                </c:pt>
                <c:pt idx="9">
                  <c:v>2316575.3977926658</c:v>
                </c:pt>
                <c:pt idx="10">
                  <c:v>2091547.4332435559</c:v>
                </c:pt>
                <c:pt idx="11">
                  <c:v>1901726.0351973749</c:v>
                </c:pt>
                <c:pt idx="12">
                  <c:v>1742229.599804064</c:v>
                </c:pt>
                <c:pt idx="13">
                  <c:v>1578882.1868886973</c:v>
                </c:pt>
                <c:pt idx="14">
                  <c:v>1442466.6936879938</c:v>
                </c:pt>
                <c:pt idx="15">
                  <c:v>1305876.1427715993</c:v>
                </c:pt>
                <c:pt idx="16">
                  <c:v>1161016.8724404192</c:v>
                </c:pt>
                <c:pt idx="17">
                  <c:v>1044852.2359391398</c:v>
                </c:pt>
                <c:pt idx="18">
                  <c:v>931594.70458619075</c:v>
                </c:pt>
                <c:pt idx="19">
                  <c:v>813607.20912639075</c:v>
                </c:pt>
                <c:pt idx="20">
                  <c:v>715622.25790516287</c:v>
                </c:pt>
                <c:pt idx="21">
                  <c:v>617809.38519611175</c:v>
                </c:pt>
                <c:pt idx="22">
                  <c:v>536274.04412635416</c:v>
                </c:pt>
                <c:pt idx="23">
                  <c:v>452131.24922873592</c:v>
                </c:pt>
                <c:pt idx="24">
                  <c:v>375373.47147414141</c:v>
                </c:pt>
                <c:pt idx="25">
                  <c:v>306895.0581153633</c:v>
                </c:pt>
                <c:pt idx="26">
                  <c:v>235814.84582649768</c:v>
                </c:pt>
                <c:pt idx="27">
                  <c:v>171007.45600526468</c:v>
                </c:pt>
                <c:pt idx="28">
                  <c:v>109238.46896222112</c:v>
                </c:pt>
                <c:pt idx="29">
                  <c:v>52776.436901266155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3-47D6-810C-FB82B527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574847"/>
        <c:axId val="1"/>
      </c:lineChart>
      <c:catAx>
        <c:axId val="207057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4410366400543974"/>
              <c:y val="0.85866890278360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057484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597793976702894"/>
          <c:y val="0.32533418055776187"/>
          <c:w val="0.2810987677790916"/>
          <c:h val="0.1680004375011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Simulated LIBOR Index</a:t>
            </a:r>
          </a:p>
        </c:rich>
      </c:tx>
      <c:layout>
        <c:manualLayout>
          <c:xMode val="edge"/>
          <c:yMode val="edge"/>
          <c:x val="0.29468645375159419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87622168789895"/>
          <c:y val="0.27868852459016391"/>
          <c:w val="0.66183678957325254"/>
          <c:h val="0.3737704918032787"/>
        </c:manualLayout>
      </c:layout>
      <c:lineChart>
        <c:grouping val="standard"/>
        <c:varyColors val="0"/>
        <c:ser>
          <c:idx val="0"/>
          <c:order val="0"/>
          <c:tx>
            <c:strRef>
              <c:f>IOPO!$B$4</c:f>
              <c:strCache>
                <c:ptCount val="1"/>
                <c:pt idx="0">
                  <c:v>LIBOR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IOPO!$B$5:$B$34</c:f>
              <c:numCache>
                <c:formatCode>General</c:formatCode>
                <c:ptCount val="30"/>
                <c:pt idx="0">
                  <c:v>0.05</c:v>
                </c:pt>
                <c:pt idx="1">
                  <c:v>5.0421876442069989E-2</c:v>
                </c:pt>
                <c:pt idx="2">
                  <c:v>5.0881741011429553E-2</c:v>
                </c:pt>
                <c:pt idx="3">
                  <c:v>5.1423003691711863E-2</c:v>
                </c:pt>
                <c:pt idx="4">
                  <c:v>5.23751137442975E-2</c:v>
                </c:pt>
                <c:pt idx="5">
                  <c:v>5.3259267187842525E-2</c:v>
                </c:pt>
                <c:pt idx="6">
                  <c:v>5.3741563243508053E-2</c:v>
                </c:pt>
                <c:pt idx="7">
                  <c:v>5.4582452934676208E-2</c:v>
                </c:pt>
                <c:pt idx="8">
                  <c:v>5.5171436897156298E-2</c:v>
                </c:pt>
                <c:pt idx="9">
                  <c:v>5.5794259414103785E-2</c:v>
                </c:pt>
                <c:pt idx="10">
                  <c:v>5.6745525355389133E-2</c:v>
                </c:pt>
                <c:pt idx="11">
                  <c:v>5.7339661718780112E-2</c:v>
                </c:pt>
                <c:pt idx="12">
                  <c:v>5.7564213581561698E-2</c:v>
                </c:pt>
                <c:pt idx="13">
                  <c:v>5.8099384959532069E-2</c:v>
                </c:pt>
                <c:pt idx="14">
                  <c:v>5.8228815006535393E-2</c:v>
                </c:pt>
                <c:pt idx="15">
                  <c:v>5.8572633626189669E-2</c:v>
                </c:pt>
                <c:pt idx="16">
                  <c:v>5.9426624250819682E-2</c:v>
                </c:pt>
                <c:pt idx="17">
                  <c:v>5.9679875742208607E-2</c:v>
                </c:pt>
                <c:pt idx="18">
                  <c:v>6.0074099672812672E-2</c:v>
                </c:pt>
                <c:pt idx="19">
                  <c:v>6.0958649135303619E-2</c:v>
                </c:pt>
                <c:pt idx="20">
                  <c:v>6.1330247258877889E-2</c:v>
                </c:pt>
                <c:pt idx="21">
                  <c:v>6.2006745881753256E-2</c:v>
                </c:pt>
                <c:pt idx="22">
                  <c:v>6.2111048140707434E-2</c:v>
                </c:pt>
                <c:pt idx="23">
                  <c:v>6.267486032970479E-2</c:v>
                </c:pt>
                <c:pt idx="24">
                  <c:v>6.3085695472757372E-2</c:v>
                </c:pt>
                <c:pt idx="25">
                  <c:v>6.3108962392172355E-2</c:v>
                </c:pt>
                <c:pt idx="26">
                  <c:v>6.3824704966773171E-2</c:v>
                </c:pt>
                <c:pt idx="27">
                  <c:v>6.4343857121438627E-2</c:v>
                </c:pt>
                <c:pt idx="28">
                  <c:v>6.514849509092617E-2</c:v>
                </c:pt>
                <c:pt idx="29">
                  <c:v>6.5709320428048501E-2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9-4CAB-A731-8524744A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80127"/>
        <c:axId val="1"/>
      </c:lineChart>
      <c:catAx>
        <c:axId val="2070580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2351113298726378"/>
              <c:y val="0.832786885245901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05801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42640465605598"/>
          <c:y val="0.4163934426229508"/>
          <c:w val="0.17069269998726222"/>
          <c:h val="9.83606557377049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15</xdr:col>
      <xdr:colOff>9525</xdr:colOff>
      <xdr:row>24</xdr:row>
      <xdr:rowOff>28575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1E3754CC-E5FA-39E9-F902-B97B2270D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19050</xdr:rowOff>
    </xdr:from>
    <xdr:to>
      <xdr:col>14</xdr:col>
      <xdr:colOff>590550</xdr:colOff>
      <xdr:row>49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1AF7AA69-5355-FABA-1BD5-5F572741D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52</xdr:row>
      <xdr:rowOff>19050</xdr:rowOff>
    </xdr:from>
    <xdr:to>
      <xdr:col>15</xdr:col>
      <xdr:colOff>0</xdr:colOff>
      <xdr:row>76</xdr:row>
      <xdr:rowOff>9525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EABA309-8E14-20BD-A436-6E15E11E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2</xdr:row>
      <xdr:rowOff>28575</xdr:rowOff>
    </xdr:from>
    <xdr:to>
      <xdr:col>38</xdr:col>
      <xdr:colOff>19050</xdr:colOff>
      <xdr:row>25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50289A5E-DC6C-99D9-EA54-E2E67C4A9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28575</xdr:rowOff>
    </xdr:from>
    <xdr:to>
      <xdr:col>17</xdr:col>
      <xdr:colOff>600075</xdr:colOff>
      <xdr:row>24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AA1231E-3E5A-D599-7477-A5CB2F731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9525</xdr:rowOff>
    </xdr:from>
    <xdr:to>
      <xdr:col>31</xdr:col>
      <xdr:colOff>600075</xdr:colOff>
      <xdr:row>24</xdr:row>
      <xdr:rowOff>152400</xdr:rowOff>
    </xdr:to>
    <xdr:graphicFrame macro="">
      <xdr:nvGraphicFramePr>
        <xdr:cNvPr id="8196" name="Chart 4">
          <a:extLst>
            <a:ext uri="{FF2B5EF4-FFF2-40B4-BE49-F238E27FC236}">
              <a16:creationId xmlns:a16="http://schemas.microsoft.com/office/drawing/2014/main" id="{A2D51698-E92F-651B-BE74-093243C4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9525</xdr:rowOff>
    </xdr:from>
    <xdr:to>
      <xdr:col>23</xdr:col>
      <xdr:colOff>0</xdr:colOff>
      <xdr:row>23</xdr:row>
      <xdr:rowOff>9525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9732F24A-E746-8569-857D-04C7F34B2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37</xdr:row>
      <xdr:rowOff>9525</xdr:rowOff>
    </xdr:from>
    <xdr:to>
      <xdr:col>7</xdr:col>
      <xdr:colOff>809625</xdr:colOff>
      <xdr:row>59</xdr:row>
      <xdr:rowOff>19050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C400BBF2-BCDE-54C6-2811-34AD0C6D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19050</xdr:rowOff>
    </xdr:from>
    <xdr:to>
      <xdr:col>8</xdr:col>
      <xdr:colOff>0</xdr:colOff>
      <xdr:row>79</xdr:row>
      <xdr:rowOff>9525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4108D18E-135C-F008-520D-2FFB7EB4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19050</xdr:rowOff>
    </xdr:from>
    <xdr:to>
      <xdr:col>41</xdr:col>
      <xdr:colOff>0</xdr:colOff>
      <xdr:row>24</xdr:row>
      <xdr:rowOff>19050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81CA3D08-1797-6A84-6162-C0B20FBA5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19050</xdr:rowOff>
    </xdr:from>
    <xdr:to>
      <xdr:col>17</xdr:col>
      <xdr:colOff>600075</xdr:colOff>
      <xdr:row>25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88305F9-E967-8CB6-060D-67A4FD65E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19050</xdr:rowOff>
    </xdr:from>
    <xdr:to>
      <xdr:col>17</xdr:col>
      <xdr:colOff>0</xdr:colOff>
      <xdr:row>24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9A1A500-E559-821C-C7E7-1A2EFD3E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E54" workbookViewId="0">
      <selection activeCell="P72" sqref="P72"/>
    </sheetView>
  </sheetViews>
  <sheetFormatPr defaultRowHeight="12.75" x14ac:dyDescent="0.2"/>
  <sheetData>
    <row r="1" spans="1:4" x14ac:dyDescent="0.2">
      <c r="A1" t="s">
        <v>0</v>
      </c>
      <c r="B1" t="s">
        <v>57</v>
      </c>
      <c r="C1" t="s">
        <v>56</v>
      </c>
      <c r="D1" t="s">
        <v>58</v>
      </c>
    </row>
    <row r="2" spans="1:4" x14ac:dyDescent="0.2">
      <c r="A2" s="1">
        <v>0</v>
      </c>
      <c r="B2" s="2">
        <v>0</v>
      </c>
      <c r="C2" s="15">
        <f>B2*2</f>
        <v>0</v>
      </c>
      <c r="D2" s="15">
        <f>B2*5</f>
        <v>0</v>
      </c>
    </row>
    <row r="3" spans="1:4" x14ac:dyDescent="0.2">
      <c r="A3" s="1">
        <f t="shared" ref="A3:A62" si="0">A2+1</f>
        <v>1</v>
      </c>
      <c r="B3" s="2">
        <f t="shared" ref="B3:B62" si="1">MINA(0.06,+B2+0.002)</f>
        <v>2E-3</v>
      </c>
      <c r="C3" s="15">
        <f t="shared" ref="C3:C62" si="2">B3*2</f>
        <v>4.0000000000000001E-3</v>
      </c>
      <c r="D3" s="15">
        <f t="shared" ref="D3:D62" si="3">B3*5</f>
        <v>0.01</v>
      </c>
    </row>
    <row r="4" spans="1:4" x14ac:dyDescent="0.2">
      <c r="A4" s="1">
        <f t="shared" si="0"/>
        <v>2</v>
      </c>
      <c r="B4" s="2">
        <f t="shared" si="1"/>
        <v>4.0000000000000001E-3</v>
      </c>
      <c r="C4" s="15">
        <f t="shared" si="2"/>
        <v>8.0000000000000002E-3</v>
      </c>
      <c r="D4" s="15">
        <f t="shared" si="3"/>
        <v>0.02</v>
      </c>
    </row>
    <row r="5" spans="1:4" x14ac:dyDescent="0.2">
      <c r="A5" s="1">
        <f t="shared" si="0"/>
        <v>3</v>
      </c>
      <c r="B5" s="2">
        <f t="shared" si="1"/>
        <v>6.0000000000000001E-3</v>
      </c>
      <c r="C5" s="15">
        <f t="shared" si="2"/>
        <v>1.2E-2</v>
      </c>
      <c r="D5" s="15">
        <f t="shared" si="3"/>
        <v>0.03</v>
      </c>
    </row>
    <row r="6" spans="1:4" x14ac:dyDescent="0.2">
      <c r="A6" s="1">
        <f t="shared" si="0"/>
        <v>4</v>
      </c>
      <c r="B6" s="2">
        <f t="shared" si="1"/>
        <v>8.0000000000000002E-3</v>
      </c>
      <c r="C6" s="15">
        <f t="shared" si="2"/>
        <v>1.6E-2</v>
      </c>
      <c r="D6" s="15">
        <f t="shared" si="3"/>
        <v>0.04</v>
      </c>
    </row>
    <row r="7" spans="1:4" x14ac:dyDescent="0.2">
      <c r="A7" s="1">
        <f t="shared" si="0"/>
        <v>5</v>
      </c>
      <c r="B7" s="2">
        <f t="shared" si="1"/>
        <v>0.01</v>
      </c>
      <c r="C7" s="15">
        <f t="shared" si="2"/>
        <v>0.02</v>
      </c>
      <c r="D7" s="15">
        <f t="shared" si="3"/>
        <v>0.05</v>
      </c>
    </row>
    <row r="8" spans="1:4" x14ac:dyDescent="0.2">
      <c r="A8" s="1">
        <f t="shared" si="0"/>
        <v>6</v>
      </c>
      <c r="B8" s="2">
        <f t="shared" si="1"/>
        <v>1.2E-2</v>
      </c>
      <c r="C8" s="15">
        <f t="shared" si="2"/>
        <v>2.4E-2</v>
      </c>
      <c r="D8" s="15">
        <f t="shared" si="3"/>
        <v>0.06</v>
      </c>
    </row>
    <row r="9" spans="1:4" x14ac:dyDescent="0.2">
      <c r="A9" s="1">
        <f t="shared" si="0"/>
        <v>7</v>
      </c>
      <c r="B9" s="2">
        <f t="shared" si="1"/>
        <v>1.4E-2</v>
      </c>
      <c r="C9" s="15">
        <f t="shared" si="2"/>
        <v>2.8000000000000001E-2</v>
      </c>
      <c r="D9" s="15">
        <f t="shared" si="3"/>
        <v>7.0000000000000007E-2</v>
      </c>
    </row>
    <row r="10" spans="1:4" x14ac:dyDescent="0.2">
      <c r="A10" s="1">
        <f t="shared" si="0"/>
        <v>8</v>
      </c>
      <c r="B10" s="2">
        <f t="shared" si="1"/>
        <v>1.6E-2</v>
      </c>
      <c r="C10" s="15">
        <f t="shared" si="2"/>
        <v>3.2000000000000001E-2</v>
      </c>
      <c r="D10" s="15">
        <f t="shared" si="3"/>
        <v>0.08</v>
      </c>
    </row>
    <row r="11" spans="1:4" x14ac:dyDescent="0.2">
      <c r="A11" s="1">
        <f t="shared" si="0"/>
        <v>9</v>
      </c>
      <c r="B11" s="2">
        <f t="shared" si="1"/>
        <v>1.8000000000000002E-2</v>
      </c>
      <c r="C11" s="15">
        <f t="shared" si="2"/>
        <v>3.6000000000000004E-2</v>
      </c>
      <c r="D11" s="15">
        <f t="shared" si="3"/>
        <v>9.0000000000000011E-2</v>
      </c>
    </row>
    <row r="12" spans="1:4" x14ac:dyDescent="0.2">
      <c r="A12" s="1">
        <f t="shared" si="0"/>
        <v>10</v>
      </c>
      <c r="B12" s="2">
        <f t="shared" si="1"/>
        <v>2.0000000000000004E-2</v>
      </c>
      <c r="C12" s="15">
        <f t="shared" si="2"/>
        <v>4.0000000000000008E-2</v>
      </c>
      <c r="D12" s="15">
        <f t="shared" si="3"/>
        <v>0.10000000000000002</v>
      </c>
    </row>
    <row r="13" spans="1:4" x14ac:dyDescent="0.2">
      <c r="A13" s="1">
        <f t="shared" si="0"/>
        <v>11</v>
      </c>
      <c r="B13" s="2">
        <f t="shared" si="1"/>
        <v>2.2000000000000006E-2</v>
      </c>
      <c r="C13" s="15">
        <f t="shared" si="2"/>
        <v>4.4000000000000011E-2</v>
      </c>
      <c r="D13" s="15">
        <f t="shared" si="3"/>
        <v>0.11000000000000003</v>
      </c>
    </row>
    <row r="14" spans="1:4" x14ac:dyDescent="0.2">
      <c r="A14" s="1">
        <f t="shared" si="0"/>
        <v>12</v>
      </c>
      <c r="B14" s="2">
        <f t="shared" si="1"/>
        <v>2.4000000000000007E-2</v>
      </c>
      <c r="C14" s="15">
        <f t="shared" si="2"/>
        <v>4.8000000000000015E-2</v>
      </c>
      <c r="D14" s="15">
        <f t="shared" si="3"/>
        <v>0.12000000000000004</v>
      </c>
    </row>
    <row r="15" spans="1:4" x14ac:dyDescent="0.2">
      <c r="A15" s="1">
        <f t="shared" si="0"/>
        <v>13</v>
      </c>
      <c r="B15" s="2">
        <f t="shared" si="1"/>
        <v>2.6000000000000009E-2</v>
      </c>
      <c r="C15" s="15">
        <f t="shared" si="2"/>
        <v>5.2000000000000018E-2</v>
      </c>
      <c r="D15" s="15">
        <f t="shared" si="3"/>
        <v>0.13000000000000006</v>
      </c>
    </row>
    <row r="16" spans="1:4" x14ac:dyDescent="0.2">
      <c r="A16" s="1">
        <f t="shared" si="0"/>
        <v>14</v>
      </c>
      <c r="B16" s="2">
        <f t="shared" si="1"/>
        <v>2.8000000000000011E-2</v>
      </c>
      <c r="C16" s="15">
        <f t="shared" si="2"/>
        <v>5.6000000000000022E-2</v>
      </c>
      <c r="D16" s="15">
        <f t="shared" si="3"/>
        <v>0.14000000000000007</v>
      </c>
    </row>
    <row r="17" spans="1:4" x14ac:dyDescent="0.2">
      <c r="A17" s="1">
        <f t="shared" si="0"/>
        <v>15</v>
      </c>
      <c r="B17" s="2">
        <f t="shared" si="1"/>
        <v>3.0000000000000013E-2</v>
      </c>
      <c r="C17" s="15">
        <f t="shared" si="2"/>
        <v>6.0000000000000026E-2</v>
      </c>
      <c r="D17" s="15">
        <f t="shared" si="3"/>
        <v>0.15000000000000008</v>
      </c>
    </row>
    <row r="18" spans="1:4" x14ac:dyDescent="0.2">
      <c r="A18" s="1">
        <f t="shared" si="0"/>
        <v>16</v>
      </c>
      <c r="B18" s="2">
        <f t="shared" si="1"/>
        <v>3.2000000000000015E-2</v>
      </c>
      <c r="C18" s="15">
        <f t="shared" si="2"/>
        <v>6.4000000000000029E-2</v>
      </c>
      <c r="D18" s="15">
        <f t="shared" si="3"/>
        <v>0.16000000000000009</v>
      </c>
    </row>
    <row r="19" spans="1:4" x14ac:dyDescent="0.2">
      <c r="A19" s="1">
        <f t="shared" si="0"/>
        <v>17</v>
      </c>
      <c r="B19" s="2">
        <f t="shared" si="1"/>
        <v>3.4000000000000016E-2</v>
      </c>
      <c r="C19" s="15">
        <f t="shared" si="2"/>
        <v>6.8000000000000033E-2</v>
      </c>
      <c r="D19" s="15">
        <f t="shared" si="3"/>
        <v>0.1700000000000001</v>
      </c>
    </row>
    <row r="20" spans="1:4" x14ac:dyDescent="0.2">
      <c r="A20" s="1">
        <f t="shared" si="0"/>
        <v>18</v>
      </c>
      <c r="B20" s="2">
        <f t="shared" si="1"/>
        <v>3.6000000000000018E-2</v>
      </c>
      <c r="C20" s="15">
        <f t="shared" si="2"/>
        <v>7.2000000000000036E-2</v>
      </c>
      <c r="D20" s="15">
        <f t="shared" si="3"/>
        <v>0.1800000000000001</v>
      </c>
    </row>
    <row r="21" spans="1:4" x14ac:dyDescent="0.2">
      <c r="A21" s="1">
        <f t="shared" si="0"/>
        <v>19</v>
      </c>
      <c r="B21" s="2">
        <f t="shared" si="1"/>
        <v>3.800000000000002E-2</v>
      </c>
      <c r="C21" s="15">
        <f t="shared" si="2"/>
        <v>7.600000000000004E-2</v>
      </c>
      <c r="D21" s="15">
        <f t="shared" si="3"/>
        <v>0.19000000000000011</v>
      </c>
    </row>
    <row r="22" spans="1:4" x14ac:dyDescent="0.2">
      <c r="A22" s="1">
        <f t="shared" si="0"/>
        <v>20</v>
      </c>
      <c r="B22" s="2">
        <f t="shared" si="1"/>
        <v>4.0000000000000022E-2</v>
      </c>
      <c r="C22" s="15">
        <f t="shared" si="2"/>
        <v>8.0000000000000043E-2</v>
      </c>
      <c r="D22" s="15">
        <f t="shared" si="3"/>
        <v>0.20000000000000012</v>
      </c>
    </row>
    <row r="23" spans="1:4" x14ac:dyDescent="0.2">
      <c r="A23" s="1">
        <f t="shared" si="0"/>
        <v>21</v>
      </c>
      <c r="B23" s="2">
        <f t="shared" si="1"/>
        <v>4.2000000000000023E-2</v>
      </c>
      <c r="C23" s="15">
        <f t="shared" si="2"/>
        <v>8.4000000000000047E-2</v>
      </c>
      <c r="D23" s="15">
        <f t="shared" si="3"/>
        <v>0.21000000000000013</v>
      </c>
    </row>
    <row r="24" spans="1:4" x14ac:dyDescent="0.2">
      <c r="A24" s="1">
        <f t="shared" si="0"/>
        <v>22</v>
      </c>
      <c r="B24" s="2">
        <f t="shared" si="1"/>
        <v>4.4000000000000025E-2</v>
      </c>
      <c r="C24" s="15">
        <f t="shared" si="2"/>
        <v>8.800000000000005E-2</v>
      </c>
      <c r="D24" s="15">
        <f t="shared" si="3"/>
        <v>0.22000000000000014</v>
      </c>
    </row>
    <row r="25" spans="1:4" x14ac:dyDescent="0.2">
      <c r="A25" s="1">
        <f t="shared" si="0"/>
        <v>23</v>
      </c>
      <c r="B25" s="2">
        <f t="shared" si="1"/>
        <v>4.6000000000000027E-2</v>
      </c>
      <c r="C25" s="15">
        <f t="shared" si="2"/>
        <v>9.2000000000000054E-2</v>
      </c>
      <c r="D25" s="15">
        <f t="shared" si="3"/>
        <v>0.23000000000000015</v>
      </c>
    </row>
    <row r="26" spans="1:4" x14ac:dyDescent="0.2">
      <c r="A26" s="1">
        <f t="shared" si="0"/>
        <v>24</v>
      </c>
      <c r="B26" s="2">
        <f t="shared" si="1"/>
        <v>4.8000000000000029E-2</v>
      </c>
      <c r="C26" s="15">
        <f t="shared" si="2"/>
        <v>9.6000000000000058E-2</v>
      </c>
      <c r="D26" s="15">
        <f t="shared" si="3"/>
        <v>0.24000000000000016</v>
      </c>
    </row>
    <row r="27" spans="1:4" x14ac:dyDescent="0.2">
      <c r="A27" s="1">
        <f t="shared" si="0"/>
        <v>25</v>
      </c>
      <c r="B27" s="2">
        <f t="shared" si="1"/>
        <v>5.0000000000000031E-2</v>
      </c>
      <c r="C27" s="15">
        <f t="shared" si="2"/>
        <v>0.10000000000000006</v>
      </c>
      <c r="D27" s="15">
        <f t="shared" si="3"/>
        <v>0.25000000000000017</v>
      </c>
    </row>
    <row r="28" spans="1:4" x14ac:dyDescent="0.2">
      <c r="A28" s="1">
        <f t="shared" si="0"/>
        <v>26</v>
      </c>
      <c r="B28" s="2">
        <f t="shared" si="1"/>
        <v>5.2000000000000032E-2</v>
      </c>
      <c r="C28" s="15">
        <f t="shared" si="2"/>
        <v>0.10400000000000006</v>
      </c>
      <c r="D28" s="15">
        <f t="shared" si="3"/>
        <v>0.26000000000000018</v>
      </c>
    </row>
    <row r="29" spans="1:4" x14ac:dyDescent="0.2">
      <c r="A29" s="1">
        <f t="shared" si="0"/>
        <v>27</v>
      </c>
      <c r="B29" s="2">
        <f t="shared" si="1"/>
        <v>5.4000000000000034E-2</v>
      </c>
      <c r="C29" s="15">
        <f t="shared" si="2"/>
        <v>0.10800000000000007</v>
      </c>
      <c r="D29" s="15">
        <f t="shared" si="3"/>
        <v>0.27000000000000018</v>
      </c>
    </row>
    <row r="30" spans="1:4" x14ac:dyDescent="0.2">
      <c r="A30" s="1">
        <f t="shared" si="0"/>
        <v>28</v>
      </c>
      <c r="B30" s="2">
        <f t="shared" si="1"/>
        <v>5.6000000000000036E-2</v>
      </c>
      <c r="C30" s="15">
        <f t="shared" si="2"/>
        <v>0.11200000000000007</v>
      </c>
      <c r="D30" s="15">
        <f t="shared" si="3"/>
        <v>0.28000000000000019</v>
      </c>
    </row>
    <row r="31" spans="1:4" x14ac:dyDescent="0.2">
      <c r="A31" s="1">
        <f t="shared" si="0"/>
        <v>29</v>
      </c>
      <c r="B31" s="2">
        <f t="shared" si="1"/>
        <v>5.8000000000000038E-2</v>
      </c>
      <c r="C31" s="15">
        <f t="shared" si="2"/>
        <v>0.11600000000000008</v>
      </c>
      <c r="D31" s="15">
        <f t="shared" si="3"/>
        <v>0.2900000000000002</v>
      </c>
    </row>
    <row r="32" spans="1:4" x14ac:dyDescent="0.2">
      <c r="A32" s="1">
        <f t="shared" si="0"/>
        <v>30</v>
      </c>
      <c r="B32" s="2">
        <f t="shared" si="1"/>
        <v>0.06</v>
      </c>
      <c r="C32" s="15">
        <f t="shared" si="2"/>
        <v>0.12</v>
      </c>
      <c r="D32" s="15">
        <f t="shared" si="3"/>
        <v>0.3</v>
      </c>
    </row>
    <row r="33" spans="1:4" x14ac:dyDescent="0.2">
      <c r="A33" s="1">
        <f t="shared" si="0"/>
        <v>31</v>
      </c>
      <c r="B33" s="2">
        <f t="shared" si="1"/>
        <v>0.06</v>
      </c>
      <c r="C33" s="15">
        <f t="shared" si="2"/>
        <v>0.12</v>
      </c>
      <c r="D33" s="15">
        <f t="shared" si="3"/>
        <v>0.3</v>
      </c>
    </row>
    <row r="34" spans="1:4" x14ac:dyDescent="0.2">
      <c r="A34" s="1">
        <f t="shared" si="0"/>
        <v>32</v>
      </c>
      <c r="B34" s="2">
        <f t="shared" si="1"/>
        <v>0.06</v>
      </c>
      <c r="C34" s="15">
        <f t="shared" si="2"/>
        <v>0.12</v>
      </c>
      <c r="D34" s="15">
        <f t="shared" si="3"/>
        <v>0.3</v>
      </c>
    </row>
    <row r="35" spans="1:4" x14ac:dyDescent="0.2">
      <c r="A35" s="1">
        <f t="shared" si="0"/>
        <v>33</v>
      </c>
      <c r="B35" s="2">
        <f t="shared" si="1"/>
        <v>0.06</v>
      </c>
      <c r="C35" s="15">
        <f t="shared" si="2"/>
        <v>0.12</v>
      </c>
      <c r="D35" s="15">
        <f t="shared" si="3"/>
        <v>0.3</v>
      </c>
    </row>
    <row r="36" spans="1:4" x14ac:dyDescent="0.2">
      <c r="A36" s="1">
        <f t="shared" si="0"/>
        <v>34</v>
      </c>
      <c r="B36" s="2">
        <f t="shared" si="1"/>
        <v>0.06</v>
      </c>
      <c r="C36" s="15">
        <f t="shared" si="2"/>
        <v>0.12</v>
      </c>
      <c r="D36" s="15">
        <f t="shared" si="3"/>
        <v>0.3</v>
      </c>
    </row>
    <row r="37" spans="1:4" x14ac:dyDescent="0.2">
      <c r="A37" s="1">
        <f t="shared" si="0"/>
        <v>35</v>
      </c>
      <c r="B37" s="2">
        <f t="shared" si="1"/>
        <v>0.06</v>
      </c>
      <c r="C37" s="15">
        <f t="shared" si="2"/>
        <v>0.12</v>
      </c>
      <c r="D37" s="15">
        <f t="shared" si="3"/>
        <v>0.3</v>
      </c>
    </row>
    <row r="38" spans="1:4" x14ac:dyDescent="0.2">
      <c r="A38" s="1">
        <f t="shared" si="0"/>
        <v>36</v>
      </c>
      <c r="B38" s="2">
        <f t="shared" si="1"/>
        <v>0.06</v>
      </c>
      <c r="C38" s="15">
        <f t="shared" si="2"/>
        <v>0.12</v>
      </c>
      <c r="D38" s="15">
        <f t="shared" si="3"/>
        <v>0.3</v>
      </c>
    </row>
    <row r="39" spans="1:4" x14ac:dyDescent="0.2">
      <c r="A39" s="1">
        <f t="shared" si="0"/>
        <v>37</v>
      </c>
      <c r="B39" s="2">
        <f t="shared" si="1"/>
        <v>0.06</v>
      </c>
      <c r="C39" s="15">
        <f t="shared" si="2"/>
        <v>0.12</v>
      </c>
      <c r="D39" s="15">
        <f t="shared" si="3"/>
        <v>0.3</v>
      </c>
    </row>
    <row r="40" spans="1:4" x14ac:dyDescent="0.2">
      <c r="A40" s="1">
        <f t="shared" si="0"/>
        <v>38</v>
      </c>
      <c r="B40" s="2">
        <f t="shared" si="1"/>
        <v>0.06</v>
      </c>
      <c r="C40" s="15">
        <f t="shared" si="2"/>
        <v>0.12</v>
      </c>
      <c r="D40" s="15">
        <f t="shared" si="3"/>
        <v>0.3</v>
      </c>
    </row>
    <row r="41" spans="1:4" x14ac:dyDescent="0.2">
      <c r="A41" s="1">
        <f t="shared" si="0"/>
        <v>39</v>
      </c>
      <c r="B41" s="2">
        <f t="shared" si="1"/>
        <v>0.06</v>
      </c>
      <c r="C41" s="15">
        <f t="shared" si="2"/>
        <v>0.12</v>
      </c>
      <c r="D41" s="15">
        <f t="shared" si="3"/>
        <v>0.3</v>
      </c>
    </row>
    <row r="42" spans="1:4" x14ac:dyDescent="0.2">
      <c r="A42" s="1">
        <f t="shared" si="0"/>
        <v>40</v>
      </c>
      <c r="B42" s="2">
        <f t="shared" si="1"/>
        <v>0.06</v>
      </c>
      <c r="C42" s="15">
        <f t="shared" si="2"/>
        <v>0.12</v>
      </c>
      <c r="D42" s="15">
        <f t="shared" si="3"/>
        <v>0.3</v>
      </c>
    </row>
    <row r="43" spans="1:4" x14ac:dyDescent="0.2">
      <c r="A43" s="1">
        <f t="shared" si="0"/>
        <v>41</v>
      </c>
      <c r="B43" s="2">
        <f t="shared" si="1"/>
        <v>0.06</v>
      </c>
      <c r="C43" s="15">
        <f t="shared" si="2"/>
        <v>0.12</v>
      </c>
      <c r="D43" s="15">
        <f t="shared" si="3"/>
        <v>0.3</v>
      </c>
    </row>
    <row r="44" spans="1:4" x14ac:dyDescent="0.2">
      <c r="A44" s="1">
        <f t="shared" si="0"/>
        <v>42</v>
      </c>
      <c r="B44" s="2">
        <f t="shared" si="1"/>
        <v>0.06</v>
      </c>
      <c r="C44" s="15">
        <f t="shared" si="2"/>
        <v>0.12</v>
      </c>
      <c r="D44" s="15">
        <f t="shared" si="3"/>
        <v>0.3</v>
      </c>
    </row>
    <row r="45" spans="1:4" x14ac:dyDescent="0.2">
      <c r="A45" s="1">
        <f t="shared" si="0"/>
        <v>43</v>
      </c>
      <c r="B45" s="2">
        <f t="shared" si="1"/>
        <v>0.06</v>
      </c>
      <c r="C45" s="15">
        <f t="shared" si="2"/>
        <v>0.12</v>
      </c>
      <c r="D45" s="15">
        <f t="shared" si="3"/>
        <v>0.3</v>
      </c>
    </row>
    <row r="46" spans="1:4" x14ac:dyDescent="0.2">
      <c r="A46" s="1">
        <f t="shared" si="0"/>
        <v>44</v>
      </c>
      <c r="B46" s="2">
        <f t="shared" si="1"/>
        <v>0.06</v>
      </c>
      <c r="C46" s="15">
        <f t="shared" si="2"/>
        <v>0.12</v>
      </c>
      <c r="D46" s="15">
        <f t="shared" si="3"/>
        <v>0.3</v>
      </c>
    </row>
    <row r="47" spans="1:4" x14ac:dyDescent="0.2">
      <c r="A47" s="1">
        <f t="shared" si="0"/>
        <v>45</v>
      </c>
      <c r="B47" s="2">
        <f t="shared" si="1"/>
        <v>0.06</v>
      </c>
      <c r="C47" s="15">
        <f t="shared" si="2"/>
        <v>0.12</v>
      </c>
      <c r="D47" s="15">
        <f t="shared" si="3"/>
        <v>0.3</v>
      </c>
    </row>
    <row r="48" spans="1:4" x14ac:dyDescent="0.2">
      <c r="A48" s="1">
        <f t="shared" si="0"/>
        <v>46</v>
      </c>
      <c r="B48" s="2">
        <f t="shared" si="1"/>
        <v>0.06</v>
      </c>
      <c r="C48" s="15">
        <f t="shared" si="2"/>
        <v>0.12</v>
      </c>
      <c r="D48" s="15">
        <f t="shared" si="3"/>
        <v>0.3</v>
      </c>
    </row>
    <row r="49" spans="1:4" x14ac:dyDescent="0.2">
      <c r="A49" s="1">
        <f t="shared" si="0"/>
        <v>47</v>
      </c>
      <c r="B49" s="2">
        <f t="shared" si="1"/>
        <v>0.06</v>
      </c>
      <c r="C49" s="15">
        <f t="shared" si="2"/>
        <v>0.12</v>
      </c>
      <c r="D49" s="15">
        <f t="shared" si="3"/>
        <v>0.3</v>
      </c>
    </row>
    <row r="50" spans="1:4" x14ac:dyDescent="0.2">
      <c r="A50" s="1">
        <f t="shared" si="0"/>
        <v>48</v>
      </c>
      <c r="B50" s="2">
        <f t="shared" si="1"/>
        <v>0.06</v>
      </c>
      <c r="C50" s="15">
        <f t="shared" si="2"/>
        <v>0.12</v>
      </c>
      <c r="D50" s="15">
        <f t="shared" si="3"/>
        <v>0.3</v>
      </c>
    </row>
    <row r="51" spans="1:4" x14ac:dyDescent="0.2">
      <c r="A51" s="1">
        <f t="shared" si="0"/>
        <v>49</v>
      </c>
      <c r="B51" s="2">
        <f t="shared" si="1"/>
        <v>0.06</v>
      </c>
      <c r="C51" s="15">
        <f t="shared" si="2"/>
        <v>0.12</v>
      </c>
      <c r="D51" s="15">
        <f t="shared" si="3"/>
        <v>0.3</v>
      </c>
    </row>
    <row r="52" spans="1:4" x14ac:dyDescent="0.2">
      <c r="A52" s="1">
        <f t="shared" si="0"/>
        <v>50</v>
      </c>
      <c r="B52" s="2">
        <f t="shared" si="1"/>
        <v>0.06</v>
      </c>
      <c r="C52" s="15">
        <f t="shared" si="2"/>
        <v>0.12</v>
      </c>
      <c r="D52" s="15">
        <f t="shared" si="3"/>
        <v>0.3</v>
      </c>
    </row>
    <row r="53" spans="1:4" x14ac:dyDescent="0.2">
      <c r="A53" s="1">
        <f t="shared" si="0"/>
        <v>51</v>
      </c>
      <c r="B53" s="2">
        <f t="shared" si="1"/>
        <v>0.06</v>
      </c>
      <c r="C53" s="15">
        <f t="shared" si="2"/>
        <v>0.12</v>
      </c>
      <c r="D53" s="15">
        <f t="shared" si="3"/>
        <v>0.3</v>
      </c>
    </row>
    <row r="54" spans="1:4" x14ac:dyDescent="0.2">
      <c r="A54" s="1">
        <f t="shared" si="0"/>
        <v>52</v>
      </c>
      <c r="B54" s="2">
        <f t="shared" si="1"/>
        <v>0.06</v>
      </c>
      <c r="C54" s="15">
        <f t="shared" si="2"/>
        <v>0.12</v>
      </c>
      <c r="D54" s="15">
        <f t="shared" si="3"/>
        <v>0.3</v>
      </c>
    </row>
    <row r="55" spans="1:4" x14ac:dyDescent="0.2">
      <c r="A55" s="1">
        <f t="shared" si="0"/>
        <v>53</v>
      </c>
      <c r="B55" s="2">
        <f t="shared" si="1"/>
        <v>0.06</v>
      </c>
      <c r="C55" s="15">
        <f t="shared" si="2"/>
        <v>0.12</v>
      </c>
      <c r="D55" s="15">
        <f t="shared" si="3"/>
        <v>0.3</v>
      </c>
    </row>
    <row r="56" spans="1:4" x14ac:dyDescent="0.2">
      <c r="A56" s="1">
        <f t="shared" si="0"/>
        <v>54</v>
      </c>
      <c r="B56" s="2">
        <f t="shared" si="1"/>
        <v>0.06</v>
      </c>
      <c r="C56" s="15">
        <f t="shared" si="2"/>
        <v>0.12</v>
      </c>
      <c r="D56" s="15">
        <f t="shared" si="3"/>
        <v>0.3</v>
      </c>
    </row>
    <row r="57" spans="1:4" x14ac:dyDescent="0.2">
      <c r="A57" s="1">
        <f t="shared" si="0"/>
        <v>55</v>
      </c>
      <c r="B57" s="2">
        <f t="shared" si="1"/>
        <v>0.06</v>
      </c>
      <c r="C57" s="15">
        <f t="shared" si="2"/>
        <v>0.12</v>
      </c>
      <c r="D57" s="15">
        <f t="shared" si="3"/>
        <v>0.3</v>
      </c>
    </row>
    <row r="58" spans="1:4" x14ac:dyDescent="0.2">
      <c r="A58" s="1">
        <f t="shared" si="0"/>
        <v>56</v>
      </c>
      <c r="B58" s="2">
        <f t="shared" si="1"/>
        <v>0.06</v>
      </c>
      <c r="C58" s="15">
        <f t="shared" si="2"/>
        <v>0.12</v>
      </c>
      <c r="D58" s="15">
        <f t="shared" si="3"/>
        <v>0.3</v>
      </c>
    </row>
    <row r="59" spans="1:4" x14ac:dyDescent="0.2">
      <c r="A59" s="1">
        <f t="shared" si="0"/>
        <v>57</v>
      </c>
      <c r="B59" s="2">
        <f t="shared" si="1"/>
        <v>0.06</v>
      </c>
      <c r="C59" s="15">
        <f t="shared" si="2"/>
        <v>0.12</v>
      </c>
      <c r="D59" s="15">
        <f t="shared" si="3"/>
        <v>0.3</v>
      </c>
    </row>
    <row r="60" spans="1:4" x14ac:dyDescent="0.2">
      <c r="A60" s="1">
        <f t="shared" si="0"/>
        <v>58</v>
      </c>
      <c r="B60" s="2">
        <f t="shared" si="1"/>
        <v>0.06</v>
      </c>
      <c r="C60" s="15">
        <f t="shared" si="2"/>
        <v>0.12</v>
      </c>
      <c r="D60" s="15">
        <f t="shared" si="3"/>
        <v>0.3</v>
      </c>
    </row>
    <row r="61" spans="1:4" x14ac:dyDescent="0.2">
      <c r="A61" s="1">
        <f t="shared" si="0"/>
        <v>59</v>
      </c>
      <c r="B61" s="2">
        <f t="shared" si="1"/>
        <v>0.06</v>
      </c>
      <c r="C61" s="15">
        <f t="shared" si="2"/>
        <v>0.12</v>
      </c>
      <c r="D61" s="15">
        <f t="shared" si="3"/>
        <v>0.3</v>
      </c>
    </row>
    <row r="62" spans="1:4" x14ac:dyDescent="0.2">
      <c r="A62" s="1">
        <f t="shared" si="0"/>
        <v>60</v>
      </c>
      <c r="B62" s="2">
        <f t="shared" si="1"/>
        <v>0.06</v>
      </c>
      <c r="C62" s="15">
        <f t="shared" si="2"/>
        <v>0.12</v>
      </c>
      <c r="D62" s="15">
        <f t="shared" si="3"/>
        <v>0.3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topLeftCell="A24" workbookViewId="0">
      <selection activeCell="B5" sqref="B5"/>
    </sheetView>
  </sheetViews>
  <sheetFormatPr defaultRowHeight="12.75" x14ac:dyDescent="0.2"/>
  <cols>
    <col min="2" max="4" width="11.140625" bestFit="1" customWidth="1"/>
    <col min="5" max="5" width="13.5703125" customWidth="1"/>
    <col min="6" max="6" width="10.140625" bestFit="1" customWidth="1"/>
  </cols>
  <sheetData>
    <row r="4" spans="1:6" x14ac:dyDescent="0.2">
      <c r="B4" t="s">
        <v>51</v>
      </c>
      <c r="C4" t="s">
        <v>52</v>
      </c>
      <c r="D4" t="s">
        <v>53</v>
      </c>
      <c r="E4" t="s">
        <v>54</v>
      </c>
      <c r="F4" t="s">
        <v>55</v>
      </c>
    </row>
    <row r="5" spans="1:6" x14ac:dyDescent="0.2">
      <c r="A5">
        <v>1</v>
      </c>
      <c r="B5" s="13">
        <f>Tranches!R27</f>
        <v>6136414.9164546393</v>
      </c>
      <c r="C5" s="13">
        <f>Tranches!X27</f>
        <v>2475000</v>
      </c>
      <c r="D5" s="13">
        <f>Tranches!AD27</f>
        <v>2125000</v>
      </c>
      <c r="E5" s="13">
        <f>Tranches!AM27</f>
        <v>0</v>
      </c>
      <c r="F5" s="13">
        <f>Tranches!AO27</f>
        <v>1530000</v>
      </c>
    </row>
    <row r="6" spans="1:6" x14ac:dyDescent="0.2">
      <c r="A6">
        <v>2</v>
      </c>
      <c r="B6" s="13">
        <f>Tranches!R28</f>
        <v>8379505.2457011538</v>
      </c>
      <c r="C6" s="13">
        <f>Tranches!X28</f>
        <v>2475000</v>
      </c>
      <c r="D6" s="13">
        <f>Tranches!AD28</f>
        <v>2125000</v>
      </c>
      <c r="E6" s="13">
        <f>Tranches!AM28</f>
        <v>0</v>
      </c>
      <c r="F6" s="13">
        <f>Tranches!AO28</f>
        <v>1480703.7762531815</v>
      </c>
    </row>
    <row r="7" spans="1:6" x14ac:dyDescent="0.2">
      <c r="A7">
        <v>3</v>
      </c>
      <c r="B7" s="13">
        <f>Tranches!R29</f>
        <v>9905165.6317783073</v>
      </c>
      <c r="C7" s="13">
        <f>Tranches!X29</f>
        <v>2475000</v>
      </c>
      <c r="D7" s="13">
        <f>Tranches!AD29</f>
        <v>2125000</v>
      </c>
      <c r="E7" s="13">
        <f>Tranches!AM29</f>
        <v>0</v>
      </c>
      <c r="F7" s="13">
        <f>Tranches!AO29</f>
        <v>1393884.9996679164</v>
      </c>
    </row>
    <row r="8" spans="1:6" x14ac:dyDescent="0.2">
      <c r="A8">
        <v>4</v>
      </c>
      <c r="B8" s="13">
        <f>Tranches!R30</f>
        <v>9211744.9692518506</v>
      </c>
      <c r="C8" s="13">
        <f>Tranches!X30</f>
        <v>2475000</v>
      </c>
      <c r="D8" s="13">
        <f>Tranches!AD30</f>
        <v>2125000</v>
      </c>
      <c r="E8" s="13">
        <f>Tranches!AM30</f>
        <v>0</v>
      </c>
      <c r="F8" s="13">
        <f>Tranches!AO30</f>
        <v>1277309.3901646752</v>
      </c>
    </row>
    <row r="9" spans="1:6" x14ac:dyDescent="0.2">
      <c r="A9">
        <v>5</v>
      </c>
      <c r="B9" s="13">
        <f>Tranches!R31</f>
        <v>3673484.4844132373</v>
      </c>
      <c r="C9" s="13">
        <f>Tranches!X31</f>
        <v>7106109.0339462841</v>
      </c>
      <c r="D9" s="13">
        <f>Tranches!AD31</f>
        <v>2125000</v>
      </c>
      <c r="E9" s="13">
        <f>Tranches!AM31</f>
        <v>0</v>
      </c>
      <c r="F9" s="13">
        <f>Tranches!AO31</f>
        <v>1161889.2385890735</v>
      </c>
    </row>
    <row r="10" spans="1:6" x14ac:dyDescent="0.2">
      <c r="A10">
        <v>6</v>
      </c>
      <c r="B10" s="13">
        <f>Tranches!R32</f>
        <v>0</v>
      </c>
      <c r="C10" s="13">
        <f>Tranches!X32</f>
        <v>9921227.0734874383</v>
      </c>
      <c r="D10" s="13">
        <f>Tranches!AD32</f>
        <v>2125000</v>
      </c>
      <c r="E10" s="13">
        <f>Tranches!AM32</f>
        <v>0</v>
      </c>
      <c r="F10" s="13">
        <f>Tranches!AO32</f>
        <v>1062507.9336931705</v>
      </c>
    </row>
    <row r="11" spans="1:6" x14ac:dyDescent="0.2">
      <c r="A11">
        <v>7</v>
      </c>
      <c r="B11" s="13">
        <f>Tranches!R33</f>
        <v>0</v>
      </c>
      <c r="C11" s="13">
        <f>Tranches!X33</f>
        <v>9111538.257391626</v>
      </c>
      <c r="D11" s="13">
        <f>Tranches!AD33</f>
        <v>2125000</v>
      </c>
      <c r="E11" s="13">
        <f>Tranches!AM33</f>
        <v>0</v>
      </c>
      <c r="F11" s="13">
        <f>Tranches!AO33</f>
        <v>975039.97577889077</v>
      </c>
    </row>
    <row r="12" spans="1:6" x14ac:dyDescent="0.2">
      <c r="A12">
        <v>8</v>
      </c>
      <c r="B12" s="13">
        <f>Tranches!R34</f>
        <v>0</v>
      </c>
      <c r="C12" s="13">
        <f>Tranches!X34</f>
        <v>8355497.3452833351</v>
      </c>
      <c r="D12" s="13">
        <f>Tranches!AD34</f>
        <v>2125000</v>
      </c>
      <c r="E12" s="13">
        <f>Tranches!AM34</f>
        <v>0</v>
      </c>
      <c r="F12" s="13">
        <f>Tranches!AO34</f>
        <v>890554.91437560506</v>
      </c>
    </row>
    <row r="13" spans="1:6" x14ac:dyDescent="0.2">
      <c r="A13">
        <v>9</v>
      </c>
      <c r="B13" s="13">
        <f>Tranches!R35</f>
        <v>0</v>
      </c>
      <c r="C13" s="13">
        <f>Tranches!X35</f>
        <v>2528118.2923099664</v>
      </c>
      <c r="D13" s="13">
        <f>Tranches!AD35</f>
        <v>7246698.3821683424</v>
      </c>
      <c r="E13" s="13">
        <f>Tranches!AM35</f>
        <v>0</v>
      </c>
      <c r="F13" s="13">
        <f>Tranches!AO35</f>
        <v>808635.25000101235</v>
      </c>
    </row>
    <row r="14" spans="1:6" x14ac:dyDescent="0.2">
      <c r="A14">
        <v>10</v>
      </c>
      <c r="B14" s="13">
        <f>Tranches!R36</f>
        <v>0</v>
      </c>
      <c r="C14" s="13">
        <f>Tranches!X36</f>
        <v>0</v>
      </c>
      <c r="D14" s="13">
        <f>Tranches!AD36</f>
        <v>9103635.5178316683</v>
      </c>
      <c r="E14" s="13">
        <f>Tranches!AM36</f>
        <v>0</v>
      </c>
      <c r="F14" s="13">
        <f>Tranches!AO36</f>
        <v>741675.01213648915</v>
      </c>
    </row>
    <row r="15" spans="1:6" x14ac:dyDescent="0.2">
      <c r="A15">
        <v>11</v>
      </c>
      <c r="B15" s="13">
        <f>Tranches!R37</f>
        <v>0</v>
      </c>
      <c r="C15" s="13">
        <f>Tranches!X37</f>
        <v>0</v>
      </c>
      <c r="D15" s="13">
        <f>Tranches!AD37</f>
        <v>8471188.8664536271</v>
      </c>
      <c r="E15" s="13">
        <f>Tranches!AM37</f>
        <v>0</v>
      </c>
      <c r="F15" s="13">
        <f>Tranches!AO37</f>
        <v>682195.49296956323</v>
      </c>
    </row>
    <row r="16" spans="1:6" x14ac:dyDescent="0.2">
      <c r="A16">
        <v>12</v>
      </c>
      <c r="B16" s="13">
        <f>Tranches!R38</f>
        <v>0</v>
      </c>
      <c r="C16" s="13">
        <f>Tranches!X38</f>
        <v>0</v>
      </c>
      <c r="D16" s="13">
        <f>Tranches!AD38</f>
        <v>5482071.2373447111</v>
      </c>
      <c r="E16" s="13">
        <f>Tranches!AM38</f>
        <v>2398508.9681166289</v>
      </c>
      <c r="F16" s="13">
        <f>Tranches!AO38</f>
        <v>624057.98258541338</v>
      </c>
    </row>
    <row r="17" spans="1:6" x14ac:dyDescent="0.2">
      <c r="A17">
        <v>13</v>
      </c>
      <c r="B17" s="13">
        <f>Tranches!R39</f>
        <v>0</v>
      </c>
      <c r="C17" s="13">
        <f>Tranches!X39</f>
        <v>0</v>
      </c>
      <c r="D17" s="13">
        <f>Tranches!AD39</f>
        <v>0</v>
      </c>
      <c r="E17" s="13">
        <f>Tranches!AM39</f>
        <v>7317274.407909859</v>
      </c>
      <c r="F17" s="13">
        <f>Tranches!AO39</f>
        <v>578957.31379313208</v>
      </c>
    </row>
    <row r="18" spans="1:6" x14ac:dyDescent="0.2">
      <c r="A18">
        <v>14</v>
      </c>
      <c r="B18" s="13">
        <f>Tranches!R40</f>
        <v>0</v>
      </c>
      <c r="C18" s="13">
        <f>Tranches!X40</f>
        <v>0</v>
      </c>
      <c r="D18" s="13">
        <f>Tranches!AD40</f>
        <v>0</v>
      </c>
      <c r="E18" s="13">
        <f>Tranches!AM40</f>
        <v>6765229.800132256</v>
      </c>
      <c r="F18" s="13">
        <f>Tranches!AO40</f>
        <v>560277.09999496583</v>
      </c>
    </row>
    <row r="19" spans="1:6" x14ac:dyDescent="0.2">
      <c r="A19">
        <v>15</v>
      </c>
      <c r="B19" s="13">
        <f>Tranches!R41</f>
        <v>0</v>
      </c>
      <c r="C19" s="13">
        <f>Tranches!X41</f>
        <v>0</v>
      </c>
      <c r="D19" s="13">
        <f>Tranches!AD41</f>
        <v>0</v>
      </c>
      <c r="E19" s="13">
        <f>Tranches!AM41</f>
        <v>6247300.1138049411</v>
      </c>
      <c r="F19" s="13">
        <f>Tranches!AO41</f>
        <v>542675.88999385107</v>
      </c>
    </row>
    <row r="20" spans="1:6" x14ac:dyDescent="0.2">
      <c r="A20">
        <v>16</v>
      </c>
      <c r="B20" s="13">
        <f>Tranches!R42</f>
        <v>0</v>
      </c>
      <c r="C20" s="13">
        <f>Tranches!X42</f>
        <v>0</v>
      </c>
      <c r="D20" s="13">
        <f>Tranches!AD42</f>
        <v>0</v>
      </c>
      <c r="E20" s="13">
        <f>Tranches!AM42</f>
        <v>5761230.285727052</v>
      </c>
      <c r="F20" s="13">
        <f>Tranches!AO42</f>
        <v>526080.21952427272</v>
      </c>
    </row>
    <row r="21" spans="1:6" x14ac:dyDescent="0.2">
      <c r="A21">
        <v>17</v>
      </c>
      <c r="B21" s="13">
        <f>Tranches!R43</f>
        <v>0</v>
      </c>
      <c r="C21" s="13">
        <f>Tranches!X43</f>
        <v>0</v>
      </c>
      <c r="D21" s="13">
        <f>Tranches!AD43</f>
        <v>0</v>
      </c>
      <c r="E21" s="13">
        <f>Tranches!AM43</f>
        <v>5304909.317801021</v>
      </c>
      <c r="F21" s="13">
        <f>Tranches!AO43</f>
        <v>510421.28785282094</v>
      </c>
    </row>
    <row r="22" spans="1:6" x14ac:dyDescent="0.2">
      <c r="A22">
        <v>18</v>
      </c>
      <c r="B22" s="13">
        <f>Tranches!R44</f>
        <v>0</v>
      </c>
      <c r="C22" s="13">
        <f>Tranches!X44</f>
        <v>0</v>
      </c>
      <c r="D22" s="13">
        <f>Tranches!AD44</f>
        <v>0</v>
      </c>
      <c r="E22" s="13">
        <f>Tranches!AM44</f>
        <v>4876360.737984335</v>
      </c>
      <c r="F22" s="13">
        <f>Tranches!AO44</f>
        <v>495634.65717056952</v>
      </c>
    </row>
    <row r="23" spans="1:6" x14ac:dyDescent="0.2">
      <c r="A23">
        <v>19</v>
      </c>
      <c r="B23" s="13">
        <f>Tranches!R45</f>
        <v>0</v>
      </c>
      <c r="C23" s="13">
        <f>Tranches!X45</f>
        <v>0</v>
      </c>
      <c r="D23" s="13">
        <f>Tranches!AD45</f>
        <v>0</v>
      </c>
      <c r="E23" s="13">
        <f>Tranches!AM45</f>
        <v>4473733.5964289131</v>
      </c>
      <c r="F23" s="13">
        <f>Tranches!AO45</f>
        <v>481659.97262600064</v>
      </c>
    </row>
    <row r="24" spans="1:6" x14ac:dyDescent="0.2">
      <c r="A24">
        <v>20</v>
      </c>
      <c r="B24" s="13">
        <f>Tranches!R46</f>
        <v>0</v>
      </c>
      <c r="C24" s="13">
        <f>Tranches!X46</f>
        <v>0</v>
      </c>
      <c r="D24" s="13">
        <f>Tranches!AD46</f>
        <v>0</v>
      </c>
      <c r="E24" s="13">
        <f>Tranches!AM46</f>
        <v>4095293.9158991431</v>
      </c>
      <c r="F24" s="13">
        <f>Tranches!AO46</f>
        <v>468440.70218019607</v>
      </c>
    </row>
    <row r="25" spans="1:6" x14ac:dyDescent="0.2">
      <c r="A25">
        <v>21</v>
      </c>
      <c r="B25" s="13">
        <f>Tranches!R47</f>
        <v>0</v>
      </c>
      <c r="C25" s="13">
        <f>Tranches!X47</f>
        <v>0</v>
      </c>
      <c r="D25" s="13">
        <f>Tranches!AD47</f>
        <v>0</v>
      </c>
      <c r="E25" s="13">
        <f>Tranches!AM47</f>
        <v>3739416.487400691</v>
      </c>
      <c r="F25" s="13">
        <f>Tranches!AO47</f>
        <v>455923.89579691831</v>
      </c>
    </row>
    <row r="26" spans="1:6" x14ac:dyDescent="0.2">
      <c r="A26">
        <v>22</v>
      </c>
      <c r="B26" s="13">
        <f>Tranches!R48</f>
        <v>0</v>
      </c>
      <c r="C26" s="13">
        <f>Tranches!X48</f>
        <v>0</v>
      </c>
      <c r="D26" s="13">
        <f>Tranches!AD48</f>
        <v>0</v>
      </c>
      <c r="E26" s="13">
        <f>Tranches!AM48</f>
        <v>3404576.8452813718</v>
      </c>
      <c r="F26" s="13">
        <f>Tranches!AO48</f>
        <v>444059.96398163727</v>
      </c>
    </row>
    <row r="27" spans="1:6" x14ac:dyDescent="0.2">
      <c r="A27">
        <v>23</v>
      </c>
      <c r="B27" s="13">
        <f>Tranches!R49</f>
        <v>0</v>
      </c>
      <c r="C27" s="13">
        <f>Tranches!X49</f>
        <v>0</v>
      </c>
      <c r="D27" s="13">
        <f>Tranches!AD49</f>
        <v>0</v>
      </c>
      <c r="E27" s="13">
        <f>Tranches!AM49</f>
        <v>3089343.1380499555</v>
      </c>
      <c r="F27" s="13">
        <f>Tranches!AO49</f>
        <v>432802.47651357856</v>
      </c>
    </row>
    <row r="28" spans="1:6" x14ac:dyDescent="0.2">
      <c r="A28">
        <v>24</v>
      </c>
      <c r="B28" s="13">
        <f>Tranches!R50</f>
        <v>0</v>
      </c>
      <c r="C28" s="13">
        <f>Tranches!X50</f>
        <v>0</v>
      </c>
      <c r="D28" s="13">
        <f>Tranches!AD50</f>
        <v>0</v>
      </c>
      <c r="E28" s="13">
        <f>Tranches!AM50</f>
        <v>2792367.3509343262</v>
      </c>
      <c r="F28" s="13">
        <f>Tranches!AO50</f>
        <v>422107.98370955046</v>
      </c>
    </row>
    <row r="29" spans="1:6" x14ac:dyDescent="0.2">
      <c r="A29">
        <v>25</v>
      </c>
      <c r="B29" s="13">
        <f>Tranches!R51</f>
        <v>0</v>
      </c>
      <c r="C29" s="13">
        <f>Tranches!X51</f>
        <v>0</v>
      </c>
      <c r="D29" s="13">
        <f>Tranches!AD51</f>
        <v>0</v>
      </c>
      <c r="E29" s="13">
        <f>Tranches!AM51</f>
        <v>2512374.7151200096</v>
      </c>
      <c r="F29" s="13">
        <f>Tranches!AO51</f>
        <v>411935.86548873875</v>
      </c>
    </row>
    <row r="30" spans="1:6" x14ac:dyDescent="0.2">
      <c r="A30">
        <v>26</v>
      </c>
      <c r="B30" s="13">
        <f>Tranches!R52</f>
        <v>0</v>
      </c>
      <c r="C30" s="13">
        <f>Tranches!X52</f>
        <v>0</v>
      </c>
      <c r="D30" s="13">
        <f>Tranches!AD52</f>
        <v>0</v>
      </c>
      <c r="E30" s="13">
        <f>Tranches!AM52</f>
        <v>2248148.491656932</v>
      </c>
      <c r="F30" s="13">
        <f>Tranches!AO52</f>
        <v>402248.21980712563</v>
      </c>
    </row>
    <row r="31" spans="1:6" x14ac:dyDescent="0.2">
      <c r="A31">
        <v>27</v>
      </c>
      <c r="B31" s="13">
        <f>Tranches!R53</f>
        <v>0</v>
      </c>
      <c r="C31" s="13">
        <f>Tranches!X53</f>
        <v>0</v>
      </c>
      <c r="D31" s="13">
        <f>Tranches!AD53</f>
        <v>0</v>
      </c>
      <c r="E31" s="13">
        <f>Tranches!AM53</f>
        <v>1998502.285620451</v>
      </c>
      <c r="F31" s="13">
        <f>Tranches!AO53</f>
        <v>393009.81713148206</v>
      </c>
    </row>
    <row r="32" spans="1:6" x14ac:dyDescent="0.2">
      <c r="A32">
        <v>28</v>
      </c>
      <c r="B32" s="13">
        <f>Tranches!R54</f>
        <v>0</v>
      </c>
      <c r="C32" s="13">
        <f>Tranches!X54</f>
        <v>0</v>
      </c>
      <c r="D32" s="13">
        <f>Tranches!AD54</f>
        <v>0</v>
      </c>
      <c r="E32" s="13">
        <f>Tranches!AM54</f>
        <v>913025.25545712071</v>
      </c>
      <c r="F32" s="13">
        <f>Tranches!AO54</f>
        <v>1233376.1972829977</v>
      </c>
    </row>
    <row r="33" spans="1:6" x14ac:dyDescent="0.2">
      <c r="A33">
        <v>29</v>
      </c>
      <c r="B33" s="13">
        <f>Tranches!R55</f>
        <v>0</v>
      </c>
      <c r="C33" s="13">
        <f>Tranches!X55</f>
        <v>0</v>
      </c>
      <c r="D33" s="13">
        <f>Tranches!AD55</f>
        <v>0</v>
      </c>
      <c r="E33" s="13">
        <f>Tranches!AM55</f>
        <v>0</v>
      </c>
      <c r="F33" s="13">
        <f>Tranches!AO55</f>
        <v>1913548.1381851507</v>
      </c>
    </row>
    <row r="34" spans="1:6" x14ac:dyDescent="0.2">
      <c r="A34">
        <v>30</v>
      </c>
      <c r="B34" s="13">
        <f>Tranches!R56</f>
        <v>0</v>
      </c>
      <c r="C34" s="13">
        <f>Tranches!X56</f>
        <v>0</v>
      </c>
      <c r="D34" s="13">
        <f>Tranches!AD56</f>
        <v>0</v>
      </c>
      <c r="E34" s="13">
        <f>Tranches!AM56</f>
        <v>0</v>
      </c>
      <c r="F34" s="13">
        <f>Tranches!AO56</f>
        <v>1689789.1150168879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38" sqref="A38"/>
    </sheetView>
  </sheetViews>
  <sheetFormatPr defaultRowHeight="12.75" x14ac:dyDescent="0.2"/>
  <cols>
    <col min="2" max="5" width="11.140625" bestFit="1" customWidth="1"/>
  </cols>
  <sheetData>
    <row r="2" spans="1:6" x14ac:dyDescent="0.2"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">
      <c r="A3">
        <v>1</v>
      </c>
      <c r="B3" s="13">
        <f>Tranches!O27</f>
        <v>26263585.083545361</v>
      </c>
      <c r="C3" s="13">
        <f>Tranches!U27</f>
        <v>30000000</v>
      </c>
      <c r="D3" s="13">
        <f>Tranches!AA27</f>
        <v>25000000</v>
      </c>
      <c r="E3" s="13">
        <f>Tranches!AG27</f>
        <v>16350000</v>
      </c>
    </row>
    <row r="4" spans="1:6" x14ac:dyDescent="0.2">
      <c r="A4">
        <v>2</v>
      </c>
      <c r="B4" s="13">
        <f>Tranches!O28</f>
        <v>19985166.644527838</v>
      </c>
      <c r="C4" s="13">
        <f>Tranches!U28</f>
        <v>30000000</v>
      </c>
      <c r="D4" s="13">
        <f>Tranches!AA28</f>
        <v>25000000</v>
      </c>
      <c r="E4" s="13">
        <f>Tranches!AG28</f>
        <v>17821500</v>
      </c>
    </row>
    <row r="5" spans="1:6" x14ac:dyDescent="0.2">
      <c r="A5">
        <v>3</v>
      </c>
      <c r="B5" s="13">
        <f>Tranches!O29</f>
        <v>11678814.344311759</v>
      </c>
      <c r="C5" s="13">
        <f>Tranches!U29</f>
        <v>30000000</v>
      </c>
      <c r="D5" s="13">
        <f>Tranches!AA29</f>
        <v>25000000</v>
      </c>
      <c r="E5" s="13">
        <f>Tranches!AG29</f>
        <v>19425435</v>
      </c>
    </row>
    <row r="6" spans="1:6" x14ac:dyDescent="0.2">
      <c r="A6">
        <v>4</v>
      </c>
      <c r="B6" s="13">
        <f>Tranches!O30</f>
        <v>3401374.5226048492</v>
      </c>
      <c r="C6" s="13">
        <f>Tranches!U30</f>
        <v>30000000</v>
      </c>
      <c r="D6" s="13">
        <f>Tranches!AA30</f>
        <v>25000000</v>
      </c>
      <c r="E6" s="13">
        <f>Tranches!AG30</f>
        <v>21173724.149999999</v>
      </c>
    </row>
    <row r="7" spans="1:6" x14ac:dyDescent="0.2">
      <c r="A7">
        <v>5</v>
      </c>
      <c r="B7" s="13">
        <f>Tranches!O31</f>
        <v>0</v>
      </c>
      <c r="C7" s="13">
        <f>Tranches!U31</f>
        <v>25368890.966053717</v>
      </c>
      <c r="D7" s="13">
        <f>Tranches!AA31</f>
        <v>25000000</v>
      </c>
      <c r="E7" s="13">
        <f>Tranches!AG31</f>
        <v>23079359.3235</v>
      </c>
    </row>
    <row r="8" spans="1:6" x14ac:dyDescent="0.2">
      <c r="A8">
        <v>6</v>
      </c>
      <c r="B8" s="13">
        <f>Tranches!O32</f>
        <v>0</v>
      </c>
      <c r="C8" s="13">
        <f>Tranches!U32</f>
        <v>17540597.39726571</v>
      </c>
      <c r="D8" s="13">
        <f>Tranches!AA32</f>
        <v>25000000</v>
      </c>
      <c r="E8" s="13">
        <f>Tranches!AG32</f>
        <v>25156501.662615001</v>
      </c>
    </row>
    <row r="9" spans="1:6" x14ac:dyDescent="0.2">
      <c r="A9">
        <v>7</v>
      </c>
      <c r="B9" s="13">
        <f>Tranches!O33</f>
        <v>0</v>
      </c>
      <c r="C9" s="13">
        <f>Tranches!U33</f>
        <v>9876158.4251485057</v>
      </c>
      <c r="D9" s="13">
        <f>Tranches!AA33</f>
        <v>25000000</v>
      </c>
      <c r="E9" s="13">
        <f>Tranches!AG33</f>
        <v>27420586.81225035</v>
      </c>
    </row>
    <row r="10" spans="1:6" x14ac:dyDescent="0.2">
      <c r="A10">
        <v>8</v>
      </c>
      <c r="B10" s="13">
        <f>Tranches!O34</f>
        <v>0</v>
      </c>
      <c r="C10" s="13">
        <f>Tranches!U34</f>
        <v>2335444.1499399226</v>
      </c>
      <c r="D10" s="13">
        <f>Tranches!AA34</f>
        <v>25000000</v>
      </c>
      <c r="E10" s="13">
        <f>Tranches!AG34</f>
        <v>29888439.625352882</v>
      </c>
    </row>
    <row r="11" spans="1:6" x14ac:dyDescent="0.2">
      <c r="A11">
        <v>9</v>
      </c>
      <c r="B11" s="13">
        <f>Tranches!O35</f>
        <v>0</v>
      </c>
      <c r="C11" s="13">
        <f>Tranches!U35</f>
        <v>0</v>
      </c>
      <c r="D11" s="13">
        <f>Tranches!AA35</f>
        <v>19878301.617831659</v>
      </c>
      <c r="E11" s="13">
        <f>Tranches!AG35</f>
        <v>32578399.19163464</v>
      </c>
    </row>
    <row r="12" spans="1:6" x14ac:dyDescent="0.2">
      <c r="A12">
        <v>10</v>
      </c>
      <c r="B12" s="13">
        <f>Tranches!O36</f>
        <v>0</v>
      </c>
      <c r="C12" s="13">
        <f>Tranches!U36</f>
        <v>0</v>
      </c>
      <c r="D12" s="13">
        <f>Tranches!AA36</f>
        <v>12464321.73751568</v>
      </c>
      <c r="E12" s="13">
        <f>Tranches!AG36</f>
        <v>35510455.118881755</v>
      </c>
    </row>
    <row r="13" spans="1:6" x14ac:dyDescent="0.2">
      <c r="A13">
        <v>11</v>
      </c>
      <c r="B13" s="13">
        <f>Tranches!O37</f>
        <v>0</v>
      </c>
      <c r="C13" s="13">
        <f>Tranches!U37</f>
        <v>0</v>
      </c>
      <c r="D13" s="13">
        <f>Tranches!AA37</f>
        <v>5052600.2187508857</v>
      </c>
      <c r="E13" s="13">
        <f>Tranches!AG37</f>
        <v>38706396.079581112</v>
      </c>
    </row>
    <row r="14" spans="1:6" x14ac:dyDescent="0.2">
      <c r="A14">
        <v>12</v>
      </c>
      <c r="B14" s="13">
        <f>Tranches!O38</f>
        <v>0</v>
      </c>
      <c r="C14" s="13">
        <f>Tranches!U38</f>
        <v>0</v>
      </c>
      <c r="D14" s="13">
        <f>Tranches!AA38</f>
        <v>0</v>
      </c>
      <c r="E14" s="13">
        <f>Tranches!AG38</f>
        <v>39791462.758626781</v>
      </c>
    </row>
    <row r="15" spans="1:6" x14ac:dyDescent="0.2">
      <c r="A15">
        <v>13</v>
      </c>
      <c r="B15" s="13">
        <f>Tranches!O39</f>
        <v>0</v>
      </c>
      <c r="C15" s="13">
        <f>Tranches!U39</f>
        <v>0</v>
      </c>
      <c r="D15" s="13">
        <f>Tranches!AA39</f>
        <v>0</v>
      </c>
      <c r="E15" s="13">
        <f>Tranches!AG39</f>
        <v>36055419.99899333</v>
      </c>
    </row>
    <row r="16" spans="1:6" x14ac:dyDescent="0.2">
      <c r="A16">
        <v>14</v>
      </c>
      <c r="B16" s="13">
        <f>Tranches!O40</f>
        <v>0</v>
      </c>
      <c r="C16" s="13">
        <f>Tranches!U40</f>
        <v>0</v>
      </c>
      <c r="D16" s="13">
        <f>Tranches!AA40</f>
        <v>0</v>
      </c>
      <c r="E16" s="13">
        <f>Tranches!AG40</f>
        <v>32535177.998770472</v>
      </c>
    </row>
    <row r="17" spans="1:5" x14ac:dyDescent="0.2">
      <c r="A17">
        <v>15</v>
      </c>
      <c r="B17" s="13">
        <f>Tranches!O41</f>
        <v>0</v>
      </c>
      <c r="C17" s="13">
        <f>Tranches!U41</f>
        <v>0</v>
      </c>
      <c r="D17" s="13">
        <f>Tranches!AA41</f>
        <v>0</v>
      </c>
      <c r="E17" s="13">
        <f>Tranches!AG41</f>
        <v>29216043.904854871</v>
      </c>
    </row>
    <row r="18" spans="1:5" x14ac:dyDescent="0.2">
      <c r="A18">
        <v>16</v>
      </c>
      <c r="B18" s="13">
        <f>Tranches!O42</f>
        <v>0</v>
      </c>
      <c r="C18" s="13">
        <f>Tranches!U42</f>
        <v>0</v>
      </c>
      <c r="D18" s="13">
        <f>Tranches!AA42</f>
        <v>0</v>
      </c>
      <c r="E18" s="13">
        <f>Tranches!AG42</f>
        <v>26084257.570564758</v>
      </c>
    </row>
    <row r="19" spans="1:5" x14ac:dyDescent="0.2">
      <c r="A19">
        <v>17</v>
      </c>
      <c r="B19" s="13">
        <f>Tranches!O43</f>
        <v>0</v>
      </c>
      <c r="C19" s="13">
        <f>Tranches!U43</f>
        <v>0</v>
      </c>
      <c r="D19" s="13">
        <f>Tranches!AA43</f>
        <v>0</v>
      </c>
      <c r="E19" s="13">
        <f>Tranches!AG43</f>
        <v>23126931.434114564</v>
      </c>
    </row>
    <row r="20" spans="1:5" x14ac:dyDescent="0.2">
      <c r="A20">
        <v>18</v>
      </c>
      <c r="B20" s="13">
        <f>Tranches!O44</f>
        <v>0</v>
      </c>
      <c r="C20" s="13">
        <f>Tranches!U44</f>
        <v>0</v>
      </c>
      <c r="D20" s="13">
        <f>Tranches!AA44</f>
        <v>0</v>
      </c>
      <c r="E20" s="13">
        <f>Tranches!AG44</f>
        <v>20331994.525200538</v>
      </c>
    </row>
    <row r="21" spans="1:5" x14ac:dyDescent="0.2">
      <c r="A21">
        <v>19</v>
      </c>
      <c r="B21" s="13">
        <f>Tranches!O45</f>
        <v>0</v>
      </c>
      <c r="C21" s="13">
        <f>Tranches!U45</f>
        <v>0</v>
      </c>
      <c r="D21" s="13">
        <f>Tranches!AA45</f>
        <v>0</v>
      </c>
      <c r="E21" s="13">
        <f>Tranches!AG45</f>
        <v>17688140.436039675</v>
      </c>
    </row>
    <row r="22" spans="1:5" x14ac:dyDescent="0.2">
      <c r="A22">
        <v>20</v>
      </c>
      <c r="B22" s="13">
        <f>Tranches!O46</f>
        <v>0</v>
      </c>
      <c r="C22" s="13">
        <f>Tranches!U46</f>
        <v>0</v>
      </c>
      <c r="D22" s="13">
        <f>Tranches!AA46</f>
        <v>0</v>
      </c>
      <c r="E22" s="13">
        <f>Tranches!AG46</f>
        <v>15184779.159384102</v>
      </c>
    </row>
    <row r="23" spans="1:5" x14ac:dyDescent="0.2">
      <c r="A23">
        <v>21</v>
      </c>
      <c r="B23" s="13">
        <f>Tranches!O47</f>
        <v>0</v>
      </c>
      <c r="C23" s="13">
        <f>Tranches!U47</f>
        <v>0</v>
      </c>
      <c r="D23" s="13">
        <f>Tranches!AA47</f>
        <v>0</v>
      </c>
      <c r="E23" s="13">
        <f>Tranches!AG47</f>
        <v>12811992.79632798</v>
      </c>
    </row>
    <row r="24" spans="1:5" x14ac:dyDescent="0.2">
      <c r="A24">
        <v>22</v>
      </c>
      <c r="B24" s="13">
        <f>Tranches!O48</f>
        <v>0</v>
      </c>
      <c r="C24" s="13">
        <f>Tranches!U48</f>
        <v>0</v>
      </c>
      <c r="D24" s="13">
        <f>Tranches!AA48</f>
        <v>0</v>
      </c>
      <c r="E24" s="13">
        <f>Tranches!AG48</f>
        <v>10560495.302716127</v>
      </c>
    </row>
    <row r="25" spans="1:5" x14ac:dyDescent="0.2">
      <c r="A25">
        <v>23</v>
      </c>
      <c r="B25" s="13">
        <f>Tranches!O49</f>
        <v>0</v>
      </c>
      <c r="C25" s="13">
        <f>Tranches!U49</f>
        <v>0</v>
      </c>
      <c r="D25" s="13">
        <f>Tranches!AA49</f>
        <v>0</v>
      </c>
      <c r="E25" s="13">
        <f>Tranches!AG49</f>
        <v>8421596.7419106215</v>
      </c>
    </row>
    <row r="26" spans="1:5" x14ac:dyDescent="0.2">
      <c r="A26">
        <v>24</v>
      </c>
      <c r="B26" s="13">
        <f>Tranches!O50</f>
        <v>0</v>
      </c>
      <c r="C26" s="13">
        <f>Tranches!U50</f>
        <v>0</v>
      </c>
      <c r="D26" s="13">
        <f>Tranches!AA50</f>
        <v>0</v>
      </c>
      <c r="E26" s="13">
        <f>Tranches!AG50</f>
        <v>6387173.0977482516</v>
      </c>
    </row>
    <row r="27" spans="1:5" x14ac:dyDescent="0.2">
      <c r="A27">
        <v>25</v>
      </c>
      <c r="B27" s="13">
        <f>Tranches!O51</f>
        <v>0</v>
      </c>
      <c r="C27" s="13">
        <f>Tranches!U51</f>
        <v>0</v>
      </c>
      <c r="D27" s="13">
        <f>Tranches!AA51</f>
        <v>0</v>
      </c>
      <c r="E27" s="13">
        <f>Tranches!AG51</f>
        <v>4449643.9614255847</v>
      </c>
    </row>
    <row r="28" spans="1:5" x14ac:dyDescent="0.2">
      <c r="A28">
        <v>26</v>
      </c>
      <c r="B28" s="13">
        <f>Tranches!O52</f>
        <v>0</v>
      </c>
      <c r="C28" s="13">
        <f>Tranches!U52</f>
        <v>0</v>
      </c>
      <c r="D28" s="13">
        <f>Tranches!AA52</f>
        <v>0</v>
      </c>
      <c r="E28" s="13">
        <f>Tranches!AG52</f>
        <v>2601963.426296955</v>
      </c>
    </row>
    <row r="29" spans="1:5" x14ac:dyDescent="0.2">
      <c r="A29">
        <v>27</v>
      </c>
      <c r="B29" s="13">
        <f>Tranches!O53</f>
        <v>0</v>
      </c>
      <c r="C29" s="13">
        <f>Tranches!U53</f>
        <v>0</v>
      </c>
      <c r="D29" s="13">
        <f>Tranches!AA53</f>
        <v>0</v>
      </c>
      <c r="E29" s="13">
        <f>Tranches!AG53</f>
        <v>837637.84904323006</v>
      </c>
    </row>
    <row r="30" spans="1:5" x14ac:dyDescent="0.2">
      <c r="A30">
        <v>28</v>
      </c>
      <c r="B30" s="13">
        <f>Tranches!O54</f>
        <v>0</v>
      </c>
      <c r="C30" s="13">
        <f>Tranches!U54</f>
        <v>0</v>
      </c>
      <c r="D30" s="13">
        <f>Tranches!AA54</f>
        <v>0</v>
      </c>
      <c r="E30" s="13">
        <f>Tranches!AG54</f>
        <v>0</v>
      </c>
    </row>
    <row r="31" spans="1:5" x14ac:dyDescent="0.2">
      <c r="A31">
        <v>29</v>
      </c>
      <c r="B31" s="13">
        <f>Tranches!O55</f>
        <v>0</v>
      </c>
      <c r="C31" s="13">
        <f>Tranches!U55</f>
        <v>0</v>
      </c>
      <c r="D31" s="13">
        <f>Tranches!AA55</f>
        <v>0</v>
      </c>
      <c r="E31" s="13">
        <f>Tranches!AG55</f>
        <v>0</v>
      </c>
    </row>
    <row r="32" spans="1:5" x14ac:dyDescent="0.2">
      <c r="A32">
        <v>30</v>
      </c>
      <c r="B32" s="13">
        <f>Tranches!O56</f>
        <v>0</v>
      </c>
      <c r="C32" s="13">
        <f>Tranches!U56</f>
        <v>0</v>
      </c>
      <c r="D32" s="13">
        <f>Tranches!AA56</f>
        <v>0</v>
      </c>
      <c r="E32" s="13">
        <f>Tranches!AG56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workbookViewId="0">
      <selection activeCell="E12" sqref="E12"/>
    </sheetView>
  </sheetViews>
  <sheetFormatPr defaultRowHeight="12.75" x14ac:dyDescent="0.2"/>
  <cols>
    <col min="1" max="1" width="9.28515625" bestFit="1" customWidth="1"/>
    <col min="2" max="3" width="12.42578125" bestFit="1" customWidth="1"/>
    <col min="4" max="4" width="9.5703125" bestFit="1" customWidth="1"/>
    <col min="5" max="5" width="12.42578125" bestFit="1" customWidth="1"/>
    <col min="6" max="6" width="9.5703125" bestFit="1" customWidth="1"/>
  </cols>
  <sheetData>
    <row r="2" spans="1:6" x14ac:dyDescent="0.2">
      <c r="B2" s="10"/>
      <c r="C2" s="10"/>
      <c r="D2" s="10"/>
      <c r="E2" s="10"/>
      <c r="F2" s="10"/>
    </row>
    <row r="3" spans="1:6" x14ac:dyDescent="0.2">
      <c r="C3" s="10"/>
      <c r="D3" s="10"/>
      <c r="E3" s="10"/>
      <c r="F3" s="10"/>
    </row>
    <row r="4" spans="1:6" ht="15.75" x14ac:dyDescent="0.25">
      <c r="A4" s="12"/>
      <c r="B4" s="11"/>
      <c r="C4" s="11"/>
      <c r="D4" s="11"/>
      <c r="E4" s="11"/>
      <c r="F4" s="11"/>
    </row>
    <row r="5" spans="1:6" ht="15.75" x14ac:dyDescent="0.25">
      <c r="A5" s="12"/>
      <c r="B5" s="11"/>
      <c r="C5" s="11"/>
      <c r="D5" s="11"/>
      <c r="E5" s="11"/>
      <c r="F5" s="11"/>
    </row>
    <row r="6" spans="1:6" ht="15.75" x14ac:dyDescent="0.25">
      <c r="A6" s="12"/>
      <c r="B6" s="11"/>
      <c r="C6" s="11"/>
      <c r="D6" s="11"/>
      <c r="E6" s="11"/>
      <c r="F6" s="11"/>
    </row>
    <row r="7" spans="1:6" ht="15.75" x14ac:dyDescent="0.25">
      <c r="A7" s="12"/>
      <c r="B7" s="11"/>
      <c r="C7" s="11"/>
      <c r="D7" s="11"/>
      <c r="E7" s="11"/>
      <c r="F7" s="11"/>
    </row>
    <row r="8" spans="1:6" ht="15.75" x14ac:dyDescent="0.25">
      <c r="A8" s="12"/>
      <c r="B8" s="11"/>
      <c r="C8" s="11"/>
      <c r="D8" s="11"/>
      <c r="E8" s="11"/>
      <c r="F8" s="11"/>
    </row>
    <row r="9" spans="1:6" ht="15.75" x14ac:dyDescent="0.25">
      <c r="A9" s="12"/>
      <c r="B9" s="11"/>
      <c r="C9" s="11"/>
      <c r="D9" s="11"/>
      <c r="E9" s="11"/>
      <c r="F9" s="11"/>
    </row>
    <row r="10" spans="1:6" ht="15.75" x14ac:dyDescent="0.25">
      <c r="A10" s="12"/>
      <c r="B10" s="11"/>
      <c r="C10" s="11"/>
      <c r="D10" s="11"/>
      <c r="E10" s="11"/>
      <c r="F10" s="11"/>
    </row>
    <row r="11" spans="1:6" ht="15.75" x14ac:dyDescent="0.25">
      <c r="A11" s="12"/>
      <c r="B11" s="11"/>
      <c r="C11" s="11"/>
      <c r="D11" s="11"/>
      <c r="E11" s="11"/>
      <c r="F11" s="11"/>
    </row>
    <row r="12" spans="1:6" ht="15.75" x14ac:dyDescent="0.25">
      <c r="A12" s="12"/>
      <c r="B12" s="11"/>
      <c r="C12" s="11"/>
      <c r="D12" s="11"/>
      <c r="E12" s="11"/>
      <c r="F12" s="11"/>
    </row>
    <row r="13" spans="1:6" ht="15.75" x14ac:dyDescent="0.25">
      <c r="A13" s="12"/>
      <c r="B13" s="11"/>
      <c r="C13" s="11"/>
      <c r="D13" s="11"/>
      <c r="E13" s="11"/>
      <c r="F13" s="11"/>
    </row>
    <row r="14" spans="1:6" ht="15.75" x14ac:dyDescent="0.25">
      <c r="A14" s="12"/>
      <c r="B14" s="11"/>
      <c r="C14" s="11"/>
      <c r="D14" s="11"/>
      <c r="E14" s="11"/>
      <c r="F14" s="11"/>
    </row>
    <row r="15" spans="1:6" ht="15.75" x14ac:dyDescent="0.25">
      <c r="A15" s="12"/>
      <c r="B15" s="11"/>
      <c r="C15" s="11"/>
      <c r="D15" s="11"/>
      <c r="E15" s="11"/>
      <c r="F15" s="11"/>
    </row>
    <row r="16" spans="1:6" ht="15.75" x14ac:dyDescent="0.25">
      <c r="A16" s="12"/>
      <c r="B16" s="11"/>
      <c r="C16" s="11"/>
      <c r="D16" s="11"/>
      <c r="E16" s="11"/>
      <c r="F16" s="11"/>
    </row>
    <row r="17" spans="1:6" ht="15.75" x14ac:dyDescent="0.25">
      <c r="A17" s="12"/>
      <c r="B17" s="11"/>
      <c r="C17" s="11"/>
      <c r="D17" s="11"/>
      <c r="E17" s="11"/>
      <c r="F17" s="11"/>
    </row>
    <row r="18" spans="1:6" ht="15.75" x14ac:dyDescent="0.25">
      <c r="A18" s="12"/>
      <c r="B18" s="11"/>
      <c r="C18" s="11"/>
      <c r="D18" s="11"/>
      <c r="E18" s="11"/>
      <c r="F18" s="11"/>
    </row>
    <row r="19" spans="1:6" ht="15.75" x14ac:dyDescent="0.25">
      <c r="A19" s="12"/>
      <c r="B19" s="11"/>
      <c r="C19" s="11"/>
      <c r="D19" s="11"/>
      <c r="E19" s="11"/>
      <c r="F19" s="11"/>
    </row>
    <row r="20" spans="1:6" ht="15.75" x14ac:dyDescent="0.25">
      <c r="A20" s="12"/>
      <c r="B20" s="11"/>
      <c r="C20" s="11"/>
      <c r="D20" s="11"/>
      <c r="E20" s="11"/>
      <c r="F20" s="11"/>
    </row>
    <row r="21" spans="1:6" ht="15.75" x14ac:dyDescent="0.25">
      <c r="A21" s="12"/>
      <c r="B21" s="11"/>
      <c r="C21" s="11"/>
      <c r="D21" s="11"/>
      <c r="E21" s="11"/>
      <c r="F21" s="11"/>
    </row>
    <row r="22" spans="1:6" ht="15.75" x14ac:dyDescent="0.25">
      <c r="A22" s="12"/>
      <c r="B22" s="11"/>
      <c r="C22" s="11"/>
      <c r="D22" s="11"/>
      <c r="E22" s="11"/>
      <c r="F22" s="11"/>
    </row>
    <row r="23" spans="1:6" ht="15.75" x14ac:dyDescent="0.25">
      <c r="A23" s="12"/>
      <c r="B23" s="11"/>
      <c r="C23" s="11"/>
      <c r="D23" s="11"/>
      <c r="E23" s="11"/>
      <c r="F23" s="11"/>
    </row>
    <row r="24" spans="1:6" ht="15.75" x14ac:dyDescent="0.25">
      <c r="A24" s="12"/>
      <c r="B24" s="11"/>
      <c r="C24" s="11"/>
      <c r="D24" s="11"/>
      <c r="E24" s="11"/>
      <c r="F24" s="11"/>
    </row>
    <row r="25" spans="1:6" ht="15.75" x14ac:dyDescent="0.25">
      <c r="A25" s="12"/>
      <c r="B25" s="11"/>
      <c r="C25" s="11"/>
      <c r="D25" s="11"/>
      <c r="E25" s="11"/>
      <c r="F25" s="11"/>
    </row>
    <row r="26" spans="1:6" ht="15.75" x14ac:dyDescent="0.25">
      <c r="A26" s="12"/>
      <c r="B26" s="11"/>
      <c r="C26" s="11"/>
      <c r="D26" s="11"/>
      <c r="E26" s="11"/>
      <c r="F26" s="11"/>
    </row>
    <row r="27" spans="1:6" ht="15.75" x14ac:dyDescent="0.25">
      <c r="A27" s="12"/>
      <c r="B27" s="11"/>
      <c r="C27" s="11"/>
      <c r="D27" s="11"/>
      <c r="E27" s="11"/>
      <c r="F27" s="11"/>
    </row>
    <row r="28" spans="1:6" ht="15.75" x14ac:dyDescent="0.25">
      <c r="A28" s="12"/>
      <c r="B28" s="11"/>
      <c r="C28" s="11"/>
      <c r="D28" s="11"/>
      <c r="E28" s="11"/>
      <c r="F28" s="11"/>
    </row>
    <row r="29" spans="1:6" ht="15.75" x14ac:dyDescent="0.25">
      <c r="A29" s="12"/>
      <c r="B29" s="11"/>
      <c r="C29" s="11"/>
      <c r="D29" s="11"/>
      <c r="E29" s="11"/>
      <c r="F29" s="11"/>
    </row>
    <row r="30" spans="1:6" ht="15.75" x14ac:dyDescent="0.25">
      <c r="A30" s="12"/>
      <c r="B30" s="11"/>
      <c r="C30" s="11"/>
      <c r="D30" s="11"/>
      <c r="E30" s="11"/>
      <c r="F30" s="11"/>
    </row>
    <row r="31" spans="1:6" ht="15.75" x14ac:dyDescent="0.25">
      <c r="A31" s="12"/>
      <c r="B31" s="11"/>
      <c r="C31" s="11"/>
      <c r="D31" s="11"/>
      <c r="E31" s="11"/>
      <c r="F31" s="11"/>
    </row>
    <row r="32" spans="1:6" ht="15.75" x14ac:dyDescent="0.25">
      <c r="A32" s="12"/>
      <c r="B32" s="11"/>
      <c r="C32" s="11"/>
      <c r="D32" s="11"/>
      <c r="E32" s="11"/>
      <c r="F32" s="11"/>
    </row>
    <row r="33" spans="1:6" ht="15.75" x14ac:dyDescent="0.25">
      <c r="A33" s="12"/>
      <c r="B33" s="11"/>
      <c r="C33" s="11"/>
      <c r="D33" s="11"/>
      <c r="E33" s="11"/>
      <c r="F3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5"/>
  <sheetViews>
    <sheetView topLeftCell="AC3" workbookViewId="0">
      <selection activeCell="D6" sqref="D6"/>
    </sheetView>
  </sheetViews>
  <sheetFormatPr defaultRowHeight="12.75" x14ac:dyDescent="0.2"/>
  <cols>
    <col min="2" max="2" width="15.42578125" customWidth="1"/>
    <col min="3" max="3" width="11.85546875" bestFit="1" customWidth="1"/>
    <col min="4" max="5" width="11.28515625" bestFit="1" customWidth="1"/>
  </cols>
  <sheetData>
    <row r="2" spans="1:39" x14ac:dyDescent="0.2">
      <c r="A2" t="s">
        <v>61</v>
      </c>
      <c r="B2">
        <v>0.1</v>
      </c>
    </row>
    <row r="3" spans="1:39" x14ac:dyDescent="0.2">
      <c r="A3" t="s">
        <v>45</v>
      </c>
      <c r="B3">
        <v>100000</v>
      </c>
    </row>
    <row r="4" spans="1:39" x14ac:dyDescent="0.2">
      <c r="A4" t="s">
        <v>41</v>
      </c>
      <c r="B4">
        <f>B2*B3</f>
        <v>10000</v>
      </c>
    </row>
    <row r="5" spans="1:39" x14ac:dyDescent="0.2">
      <c r="B5" s="10" t="s">
        <v>62</v>
      </c>
      <c r="C5" s="10" t="s">
        <v>68</v>
      </c>
      <c r="D5" s="10" t="s">
        <v>69</v>
      </c>
      <c r="E5" s="10" t="s">
        <v>60</v>
      </c>
      <c r="F5">
        <f>-0.8*100000</f>
        <v>-80000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  <c r="V5">
        <v>16</v>
      </c>
      <c r="W5">
        <v>17</v>
      </c>
      <c r="X5">
        <v>18</v>
      </c>
      <c r="Y5">
        <v>19</v>
      </c>
      <c r="Z5">
        <v>20</v>
      </c>
      <c r="AM5" t="s">
        <v>63</v>
      </c>
    </row>
    <row r="6" spans="1:39" x14ac:dyDescent="0.2">
      <c r="A6">
        <v>1</v>
      </c>
      <c r="B6" s="17">
        <f>IRR(F6:G6,0.1)</f>
        <v>0.37499999999999739</v>
      </c>
      <c r="C6" s="17">
        <v>-8.3333333333331538E-2</v>
      </c>
      <c r="D6" s="17">
        <v>0.37499999999999739</v>
      </c>
      <c r="E6" s="17">
        <v>0.1</v>
      </c>
      <c r="F6">
        <f>$F$5</f>
        <v>-80000</v>
      </c>
      <c r="G6">
        <f>B3+B4</f>
        <v>110000</v>
      </c>
    </row>
    <row r="7" spans="1:39" x14ac:dyDescent="0.2">
      <c r="A7">
        <v>2</v>
      </c>
      <c r="B7" s="17">
        <f>IRR(F7:H7,0.1)</f>
        <v>0.23676838925349597</v>
      </c>
      <c r="C7" s="17">
        <v>-3.4370753217225301E-17</v>
      </c>
      <c r="D7" s="17">
        <v>0.23676838925349597</v>
      </c>
      <c r="E7" s="17">
        <v>0.1</v>
      </c>
      <c r="F7">
        <f t="shared" ref="F7:F25" si="0">$F$5</f>
        <v>-80000</v>
      </c>
      <c r="G7">
        <f>$B$4</f>
        <v>10000</v>
      </c>
      <c r="H7">
        <f>$B$4+$B$3</f>
        <v>110000</v>
      </c>
    </row>
    <row r="8" spans="1:39" x14ac:dyDescent="0.2">
      <c r="A8">
        <v>3</v>
      </c>
      <c r="B8" s="17">
        <f>IRR(F8:I8,0.1)</f>
        <v>0.19406360655643856</v>
      </c>
      <c r="C8" s="17">
        <v>2.937841031405573E-2</v>
      </c>
      <c r="D8" s="17">
        <v>0.19406360655643856</v>
      </c>
      <c r="E8" s="17">
        <v>0.1</v>
      </c>
      <c r="F8">
        <f t="shared" si="0"/>
        <v>-80000</v>
      </c>
      <c r="G8">
        <f t="shared" ref="G8:Y25" si="1">$B$4</f>
        <v>10000</v>
      </c>
      <c r="H8">
        <f t="shared" si="1"/>
        <v>10000</v>
      </c>
      <c r="I8">
        <f>H7</f>
        <v>110000</v>
      </c>
    </row>
    <row r="9" spans="1:39" x14ac:dyDescent="0.2">
      <c r="A9">
        <v>4</v>
      </c>
      <c r="B9" s="17">
        <f>IRR($F9:J9,0.1)</f>
        <v>0.17339479292361851</v>
      </c>
      <c r="C9" s="17">
        <v>4.4337640658721429E-2</v>
      </c>
      <c r="D9" s="17">
        <v>0.17339479292361851</v>
      </c>
      <c r="E9" s="17">
        <v>0.1</v>
      </c>
      <c r="F9">
        <f t="shared" si="0"/>
        <v>-80000</v>
      </c>
      <c r="G9">
        <f t="shared" si="1"/>
        <v>10000</v>
      </c>
      <c r="H9">
        <f t="shared" si="1"/>
        <v>10000</v>
      </c>
      <c r="I9">
        <f t="shared" si="1"/>
        <v>10000</v>
      </c>
      <c r="J9">
        <f>I8</f>
        <v>110000</v>
      </c>
    </row>
    <row r="10" spans="1:39" x14ac:dyDescent="0.2">
      <c r="A10">
        <v>5</v>
      </c>
      <c r="B10" s="17">
        <f>IRR($F10:K10,0.1)</f>
        <v>0.16126175673908644</v>
      </c>
      <c r="C10" s="17">
        <v>5.337342469727533E-2</v>
      </c>
      <c r="D10" s="17">
        <v>0.16126175673908644</v>
      </c>
      <c r="E10" s="17">
        <v>0.1</v>
      </c>
      <c r="F10">
        <f t="shared" si="0"/>
        <v>-80000</v>
      </c>
      <c r="G10">
        <f t="shared" si="1"/>
        <v>10000</v>
      </c>
      <c r="H10">
        <f t="shared" si="1"/>
        <v>10000</v>
      </c>
      <c r="I10">
        <f t="shared" si="1"/>
        <v>10000</v>
      </c>
      <c r="J10">
        <f t="shared" si="1"/>
        <v>10000</v>
      </c>
      <c r="K10">
        <f>J9</f>
        <v>110000</v>
      </c>
    </row>
    <row r="11" spans="1:39" x14ac:dyDescent="0.2">
      <c r="A11">
        <v>6</v>
      </c>
      <c r="B11" s="17">
        <f>IRR($F11:L11,0.1)</f>
        <v>0.15332084290468076</v>
      </c>
      <c r="C11" s="17">
        <v>5.9403649765944422E-2</v>
      </c>
      <c r="D11" s="17">
        <v>0.15332084290468076</v>
      </c>
      <c r="E11" s="17">
        <v>0.1</v>
      </c>
      <c r="F11">
        <f t="shared" si="0"/>
        <v>-80000</v>
      </c>
      <c r="G11">
        <f t="shared" si="1"/>
        <v>10000</v>
      </c>
      <c r="H11">
        <f t="shared" si="1"/>
        <v>10000</v>
      </c>
      <c r="I11">
        <f t="shared" si="1"/>
        <v>10000</v>
      </c>
      <c r="J11">
        <f t="shared" si="1"/>
        <v>10000</v>
      </c>
      <c r="K11">
        <f t="shared" si="1"/>
        <v>10000</v>
      </c>
      <c r="L11">
        <f>K10</f>
        <v>110000</v>
      </c>
    </row>
    <row r="12" spans="1:39" x14ac:dyDescent="0.2">
      <c r="A12">
        <v>7</v>
      </c>
      <c r="B12" s="17">
        <f>IRR($F12:M12,0.1)</f>
        <v>0.14774769679163283</v>
      </c>
      <c r="C12" s="17">
        <v>6.3700380326913122E-2</v>
      </c>
      <c r="D12" s="17">
        <v>0.14774769679163283</v>
      </c>
      <c r="E12" s="17">
        <v>0.1</v>
      </c>
      <c r="F12">
        <f t="shared" si="0"/>
        <v>-80000</v>
      </c>
      <c r="G12">
        <f t="shared" si="1"/>
        <v>10000</v>
      </c>
      <c r="H12">
        <f t="shared" si="1"/>
        <v>10000</v>
      </c>
      <c r="I12">
        <f t="shared" si="1"/>
        <v>10000</v>
      </c>
      <c r="J12">
        <f t="shared" si="1"/>
        <v>10000</v>
      </c>
      <c r="K12">
        <f t="shared" si="1"/>
        <v>10000</v>
      </c>
      <c r="L12">
        <f t="shared" si="1"/>
        <v>10000</v>
      </c>
      <c r="M12">
        <f>L11</f>
        <v>110000</v>
      </c>
    </row>
    <row r="13" spans="1:39" x14ac:dyDescent="0.2">
      <c r="A13">
        <v>8</v>
      </c>
      <c r="B13" s="18">
        <f>IRR($F13:N13,0.1)</f>
        <v>0.14364208444947807</v>
      </c>
      <c r="C13" s="17">
        <v>6.6906826493917618E-2</v>
      </c>
      <c r="D13" s="17">
        <v>0.14364208444947807</v>
      </c>
      <c r="E13" s="17">
        <v>0.1</v>
      </c>
      <c r="F13">
        <f t="shared" si="0"/>
        <v>-80000</v>
      </c>
      <c r="G13">
        <f t="shared" si="1"/>
        <v>10000</v>
      </c>
      <c r="H13">
        <f t="shared" si="1"/>
        <v>10000</v>
      </c>
      <c r="I13">
        <f t="shared" si="1"/>
        <v>10000</v>
      </c>
      <c r="J13">
        <f t="shared" si="1"/>
        <v>10000</v>
      </c>
      <c r="K13">
        <f t="shared" si="1"/>
        <v>10000</v>
      </c>
      <c r="L13">
        <f t="shared" si="1"/>
        <v>10000</v>
      </c>
      <c r="M13">
        <f t="shared" si="1"/>
        <v>10000</v>
      </c>
      <c r="N13">
        <f>M12</f>
        <v>110000</v>
      </c>
    </row>
    <row r="14" spans="1:39" x14ac:dyDescent="0.2">
      <c r="A14">
        <v>9</v>
      </c>
      <c r="B14" s="18">
        <f>IRR($F14:O14,0.1)</f>
        <v>0.14050848278234057</v>
      </c>
      <c r="C14" s="17">
        <v>6.9383201569574879E-2</v>
      </c>
      <c r="D14" s="17">
        <v>0.14050848278234057</v>
      </c>
      <c r="E14" s="17">
        <v>0.1</v>
      </c>
      <c r="F14">
        <f t="shared" si="0"/>
        <v>-80000</v>
      </c>
      <c r="G14">
        <f t="shared" si="1"/>
        <v>10000</v>
      </c>
      <c r="H14">
        <f t="shared" si="1"/>
        <v>10000</v>
      </c>
      <c r="I14">
        <f t="shared" si="1"/>
        <v>10000</v>
      </c>
      <c r="J14">
        <f t="shared" si="1"/>
        <v>10000</v>
      </c>
      <c r="K14">
        <f t="shared" si="1"/>
        <v>10000</v>
      </c>
      <c r="L14">
        <f t="shared" si="1"/>
        <v>10000</v>
      </c>
      <c r="M14">
        <f t="shared" si="1"/>
        <v>10000</v>
      </c>
      <c r="N14">
        <f t="shared" si="1"/>
        <v>10000</v>
      </c>
      <c r="O14">
        <f>N13</f>
        <v>110000</v>
      </c>
    </row>
    <row r="15" spans="1:39" x14ac:dyDescent="0.2">
      <c r="A15">
        <v>10</v>
      </c>
      <c r="B15" s="18">
        <f>IRR($F15:P15,0.1)</f>
        <v>0.13805158611821708</v>
      </c>
      <c r="C15" s="17">
        <v>7.1346945692897443E-2</v>
      </c>
      <c r="D15" s="17">
        <v>0.13805158611821708</v>
      </c>
      <c r="E15" s="17">
        <v>0.1</v>
      </c>
      <c r="F15">
        <f t="shared" si="0"/>
        <v>-80000</v>
      </c>
      <c r="G15">
        <f t="shared" si="1"/>
        <v>10000</v>
      </c>
      <c r="H15">
        <f t="shared" si="1"/>
        <v>10000</v>
      </c>
      <c r="I15">
        <f t="shared" si="1"/>
        <v>10000</v>
      </c>
      <c r="J15">
        <f t="shared" si="1"/>
        <v>10000</v>
      </c>
      <c r="K15">
        <f t="shared" si="1"/>
        <v>10000</v>
      </c>
      <c r="L15">
        <f t="shared" si="1"/>
        <v>10000</v>
      </c>
      <c r="M15">
        <f t="shared" si="1"/>
        <v>10000</v>
      </c>
      <c r="N15">
        <f t="shared" si="1"/>
        <v>10000</v>
      </c>
      <c r="O15">
        <f t="shared" si="1"/>
        <v>10000</v>
      </c>
      <c r="P15">
        <f>O14</f>
        <v>110000</v>
      </c>
    </row>
    <row r="16" spans="1:39" x14ac:dyDescent="0.2">
      <c r="A16">
        <v>11</v>
      </c>
      <c r="B16" s="18">
        <f>IRR($F16:Q16,0.1)</f>
        <v>0.13608442395793599</v>
      </c>
      <c r="C16" s="17">
        <v>7.2937091533088971E-2</v>
      </c>
      <c r="D16" s="17">
        <v>0.13608442395793599</v>
      </c>
      <c r="E16" s="17">
        <v>0.1</v>
      </c>
      <c r="F16">
        <f t="shared" si="0"/>
        <v>-80000</v>
      </c>
      <c r="G16">
        <f t="shared" si="1"/>
        <v>10000</v>
      </c>
      <c r="H16">
        <f t="shared" si="1"/>
        <v>10000</v>
      </c>
      <c r="I16">
        <f t="shared" si="1"/>
        <v>10000</v>
      </c>
      <c r="J16">
        <f t="shared" si="1"/>
        <v>10000</v>
      </c>
      <c r="K16">
        <f t="shared" si="1"/>
        <v>10000</v>
      </c>
      <c r="L16">
        <f t="shared" si="1"/>
        <v>10000</v>
      </c>
      <c r="M16">
        <f t="shared" si="1"/>
        <v>10000</v>
      </c>
      <c r="N16">
        <f t="shared" si="1"/>
        <v>10000</v>
      </c>
      <c r="O16">
        <f t="shared" si="1"/>
        <v>10000</v>
      </c>
      <c r="P16">
        <f t="shared" si="1"/>
        <v>10000</v>
      </c>
      <c r="Q16">
        <f>P15</f>
        <v>110000</v>
      </c>
    </row>
    <row r="17" spans="1:26" x14ac:dyDescent="0.2">
      <c r="A17">
        <v>12</v>
      </c>
      <c r="B17" s="18">
        <f>IRR($F17:R17,0.1)</f>
        <v>0.13448282525400662</v>
      </c>
      <c r="C17" s="17">
        <v>7.4246688557445317E-2</v>
      </c>
      <c r="D17" s="17">
        <v>0.13448282525400662</v>
      </c>
      <c r="E17" s="17">
        <v>0.1</v>
      </c>
      <c r="F17">
        <f t="shared" si="0"/>
        <v>-80000</v>
      </c>
      <c r="G17">
        <f t="shared" si="1"/>
        <v>10000</v>
      </c>
      <c r="H17">
        <f t="shared" si="1"/>
        <v>10000</v>
      </c>
      <c r="I17">
        <f t="shared" si="1"/>
        <v>10000</v>
      </c>
      <c r="J17">
        <f t="shared" si="1"/>
        <v>10000</v>
      </c>
      <c r="K17">
        <f t="shared" si="1"/>
        <v>10000</v>
      </c>
      <c r="L17">
        <f t="shared" si="1"/>
        <v>10000</v>
      </c>
      <c r="M17">
        <f t="shared" si="1"/>
        <v>10000</v>
      </c>
      <c r="N17">
        <f t="shared" si="1"/>
        <v>10000</v>
      </c>
      <c r="O17">
        <f t="shared" si="1"/>
        <v>10000</v>
      </c>
      <c r="P17">
        <f t="shared" si="1"/>
        <v>10000</v>
      </c>
      <c r="Q17">
        <f t="shared" si="1"/>
        <v>10000</v>
      </c>
      <c r="R17">
        <f>Q16</f>
        <v>110000</v>
      </c>
    </row>
    <row r="18" spans="1:26" x14ac:dyDescent="0.2">
      <c r="A18">
        <v>13</v>
      </c>
      <c r="B18" s="18">
        <f>IRR($F18:S18,0.1)</f>
        <v>0.1331610711032388</v>
      </c>
      <c r="C18" s="17">
        <v>7.5340365665480219E-2</v>
      </c>
      <c r="D18" s="17">
        <v>0.1331610711032388</v>
      </c>
      <c r="E18" s="17">
        <v>0.1</v>
      </c>
      <c r="F18">
        <f t="shared" si="0"/>
        <v>-80000</v>
      </c>
      <c r="G18">
        <f t="shared" si="1"/>
        <v>10000</v>
      </c>
      <c r="H18">
        <f t="shared" si="1"/>
        <v>10000</v>
      </c>
      <c r="I18">
        <f t="shared" si="1"/>
        <v>10000</v>
      </c>
      <c r="J18">
        <f t="shared" si="1"/>
        <v>10000</v>
      </c>
      <c r="K18">
        <f t="shared" si="1"/>
        <v>10000</v>
      </c>
      <c r="L18">
        <f t="shared" si="1"/>
        <v>10000</v>
      </c>
      <c r="M18">
        <f t="shared" si="1"/>
        <v>10000</v>
      </c>
      <c r="N18">
        <f t="shared" si="1"/>
        <v>10000</v>
      </c>
      <c r="O18">
        <f t="shared" si="1"/>
        <v>10000</v>
      </c>
      <c r="P18">
        <f t="shared" si="1"/>
        <v>10000</v>
      </c>
      <c r="Q18">
        <f t="shared" si="1"/>
        <v>10000</v>
      </c>
      <c r="R18">
        <f t="shared" si="1"/>
        <v>10000</v>
      </c>
      <c r="S18">
        <f>R17</f>
        <v>110000</v>
      </c>
    </row>
    <row r="19" spans="1:26" x14ac:dyDescent="0.2">
      <c r="A19">
        <v>14</v>
      </c>
      <c r="B19" s="18">
        <f>IRR($F19:T19,0.1)</f>
        <v>0.13205806165933237</v>
      </c>
      <c r="C19" s="17">
        <v>7.6264415206872493E-2</v>
      </c>
      <c r="D19" s="17">
        <v>0.13205806165933237</v>
      </c>
      <c r="E19" s="17">
        <v>0.1</v>
      </c>
      <c r="F19">
        <f t="shared" si="0"/>
        <v>-80000</v>
      </c>
      <c r="G19">
        <f t="shared" si="1"/>
        <v>10000</v>
      </c>
      <c r="H19">
        <f t="shared" si="1"/>
        <v>10000</v>
      </c>
      <c r="I19">
        <f t="shared" si="1"/>
        <v>10000</v>
      </c>
      <c r="J19">
        <f t="shared" si="1"/>
        <v>10000</v>
      </c>
      <c r="K19">
        <f t="shared" si="1"/>
        <v>10000</v>
      </c>
      <c r="L19">
        <f t="shared" si="1"/>
        <v>10000</v>
      </c>
      <c r="M19">
        <f t="shared" si="1"/>
        <v>10000</v>
      </c>
      <c r="N19">
        <f t="shared" si="1"/>
        <v>10000</v>
      </c>
      <c r="O19">
        <f t="shared" si="1"/>
        <v>10000</v>
      </c>
      <c r="P19">
        <f t="shared" si="1"/>
        <v>10000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>S18</f>
        <v>110000</v>
      </c>
    </row>
    <row r="20" spans="1:26" x14ac:dyDescent="0.2">
      <c r="A20">
        <v>15</v>
      </c>
      <c r="B20" s="18">
        <f>IRR($F20:U20,0.1)</f>
        <v>0.13112905594532157</v>
      </c>
      <c r="C20" s="17">
        <v>7.7052867493484931E-2</v>
      </c>
      <c r="D20" s="17">
        <v>0.13112905594532157</v>
      </c>
      <c r="E20" s="17">
        <v>0.1</v>
      </c>
      <c r="F20">
        <f t="shared" si="0"/>
        <v>-80000</v>
      </c>
      <c r="G20">
        <f t="shared" si="1"/>
        <v>10000</v>
      </c>
      <c r="H20">
        <f t="shared" si="1"/>
        <v>10000</v>
      </c>
      <c r="I20">
        <f t="shared" si="1"/>
        <v>10000</v>
      </c>
      <c r="J20">
        <f t="shared" si="1"/>
        <v>10000</v>
      </c>
      <c r="K20">
        <f t="shared" si="1"/>
        <v>10000</v>
      </c>
      <c r="L20">
        <f t="shared" si="1"/>
        <v>10000</v>
      </c>
      <c r="M20">
        <f t="shared" si="1"/>
        <v>10000</v>
      </c>
      <c r="N20">
        <f t="shared" si="1"/>
        <v>10000</v>
      </c>
      <c r="O20">
        <f t="shared" si="1"/>
        <v>10000</v>
      </c>
      <c r="P20">
        <f t="shared" si="1"/>
        <v>10000</v>
      </c>
      <c r="Q20">
        <f t="shared" si="1"/>
        <v>10000</v>
      </c>
      <c r="R20">
        <f t="shared" si="1"/>
        <v>10000</v>
      </c>
      <c r="S20">
        <f t="shared" si="1"/>
        <v>10000</v>
      </c>
      <c r="T20">
        <f t="shared" si="1"/>
        <v>10000</v>
      </c>
      <c r="U20">
        <f>T19</f>
        <v>110000</v>
      </c>
    </row>
    <row r="21" spans="1:26" x14ac:dyDescent="0.2">
      <c r="A21">
        <v>16</v>
      </c>
      <c r="B21" s="18">
        <f>IRR($F21:V21,0.1)</f>
        <v>0.13034053020095743</v>
      </c>
      <c r="C21" s="17">
        <v>7.7731300128923222E-2</v>
      </c>
      <c r="D21" s="17">
        <v>0.13034053020095743</v>
      </c>
      <c r="E21" s="17">
        <v>0.1</v>
      </c>
      <c r="F21">
        <f t="shared" si="0"/>
        <v>-80000</v>
      </c>
      <c r="G21">
        <f t="shared" si="1"/>
        <v>10000</v>
      </c>
      <c r="H21">
        <f t="shared" si="1"/>
        <v>10000</v>
      </c>
      <c r="I21">
        <f t="shared" si="1"/>
        <v>10000</v>
      </c>
      <c r="J21">
        <f t="shared" si="1"/>
        <v>10000</v>
      </c>
      <c r="K21">
        <f t="shared" si="1"/>
        <v>10000</v>
      </c>
      <c r="L21">
        <f t="shared" si="1"/>
        <v>10000</v>
      </c>
      <c r="M21">
        <f t="shared" si="1"/>
        <v>10000</v>
      </c>
      <c r="N21">
        <f t="shared" si="1"/>
        <v>10000</v>
      </c>
      <c r="O21">
        <f t="shared" si="1"/>
        <v>10000</v>
      </c>
      <c r="P21">
        <f t="shared" si="1"/>
        <v>10000</v>
      </c>
      <c r="Q21">
        <f t="shared" si="1"/>
        <v>10000</v>
      </c>
      <c r="R21">
        <f t="shared" si="1"/>
        <v>10000</v>
      </c>
      <c r="S21">
        <f t="shared" si="1"/>
        <v>10000</v>
      </c>
      <c r="T21">
        <f t="shared" si="1"/>
        <v>10000</v>
      </c>
      <c r="U21">
        <f t="shared" si="1"/>
        <v>10000</v>
      </c>
      <c r="V21">
        <f>U20</f>
        <v>110000</v>
      </c>
    </row>
    <row r="22" spans="1:26" x14ac:dyDescent="0.2">
      <c r="A22">
        <v>17</v>
      </c>
      <c r="B22" s="18">
        <f>IRR($F22:W22,0.1)</f>
        <v>0.12966686257579954</v>
      </c>
      <c r="C22" s="17">
        <v>7.8319309964379885E-2</v>
      </c>
      <c r="D22" s="17">
        <v>0.12966686257579954</v>
      </c>
      <c r="E22" s="17">
        <v>0.1</v>
      </c>
      <c r="F22">
        <f t="shared" si="0"/>
        <v>-80000</v>
      </c>
      <c r="G22">
        <f t="shared" si="1"/>
        <v>10000</v>
      </c>
      <c r="H22">
        <f t="shared" si="1"/>
        <v>10000</v>
      </c>
      <c r="I22">
        <f t="shared" si="1"/>
        <v>10000</v>
      </c>
      <c r="J22">
        <f t="shared" si="1"/>
        <v>10000</v>
      </c>
      <c r="K22">
        <f t="shared" si="1"/>
        <v>10000</v>
      </c>
      <c r="L22">
        <f t="shared" si="1"/>
        <v>10000</v>
      </c>
      <c r="M22">
        <f t="shared" si="1"/>
        <v>10000</v>
      </c>
      <c r="N22">
        <f t="shared" si="1"/>
        <v>10000</v>
      </c>
      <c r="O22">
        <f t="shared" si="1"/>
        <v>10000</v>
      </c>
      <c r="P22">
        <f t="shared" si="1"/>
        <v>10000</v>
      </c>
      <c r="Q22">
        <f t="shared" si="1"/>
        <v>10000</v>
      </c>
      <c r="R22">
        <f t="shared" si="1"/>
        <v>10000</v>
      </c>
      <c r="S22">
        <f t="shared" si="1"/>
        <v>10000</v>
      </c>
      <c r="T22">
        <f t="shared" si="1"/>
        <v>10000</v>
      </c>
      <c r="U22">
        <f t="shared" si="1"/>
        <v>10000</v>
      </c>
      <c r="V22">
        <f t="shared" si="1"/>
        <v>10000</v>
      </c>
      <c r="W22">
        <f>V21</f>
        <v>110000</v>
      </c>
    </row>
    <row r="23" spans="1:26" x14ac:dyDescent="0.2">
      <c r="A23">
        <v>18</v>
      </c>
      <c r="B23" s="18">
        <f>IRR($F23:X23,0.1)</f>
        <v>0.12908812966126165</v>
      </c>
      <c r="C23" s="17">
        <v>7.8832165187626327E-2</v>
      </c>
      <c r="D23" s="17">
        <v>0.12908812966126165</v>
      </c>
      <c r="E23" s="17">
        <v>0.1</v>
      </c>
      <c r="F23">
        <f t="shared" si="0"/>
        <v>-80000</v>
      </c>
      <c r="G23">
        <f t="shared" si="1"/>
        <v>10000</v>
      </c>
      <c r="H23">
        <f t="shared" si="1"/>
        <v>10000</v>
      </c>
      <c r="I23">
        <f t="shared" si="1"/>
        <v>10000</v>
      </c>
      <c r="J23">
        <f t="shared" si="1"/>
        <v>10000</v>
      </c>
      <c r="K23">
        <f t="shared" si="1"/>
        <v>10000</v>
      </c>
      <c r="L23">
        <f t="shared" si="1"/>
        <v>10000</v>
      </c>
      <c r="M23">
        <f t="shared" si="1"/>
        <v>10000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10000</v>
      </c>
      <c r="R23">
        <f t="shared" si="1"/>
        <v>10000</v>
      </c>
      <c r="S23">
        <f t="shared" si="1"/>
        <v>10000</v>
      </c>
      <c r="T23">
        <f t="shared" si="1"/>
        <v>10000</v>
      </c>
      <c r="U23">
        <f t="shared" si="1"/>
        <v>10000</v>
      </c>
      <c r="V23">
        <f t="shared" si="1"/>
        <v>10000</v>
      </c>
      <c r="W23">
        <f t="shared" si="1"/>
        <v>10000</v>
      </c>
      <c r="X23">
        <f>W22</f>
        <v>110000</v>
      </c>
    </row>
    <row r="24" spans="1:26" x14ac:dyDescent="0.2">
      <c r="A24">
        <v>19</v>
      </c>
      <c r="B24" s="18">
        <f>IRR($F24:Y24,0.1)</f>
        <v>0.12858860287751059</v>
      </c>
      <c r="C24" s="17">
        <v>7.928193818294961E-2</v>
      </c>
      <c r="D24" s="17">
        <v>0.12858860287751059</v>
      </c>
      <c r="E24" s="17">
        <v>0.1</v>
      </c>
      <c r="F24">
        <f t="shared" si="0"/>
        <v>-80000</v>
      </c>
      <c r="G24">
        <f t="shared" si="1"/>
        <v>10000</v>
      </c>
      <c r="H24">
        <f t="shared" si="1"/>
        <v>10000</v>
      </c>
      <c r="I24">
        <f t="shared" si="1"/>
        <v>10000</v>
      </c>
      <c r="J24">
        <f t="shared" si="1"/>
        <v>10000</v>
      </c>
      <c r="K24">
        <f t="shared" si="1"/>
        <v>10000</v>
      </c>
      <c r="L24">
        <f t="shared" si="1"/>
        <v>10000</v>
      </c>
      <c r="M24">
        <f t="shared" si="1"/>
        <v>10000</v>
      </c>
      <c r="N24">
        <f t="shared" si="1"/>
        <v>10000</v>
      </c>
      <c r="O24">
        <f t="shared" si="1"/>
        <v>10000</v>
      </c>
      <c r="P24">
        <f t="shared" si="1"/>
        <v>10000</v>
      </c>
      <c r="Q24">
        <f t="shared" si="1"/>
        <v>10000</v>
      </c>
      <c r="R24">
        <f t="shared" si="1"/>
        <v>10000</v>
      </c>
      <c r="S24">
        <f t="shared" si="1"/>
        <v>10000</v>
      </c>
      <c r="T24">
        <f t="shared" si="1"/>
        <v>10000</v>
      </c>
      <c r="U24">
        <f t="shared" si="1"/>
        <v>10000</v>
      </c>
      <c r="V24">
        <f t="shared" si="1"/>
        <v>10000</v>
      </c>
      <c r="W24">
        <f t="shared" si="1"/>
        <v>10000</v>
      </c>
      <c r="X24">
        <f t="shared" si="1"/>
        <v>10000</v>
      </c>
      <c r="Y24">
        <f>X23</f>
        <v>110000</v>
      </c>
    </row>
    <row r="25" spans="1:26" x14ac:dyDescent="0.2">
      <c r="A25">
        <v>20</v>
      </c>
      <c r="B25" s="18">
        <f>IRR($F25:Z25,0.1)</f>
        <v>0.12815569839967275</v>
      </c>
      <c r="C25" s="17">
        <v>7.967830008318319E-2</v>
      </c>
      <c r="D25" s="17">
        <v>0.12815569839967275</v>
      </c>
      <c r="E25" s="17">
        <v>0.1</v>
      </c>
      <c r="F25">
        <f t="shared" si="0"/>
        <v>-80000</v>
      </c>
      <c r="G25">
        <f t="shared" si="1"/>
        <v>10000</v>
      </c>
      <c r="H25">
        <f t="shared" si="1"/>
        <v>10000</v>
      </c>
      <c r="I25">
        <f t="shared" si="1"/>
        <v>10000</v>
      </c>
      <c r="J25">
        <f t="shared" si="1"/>
        <v>10000</v>
      </c>
      <c r="K25">
        <f t="shared" si="1"/>
        <v>10000</v>
      </c>
      <c r="L25">
        <f t="shared" si="1"/>
        <v>10000</v>
      </c>
      <c r="M25">
        <f t="shared" si="1"/>
        <v>10000</v>
      </c>
      <c r="N25">
        <f t="shared" si="1"/>
        <v>10000</v>
      </c>
      <c r="O25">
        <f t="shared" si="1"/>
        <v>10000</v>
      </c>
      <c r="P25">
        <f t="shared" si="1"/>
        <v>10000</v>
      </c>
      <c r="Q25">
        <f t="shared" si="1"/>
        <v>10000</v>
      </c>
      <c r="R25">
        <f t="shared" si="1"/>
        <v>10000</v>
      </c>
      <c r="S25">
        <f t="shared" si="1"/>
        <v>10000</v>
      </c>
      <c r="T25">
        <f t="shared" si="1"/>
        <v>10000</v>
      </c>
      <c r="U25">
        <f t="shared" si="1"/>
        <v>10000</v>
      </c>
      <c r="V25">
        <f t="shared" si="1"/>
        <v>10000</v>
      </c>
      <c r="W25">
        <f t="shared" si="1"/>
        <v>10000</v>
      </c>
      <c r="X25">
        <f t="shared" si="1"/>
        <v>10000</v>
      </c>
      <c r="Y25">
        <f t="shared" si="1"/>
        <v>10000</v>
      </c>
      <c r="Z25">
        <f>Y24</f>
        <v>110000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Q24" workbookViewId="0">
      <selection activeCell="D3" sqref="D3"/>
    </sheetView>
  </sheetViews>
  <sheetFormatPr defaultRowHeight="12.75" x14ac:dyDescent="0.2"/>
  <cols>
    <col min="2" max="2" width="11.7109375" customWidth="1"/>
    <col min="3" max="3" width="19.42578125" customWidth="1"/>
    <col min="4" max="4" width="11.140625" bestFit="1" customWidth="1"/>
    <col min="5" max="5" width="9" bestFit="1" customWidth="1"/>
  </cols>
  <sheetData>
    <row r="1" spans="1:5" x14ac:dyDescent="0.2">
      <c r="A1" t="str">
        <f>GNMA!A24</f>
        <v>Year</v>
      </c>
      <c r="B1">
        <f>GNMA!G24</f>
        <v>0</v>
      </c>
      <c r="C1">
        <f>GNMA!H24</f>
        <v>0</v>
      </c>
      <c r="D1">
        <f>GNMA!I24-GNMA!J24</f>
        <v>0</v>
      </c>
      <c r="E1">
        <f>GNMA!J24</f>
        <v>0</v>
      </c>
    </row>
    <row r="2" spans="1:5" x14ac:dyDescent="0.2">
      <c r="A2" t="str">
        <f>GNMA!A25</f>
        <v>EOY</v>
      </c>
      <c r="B2" t="str">
        <f>GNMA!G25</f>
        <v>Unscheduled Prepayment</v>
      </c>
      <c r="C2" t="str">
        <f>GNMA!H25</f>
        <v>Scheduled Payment</v>
      </c>
      <c r="D2" t="s">
        <v>50</v>
      </c>
      <c r="E2" t="str">
        <f>GNMA!J25</f>
        <v>Servicing</v>
      </c>
    </row>
    <row r="3" spans="1:5" x14ac:dyDescent="0.2">
      <c r="A3">
        <f>GNMA!A27</f>
        <v>1</v>
      </c>
      <c r="B3" s="13">
        <f>GNMA!G27</f>
        <v>1240413.0981807129</v>
      </c>
      <c r="C3" s="13">
        <f>GNMA!H27</f>
        <v>632241.81827392615</v>
      </c>
      <c r="D3" s="13">
        <f>GNMA!I27</f>
        <v>10400000</v>
      </c>
      <c r="E3" s="13">
        <f>GNMA!J27</f>
        <v>520000</v>
      </c>
    </row>
    <row r="4" spans="1:5" x14ac:dyDescent="0.2">
      <c r="A4">
        <f>GNMA!A28</f>
        <v>2</v>
      </c>
      <c r="B4" s="13">
        <f>GNMA!G28</f>
        <v>3651848.0883160289</v>
      </c>
      <c r="C4" s="13">
        <f>GNMA!H28</f>
        <v>687120.4081001021</v>
      </c>
      <c r="D4" s="13">
        <f>GNMA!I28</f>
        <v>10212734.508354537</v>
      </c>
      <c r="E4" s="13">
        <f>GNMA!J28</f>
        <v>510636.72541772679</v>
      </c>
    </row>
    <row r="5" spans="1:5" x14ac:dyDescent="0.2">
      <c r="A5">
        <f>GNMA!A29</f>
        <v>3</v>
      </c>
      <c r="B5" s="13">
        <f>GNMA!G29</f>
        <v>5580935.8611168433</v>
      </c>
      <c r="C5" s="13">
        <f>GNMA!H29</f>
        <v>728622.48074935004</v>
      </c>
      <c r="D5" s="13">
        <f>GNMA!I29</f>
        <v>9778837.6587129235</v>
      </c>
      <c r="E5" s="13">
        <f>GNMA!J29</f>
        <v>488941.88293564616</v>
      </c>
    </row>
    <row r="6" spans="1:5" x14ac:dyDescent="0.2">
      <c r="A6">
        <f>GNMA!A30</f>
        <v>4</v>
      </c>
      <c r="B6" s="13">
        <f>GNMA!G30</f>
        <v>5443405.1333007691</v>
      </c>
      <c r="C6" s="13">
        <f>GNMA!H30</f>
        <v>755399.35691688769</v>
      </c>
      <c r="D6" s="13">
        <f>GNMA!I30</f>
        <v>9147881.8245263044</v>
      </c>
      <c r="E6" s="13">
        <f>GNMA!J30</f>
        <v>457394.09122631518</v>
      </c>
    </row>
    <row r="7" spans="1:5" x14ac:dyDescent="0.2">
      <c r="A7">
        <f>GNMA!A31</f>
        <v>5</v>
      </c>
      <c r="B7" s="13">
        <f>GNMA!G31</f>
        <v>5069935.8491995987</v>
      </c>
      <c r="C7" s="13">
        <f>GNMA!H31</f>
        <v>781082.93505206332</v>
      </c>
      <c r="D7" s="13">
        <f>GNMA!I31</f>
        <v>8528001.3755045384</v>
      </c>
      <c r="E7" s="13">
        <f>GNMA!J31</f>
        <v>426400.06877522694</v>
      </c>
    </row>
    <row r="8" spans="1:5" x14ac:dyDescent="0.2">
      <c r="A8">
        <f>GNMA!A32</f>
        <v>6</v>
      </c>
      <c r="B8" s="13">
        <f>GNMA!G32</f>
        <v>4717281.3129569935</v>
      </c>
      <c r="C8" s="13">
        <f>GNMA!H32</f>
        <v>807639.75484383292</v>
      </c>
      <c r="D8" s="13">
        <f>GNMA!I32</f>
        <v>7942899.4970793724</v>
      </c>
      <c r="E8" s="13">
        <f>GNMA!J32</f>
        <v>397144.97485396866</v>
      </c>
    </row>
    <row r="9" spans="1:5" x14ac:dyDescent="0.2">
      <c r="A9">
        <f>GNMA!A33</f>
        <v>7</v>
      </c>
      <c r="B9" s="13">
        <f>GNMA!G33</f>
        <v>4384138.4637890626</v>
      </c>
      <c r="C9" s="13">
        <f>GNMA!H33</f>
        <v>835099.50650852174</v>
      </c>
      <c r="D9" s="13">
        <f>GNMA!I33</f>
        <v>7390407.3902992904</v>
      </c>
      <c r="E9" s="13">
        <f>GNMA!J33</f>
        <v>369520.36951496452</v>
      </c>
    </row>
    <row r="10" spans="1:5" x14ac:dyDescent="0.2">
      <c r="A10">
        <f>GNMA!A34</f>
        <v>8</v>
      </c>
      <c r="B10" s="13">
        <f>GNMA!G34</f>
        <v>4069280.5825779298</v>
      </c>
      <c r="C10" s="13">
        <f>GNMA!H34</f>
        <v>863492.88972981181</v>
      </c>
      <c r="D10" s="13">
        <f>GNMA!I34</f>
        <v>6868483.5932695316</v>
      </c>
      <c r="E10" s="13">
        <f>GNMA!J34</f>
        <v>343424.17966347659</v>
      </c>
    </row>
    <row r="11" spans="1:5" x14ac:dyDescent="0.2">
      <c r="A11">
        <f>GNMA!A35</f>
        <v>9</v>
      </c>
      <c r="B11" s="13">
        <f>GNMA!G35</f>
        <v>3771552.6487444164</v>
      </c>
      <c r="C11" s="13">
        <f>GNMA!H35</f>
        <v>892851.64798062667</v>
      </c>
      <c r="D11" s="13">
        <f>GNMA!I35</f>
        <v>6375206.2460387573</v>
      </c>
      <c r="E11" s="13">
        <f>GNMA!J35</f>
        <v>318760.3123019379</v>
      </c>
    </row>
    <row r="12" spans="1:5" x14ac:dyDescent="0.2">
      <c r="A12">
        <f>GNMA!A36</f>
        <v>10</v>
      </c>
      <c r="B12" s="13">
        <f>GNMA!G36</f>
        <v>3489866.9735790333</v>
      </c>
      <c r="C12" s="13">
        <f>GNMA!H36</f>
        <v>923208.60401196778</v>
      </c>
      <c r="D12" s="13">
        <f>GNMA!I36</f>
        <v>5908765.8163662525</v>
      </c>
      <c r="E12" s="13">
        <f>GNMA!J36</f>
        <v>295438.29081831261</v>
      </c>
    </row>
    <row r="13" spans="1:5" x14ac:dyDescent="0.2">
      <c r="A13">
        <f>GNMA!A37</f>
        <v>11</v>
      </c>
      <c r="B13" s="13">
        <f>GNMA!G37</f>
        <v>3223199.093371389</v>
      </c>
      <c r="C13" s="13">
        <f>GNMA!H37</f>
        <v>954597.69654837251</v>
      </c>
      <c r="D13" s="13">
        <f>GNMA!I37</f>
        <v>5467458.2586071528</v>
      </c>
      <c r="E13" s="13">
        <f>GNMA!J37</f>
        <v>273372.91293035762</v>
      </c>
    </row>
    <row r="14" spans="1:5" x14ac:dyDescent="0.2">
      <c r="A14">
        <f>GNMA!A38</f>
        <v>12</v>
      </c>
      <c r="B14" s="13">
        <f>GNMA!G38</f>
        <v>2970583.9066752442</v>
      </c>
      <c r="C14" s="13">
        <f>GNMA!H38</f>
        <v>987054.01823101845</v>
      </c>
      <c r="D14" s="13">
        <f>GNMA!I38</f>
        <v>5049678.5796151757</v>
      </c>
      <c r="E14" s="13">
        <f>GNMA!J38</f>
        <v>252483.92898075879</v>
      </c>
    </row>
    <row r="15" spans="1:5" x14ac:dyDescent="0.2">
      <c r="A15">
        <f>GNMA!A39</f>
        <v>13</v>
      </c>
      <c r="B15" s="13">
        <f>GNMA!G39</f>
        <v>2731112.0409836774</v>
      </c>
      <c r="C15" s="13">
        <f>GNMA!H39</f>
        <v>1020613.8548508734</v>
      </c>
      <c r="D15" s="13">
        <f>GNMA!I39</f>
        <v>4653914.78712455</v>
      </c>
      <c r="E15" s="13">
        <f>GNMA!J39</f>
        <v>232695.73935622748</v>
      </c>
    </row>
    <row r="16" spans="1:5" x14ac:dyDescent="0.2">
      <c r="A16">
        <f>GNMA!A40</f>
        <v>14</v>
      </c>
      <c r="B16" s="13">
        <f>GNMA!G40</f>
        <v>2503926.4349697083</v>
      </c>
      <c r="C16" s="13">
        <f>GNMA!H40</f>
        <v>1055314.7259158026</v>
      </c>
      <c r="D16" s="13">
        <f>GNMA!I40</f>
        <v>4278742.1975410944</v>
      </c>
      <c r="E16" s="13">
        <f>GNMA!J40</f>
        <v>213937.10987705473</v>
      </c>
    </row>
    <row r="17" spans="1:5" x14ac:dyDescent="0.2">
      <c r="A17">
        <f>GNMA!A41</f>
        <v>15</v>
      </c>
      <c r="B17" s="13">
        <f>GNMA!G41</f>
        <v>2288219.1232757093</v>
      </c>
      <c r="C17" s="13">
        <f>GNMA!H41</f>
        <v>1091195.42659694</v>
      </c>
      <c r="D17" s="13">
        <f>GNMA!I41</f>
        <v>3922818.0814525434</v>
      </c>
      <c r="E17" s="13">
        <f>GNMA!J41</f>
        <v>196140.90407262716</v>
      </c>
    </row>
    <row r="18" spans="1:5" x14ac:dyDescent="0.2">
      <c r="A18">
        <f>GNMA!A42</f>
        <v>16</v>
      </c>
      <c r="B18" s="13">
        <f>GNMA!G42</f>
        <v>2083228.2116130928</v>
      </c>
      <c r="C18" s="13">
        <f>GNMA!H42</f>
        <v>1128296.0711012366</v>
      </c>
      <c r="D18" s="13">
        <f>GNMA!I42</f>
        <v>3584876.6264652782</v>
      </c>
      <c r="E18" s="13">
        <f>GNMA!J42</f>
        <v>179243.8313232639</v>
      </c>
    </row>
    <row r="19" spans="1:5" x14ac:dyDescent="0.2">
      <c r="A19">
        <f>GNMA!A43</f>
        <v>17</v>
      </c>
      <c r="B19" s="13">
        <f>GNMA!G43</f>
        <v>1888235.0306651865</v>
      </c>
      <c r="C19" s="13">
        <f>GNMA!H43</f>
        <v>1166658.1375186783</v>
      </c>
      <c r="D19" s="13">
        <f>GNMA!I43</f>
        <v>3263724.1981938458</v>
      </c>
      <c r="E19" s="13">
        <f>GNMA!J43</f>
        <v>163186.20990969229</v>
      </c>
    </row>
    <row r="20" spans="1:5" x14ac:dyDescent="0.2">
      <c r="A20">
        <f>GNMA!A44</f>
        <v>18</v>
      </c>
      <c r="B20" s="13">
        <f>GNMA!G44</f>
        <v>1702561.4579736167</v>
      </c>
      <c r="C20" s="13">
        <f>GNMA!H44</f>
        <v>1206324.514194313</v>
      </c>
      <c r="D20" s="13">
        <f>GNMA!I44</f>
        <v>2958234.8813754595</v>
      </c>
      <c r="E20" s="13">
        <f>GNMA!J44</f>
        <v>147911.74406877297</v>
      </c>
    </row>
    <row r="21" spans="1:5" x14ac:dyDescent="0.2">
      <c r="A21">
        <f>GNMA!A45</f>
        <v>19</v>
      </c>
      <c r="B21" s="13">
        <f>GNMA!G45</f>
        <v>1525567.3976345842</v>
      </c>
      <c r="C21" s="13">
        <f>GNMA!H45</f>
        <v>1247339.5476769214</v>
      </c>
      <c r="D21" s="13">
        <f>GNMA!I45</f>
        <v>2667346.2841586662</v>
      </c>
      <c r="E21" s="13">
        <f>GNMA!J45</f>
        <v>133367.31420793332</v>
      </c>
    </row>
    <row r="22" spans="1:5" x14ac:dyDescent="0.2">
      <c r="A22">
        <f>GNMA!A46</f>
        <v>20</v>
      </c>
      <c r="B22" s="13">
        <f>GNMA!G46</f>
        <v>1356648.4082386331</v>
      </c>
      <c r="C22" s="13">
        <f>GNMA!H46</f>
        <v>1289749.0922979368</v>
      </c>
      <c r="D22" s="13">
        <f>GNMA!I46</f>
        <v>2390055.5896275155</v>
      </c>
      <c r="E22" s="13">
        <f>GNMA!J46</f>
        <v>119502.77948137578</v>
      </c>
    </row>
    <row r="23" spans="1:5" x14ac:dyDescent="0.2">
      <c r="A23">
        <f>GNMA!A47</f>
        <v>21</v>
      </c>
      <c r="B23" s="13">
        <f>GNMA!G47</f>
        <v>1195233.4700581508</v>
      </c>
      <c r="C23" s="13">
        <f>GNMA!H47</f>
        <v>1333600.5614360664</v>
      </c>
      <c r="D23" s="13">
        <f>GNMA!I47</f>
        <v>2125415.8395738583</v>
      </c>
      <c r="E23" s="13">
        <f>GNMA!J47</f>
        <v>106270.79197869291</v>
      </c>
    </row>
    <row r="24" spans="1:5" x14ac:dyDescent="0.2">
      <c r="A24">
        <f>GNMA!A48</f>
        <v>22</v>
      </c>
      <c r="B24" s="13">
        <f>GNMA!G48</f>
        <v>1040782.8830231682</v>
      </c>
      <c r="C24" s="13">
        <f>GNMA!H48</f>
        <v>1378942.9805248925</v>
      </c>
      <c r="D24" s="13">
        <f>GNMA!I48</f>
        <v>1872532.4364244365</v>
      </c>
      <c r="E24" s="13">
        <f>GNMA!J48</f>
        <v>93626.621821221823</v>
      </c>
    </row>
    <row r="25" spans="1:5" x14ac:dyDescent="0.2">
      <c r="A25">
        <f>GNMA!A49</f>
        <v>23</v>
      </c>
      <c r="B25" s="13">
        <f>GNMA!G49</f>
        <v>892786.28753001383</v>
      </c>
      <c r="C25" s="13">
        <f>GNMA!H49</f>
        <v>1425827.0418627381</v>
      </c>
      <c r="D25" s="13">
        <f>GNMA!I49</f>
        <v>1630559.8500696302</v>
      </c>
      <c r="E25" s="13">
        <f>GNMA!J49</f>
        <v>81527.99250348151</v>
      </c>
    </row>
    <row r="26" spans="1:5" x14ac:dyDescent="0.2">
      <c r="A26">
        <f>GNMA!A50</f>
        <v>24</v>
      </c>
      <c r="B26" s="13">
        <f>GNMA!G50</f>
        <v>750760.80060104863</v>
      </c>
      <c r="C26" s="13">
        <f>GNMA!H50</f>
        <v>1474305.1612860721</v>
      </c>
      <c r="D26" s="13">
        <f>GNMA!I50</f>
        <v>1398698.5171303551</v>
      </c>
      <c r="E26" s="13">
        <f>GNMA!J50</f>
        <v>69934.925856517744</v>
      </c>
    </row>
    <row r="27" spans="1:5" x14ac:dyDescent="0.2">
      <c r="A27">
        <f>GNMA!A51</f>
        <v>25</v>
      </c>
      <c r="B27" s="13">
        <f>GNMA!G51</f>
        <v>614249.26035879785</v>
      </c>
      <c r="C27" s="13">
        <f>GNMA!H51</f>
        <v>1524431.5367697985</v>
      </c>
      <c r="D27" s="13">
        <f>GNMA!I51</f>
        <v>1176191.920941643</v>
      </c>
      <c r="E27" s="13">
        <f>GNMA!J51</f>
        <v>58809.596047082145</v>
      </c>
    </row>
    <row r="28" spans="1:5" x14ac:dyDescent="0.2">
      <c r="A28">
        <f>GNMA!A52</f>
        <v>26</v>
      </c>
      <c r="B28" s="13">
        <f>GNMA!G52</f>
        <v>482818.57219607173</v>
      </c>
      <c r="C28" s="13">
        <f>GNMA!H52</f>
        <v>1576262.2090199713</v>
      </c>
      <c r="D28" s="13">
        <f>GNMA!I52</f>
        <v>962323.84122878336</v>
      </c>
      <c r="E28" s="13">
        <f>GNMA!J52</f>
        <v>48116.192061439164</v>
      </c>
    </row>
    <row r="29" spans="1:5" x14ac:dyDescent="0.2">
      <c r="A29">
        <f>GNMA!A53</f>
        <v>27</v>
      </c>
      <c r="B29" s="13">
        <f>GNMA!G53</f>
        <v>356058.15041670843</v>
      </c>
      <c r="C29" s="13">
        <f>GNMA!H53</f>
        <v>1629855.1241266499</v>
      </c>
      <c r="D29" s="13">
        <f>GNMA!I53</f>
        <v>756415.76310717908</v>
      </c>
      <c r="E29" s="13">
        <f>GNMA!J53</f>
        <v>37820.788155358954</v>
      </c>
    </row>
    <row r="30" spans="1:5" x14ac:dyDescent="0.2">
      <c r="A30">
        <f>GNMA!A54</f>
        <v>28</v>
      </c>
      <c r="B30" s="13">
        <f>GNMA!G54</f>
        <v>233578.44949088845</v>
      </c>
      <c r="C30" s="13">
        <f>GNMA!H54</f>
        <v>1685270.1983469576</v>
      </c>
      <c r="D30" s="13">
        <f>GNMA!I54</f>
        <v>557824.43565284321</v>
      </c>
      <c r="E30" s="13">
        <f>GNMA!J54</f>
        <v>27891.221782642162</v>
      </c>
    </row>
    <row r="31" spans="1:5" x14ac:dyDescent="0.2">
      <c r="A31">
        <f>GNMA!A55</f>
        <v>29</v>
      </c>
      <c r="B31" s="13">
        <f>GNMA!G55</f>
        <v>115009.57941598991</v>
      </c>
      <c r="C31" s="13">
        <f>GNMA!H55</f>
        <v>1742569.3850907541</v>
      </c>
      <c r="D31" s="13">
        <f>GNMA!I55</f>
        <v>365939.5708690586</v>
      </c>
      <c r="E31" s="13">
        <f>GNMA!J55</f>
        <v>18296.978543452929</v>
      </c>
    </row>
    <row r="32" spans="1:5" x14ac:dyDescent="0.2">
      <c r="A32">
        <f>GNMA!A56</f>
        <v>30</v>
      </c>
      <c r="B32" s="13">
        <f>GNMA!G56</f>
        <v>4.1909515857696532E-11</v>
      </c>
      <c r="C32" s="13">
        <f>GNMA!H56</f>
        <v>1801816.7441838414</v>
      </c>
      <c r="D32" s="13">
        <f>GNMA!I56</f>
        <v>180181.67441838421</v>
      </c>
      <c r="E32" s="13">
        <f>GNMA!J56</f>
        <v>9009.0837209192105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7" workbookViewId="0">
      <selection activeCell="A69" sqref="A69"/>
    </sheetView>
  </sheetViews>
  <sheetFormatPr defaultRowHeight="12.75" x14ac:dyDescent="0.2"/>
  <cols>
    <col min="1" max="1" width="16.42578125" customWidth="1"/>
    <col min="2" max="2" width="13.28515625" customWidth="1"/>
    <col min="3" max="3" width="17.7109375" customWidth="1"/>
    <col min="5" max="5" width="16.42578125" customWidth="1"/>
    <col min="6" max="6" width="19" customWidth="1"/>
    <col min="7" max="7" width="14.140625" customWidth="1"/>
    <col min="8" max="8" width="18.140625" customWidth="1"/>
    <col min="9" max="10" width="17.85546875" customWidth="1"/>
    <col min="11" max="11" width="16.28515625" customWidth="1"/>
  </cols>
  <sheetData>
    <row r="1" spans="1:5" x14ac:dyDescent="0.2">
      <c r="A1" s="3" t="s">
        <v>1</v>
      </c>
    </row>
    <row r="3" spans="1:5" x14ac:dyDescent="0.2">
      <c r="A3" s="3" t="s">
        <v>2</v>
      </c>
      <c r="C3" s="2">
        <v>0.1</v>
      </c>
    </row>
    <row r="4" spans="1:5" x14ac:dyDescent="0.2">
      <c r="A4" s="3" t="s">
        <v>3</v>
      </c>
      <c r="C4" s="14">
        <v>1</v>
      </c>
    </row>
    <row r="5" spans="1:5" x14ac:dyDescent="0.2">
      <c r="A5" s="3" t="s">
        <v>4</v>
      </c>
      <c r="C5" s="4">
        <v>100000000</v>
      </c>
    </row>
    <row r="6" spans="1:5" x14ac:dyDescent="0.2">
      <c r="A6" s="3" t="s">
        <v>5</v>
      </c>
      <c r="C6" s="4">
        <v>4000000</v>
      </c>
    </row>
    <row r="7" spans="1:5" x14ac:dyDescent="0.2">
      <c r="A7" t="s">
        <v>28</v>
      </c>
      <c r="C7" s="2">
        <v>5.0000000000000001E-3</v>
      </c>
    </row>
    <row r="8" spans="1:5" x14ac:dyDescent="0.2">
      <c r="C8" s="4"/>
    </row>
    <row r="9" spans="1:5" x14ac:dyDescent="0.2">
      <c r="A9" s="3" t="s">
        <v>6</v>
      </c>
      <c r="C9" s="4">
        <v>30000000</v>
      </c>
    </row>
    <row r="10" spans="1:5" x14ac:dyDescent="0.2">
      <c r="A10" s="3" t="s">
        <v>7</v>
      </c>
      <c r="C10" s="2">
        <v>0.09</v>
      </c>
    </row>
    <row r="11" spans="1:5" x14ac:dyDescent="0.2">
      <c r="E11" s="3" t="s">
        <v>8</v>
      </c>
    </row>
    <row r="12" spans="1:5" x14ac:dyDescent="0.2">
      <c r="A12" s="3" t="s">
        <v>9</v>
      </c>
      <c r="C12" s="4">
        <v>30000000</v>
      </c>
    </row>
    <row r="13" spans="1:5" x14ac:dyDescent="0.2">
      <c r="A13" s="3" t="s">
        <v>10</v>
      </c>
      <c r="C13" s="2">
        <v>9.2499999999999999E-2</v>
      </c>
    </row>
    <row r="15" spans="1:5" x14ac:dyDescent="0.2">
      <c r="A15" s="3" t="s">
        <v>11</v>
      </c>
      <c r="C15" s="4">
        <v>25000000</v>
      </c>
    </row>
    <row r="16" spans="1:5" x14ac:dyDescent="0.2">
      <c r="A16" s="3" t="s">
        <v>12</v>
      </c>
      <c r="C16" s="2">
        <v>9.7500000000000003E-2</v>
      </c>
    </row>
    <row r="18" spans="1:11" x14ac:dyDescent="0.2">
      <c r="A18" s="3" t="s">
        <v>13</v>
      </c>
      <c r="C18" s="4">
        <v>15000000</v>
      </c>
    </row>
    <row r="19" spans="1:11" x14ac:dyDescent="0.2">
      <c r="A19" s="3" t="s">
        <v>14</v>
      </c>
      <c r="C19" s="2">
        <v>0.105</v>
      </c>
    </row>
    <row r="22" spans="1:11" x14ac:dyDescent="0.2">
      <c r="B22" s="3" t="s">
        <v>15</v>
      </c>
    </row>
    <row r="23" spans="1:11" x14ac:dyDescent="0.2">
      <c r="H23" s="5"/>
      <c r="K23" s="3" t="s">
        <v>16</v>
      </c>
    </row>
    <row r="24" spans="1:11" x14ac:dyDescent="0.2">
      <c r="A24" s="5" t="s">
        <v>17</v>
      </c>
      <c r="B24" s="5" t="s">
        <v>18</v>
      </c>
      <c r="C24" s="5" t="s">
        <v>19</v>
      </c>
      <c r="D24" s="5" t="s">
        <v>20</v>
      </c>
      <c r="E24" s="5"/>
      <c r="F24" s="5"/>
      <c r="G24" s="5"/>
      <c r="H24" s="5"/>
      <c r="I24" s="5"/>
      <c r="J24" s="5"/>
      <c r="K24" s="3" t="s">
        <v>21</v>
      </c>
    </row>
    <row r="25" spans="1:11" x14ac:dyDescent="0.2">
      <c r="A25" s="10" t="s">
        <v>23</v>
      </c>
      <c r="E25" s="10" t="s">
        <v>22</v>
      </c>
      <c r="F25" s="10" t="s">
        <v>24</v>
      </c>
      <c r="G25" s="10" t="s">
        <v>25</v>
      </c>
      <c r="H25" s="10" t="s">
        <v>26</v>
      </c>
      <c r="I25" s="10" t="s">
        <v>27</v>
      </c>
      <c r="J25" s="10" t="s">
        <v>28</v>
      </c>
    </row>
    <row r="26" spans="1:11" x14ac:dyDescent="0.2">
      <c r="A26" s="6">
        <v>0</v>
      </c>
      <c r="B26" s="7">
        <f t="shared" ref="B26:B55" si="0">1/(1+$C$3)*B27</f>
        <v>5.7308553301168033E-2</v>
      </c>
      <c r="C26" s="7">
        <f t="shared" ref="C26:C56" si="1">1/$C$3*(1-B26)</f>
        <v>9.42691446698832</v>
      </c>
      <c r="D26" s="8">
        <f>0*$C$4</f>
        <v>0</v>
      </c>
      <c r="E26" s="9">
        <f>C5+C6</f>
        <v>104000000</v>
      </c>
      <c r="F26" s="9"/>
      <c r="G26" s="9"/>
      <c r="H26" s="9"/>
      <c r="I26" s="9"/>
      <c r="J26" s="9"/>
      <c r="K26" s="9">
        <f t="shared" ref="K26:K56" si="2">MAXA(0,+E26-$C$6)</f>
        <v>100000000</v>
      </c>
    </row>
    <row r="27" spans="1:11" x14ac:dyDescent="0.2">
      <c r="A27" s="6">
        <f t="shared" ref="A27:A56" si="3">A26+1</f>
        <v>1</v>
      </c>
      <c r="B27" s="7">
        <f t="shared" si="0"/>
        <v>6.3039408631284835E-2</v>
      </c>
      <c r="C27" s="7">
        <f t="shared" si="1"/>
        <v>9.3696059136871508</v>
      </c>
      <c r="D27" s="8">
        <f>0.012*$C$4</f>
        <v>1.2E-2</v>
      </c>
      <c r="E27" s="9">
        <f t="shared" ref="E27:E56" si="4">E26-H27-G27</f>
        <v>102127345.08354536</v>
      </c>
      <c r="F27" s="9">
        <f t="shared" ref="F27:F56" si="5">E26/C26</f>
        <v>11032241.818273926</v>
      </c>
      <c r="G27" s="9">
        <f t="shared" ref="G27:G56" si="6">(E26-H27)*D27</f>
        <v>1240413.0981807129</v>
      </c>
      <c r="H27" s="9">
        <f t="shared" ref="H27:H56" si="7">F27-I27</f>
        <v>632241.81827392615</v>
      </c>
      <c r="I27" s="9">
        <f t="shared" ref="I27:I56" si="8">E26*C$3</f>
        <v>10400000</v>
      </c>
      <c r="J27" s="9">
        <f>$C$7*E26</f>
        <v>520000</v>
      </c>
      <c r="K27" s="9">
        <f t="shared" si="2"/>
        <v>98127345.083545357</v>
      </c>
    </row>
    <row r="28" spans="1:11" x14ac:dyDescent="0.2">
      <c r="A28" s="6">
        <f t="shared" si="3"/>
        <v>2</v>
      </c>
      <c r="B28" s="7">
        <f t="shared" si="0"/>
        <v>6.9343349494413314E-2</v>
      </c>
      <c r="C28" s="7">
        <f t="shared" si="1"/>
        <v>9.3065665050558657</v>
      </c>
      <c r="D28" s="8">
        <f>0.036*$C$4</f>
        <v>3.5999999999999997E-2</v>
      </c>
      <c r="E28" s="9">
        <f t="shared" si="4"/>
        <v>97788376.587129235</v>
      </c>
      <c r="F28" s="9">
        <f t="shared" si="5"/>
        <v>10899854.916454639</v>
      </c>
      <c r="G28" s="9">
        <f t="shared" si="6"/>
        <v>3651848.0883160289</v>
      </c>
      <c r="H28" s="9">
        <f t="shared" si="7"/>
        <v>687120.4081001021</v>
      </c>
      <c r="I28" s="9">
        <f t="shared" si="8"/>
        <v>10212734.508354537</v>
      </c>
      <c r="J28" s="9">
        <f t="shared" ref="J28:J56" si="9">$C$7*E27</f>
        <v>510636.72541772679</v>
      </c>
      <c r="K28" s="9">
        <f t="shared" si="2"/>
        <v>93788376.587129235</v>
      </c>
    </row>
    <row r="29" spans="1:11" x14ac:dyDescent="0.2">
      <c r="A29" s="6">
        <f t="shared" si="3"/>
        <v>3</v>
      </c>
      <c r="B29" s="7">
        <f t="shared" si="0"/>
        <v>7.6277684443854646E-2</v>
      </c>
      <c r="C29" s="7">
        <f t="shared" si="1"/>
        <v>9.2372231555614537</v>
      </c>
      <c r="D29" s="8">
        <f>0.0575*C4</f>
        <v>5.7500000000000002E-2</v>
      </c>
      <c r="E29" s="9">
        <f t="shared" si="4"/>
        <v>91478818.24526304</v>
      </c>
      <c r="F29" s="9">
        <f t="shared" si="5"/>
        <v>10507460.139462274</v>
      </c>
      <c r="G29" s="9">
        <f t="shared" si="6"/>
        <v>5580935.8611168433</v>
      </c>
      <c r="H29" s="9">
        <f t="shared" si="7"/>
        <v>728622.48074935004</v>
      </c>
      <c r="I29" s="9">
        <f t="shared" si="8"/>
        <v>9778837.6587129235</v>
      </c>
      <c r="J29" s="9">
        <f t="shared" si="9"/>
        <v>488941.88293564616</v>
      </c>
      <c r="K29" s="9">
        <f t="shared" si="2"/>
        <v>87478818.24526304</v>
      </c>
    </row>
    <row r="30" spans="1:11" x14ac:dyDescent="0.2">
      <c r="A30" s="6">
        <f t="shared" si="3"/>
        <v>4</v>
      </c>
      <c r="B30" s="7">
        <f t="shared" si="0"/>
        <v>8.3905452888240112E-2</v>
      </c>
      <c r="C30" s="7">
        <f t="shared" si="1"/>
        <v>9.1609454711175982</v>
      </c>
      <c r="D30" s="8">
        <f>0.06*$C$4</f>
        <v>0.06</v>
      </c>
      <c r="E30" s="9">
        <f t="shared" si="4"/>
        <v>85280013.755045384</v>
      </c>
      <c r="F30" s="9">
        <f t="shared" si="5"/>
        <v>9903281.1814431921</v>
      </c>
      <c r="G30" s="9">
        <f t="shared" si="6"/>
        <v>5443405.1333007691</v>
      </c>
      <c r="H30" s="9">
        <f t="shared" si="7"/>
        <v>755399.35691688769</v>
      </c>
      <c r="I30" s="9">
        <f t="shared" si="8"/>
        <v>9147881.8245263044</v>
      </c>
      <c r="J30" s="9">
        <f t="shared" si="9"/>
        <v>457394.09122631518</v>
      </c>
      <c r="K30" s="9">
        <f t="shared" si="2"/>
        <v>81280013.755045384</v>
      </c>
    </row>
    <row r="31" spans="1:11" x14ac:dyDescent="0.2">
      <c r="A31" s="6">
        <f t="shared" si="3"/>
        <v>5</v>
      </c>
      <c r="B31" s="7">
        <f t="shared" si="0"/>
        <v>9.2295998177064131E-2</v>
      </c>
      <c r="C31" s="7">
        <f t="shared" si="1"/>
        <v>9.0770400182293578</v>
      </c>
      <c r="D31" s="8">
        <f t="shared" ref="D31:D56" si="10">0.06*$C$4</f>
        <v>0.06</v>
      </c>
      <c r="E31" s="9">
        <f t="shared" si="4"/>
        <v>79428994.970793724</v>
      </c>
      <c r="F31" s="9">
        <f t="shared" si="5"/>
        <v>9309084.3105566017</v>
      </c>
      <c r="G31" s="9">
        <f t="shared" si="6"/>
        <v>5069935.8491995987</v>
      </c>
      <c r="H31" s="9">
        <f t="shared" si="7"/>
        <v>781082.93505206332</v>
      </c>
      <c r="I31" s="9">
        <f t="shared" si="8"/>
        <v>8528001.3755045384</v>
      </c>
      <c r="J31" s="9">
        <f t="shared" si="9"/>
        <v>426400.06877522694</v>
      </c>
      <c r="K31" s="9">
        <f t="shared" si="2"/>
        <v>75428994.970793724</v>
      </c>
    </row>
    <row r="32" spans="1:11" x14ac:dyDescent="0.2">
      <c r="A32" s="6">
        <f t="shared" si="3"/>
        <v>6</v>
      </c>
      <c r="B32" s="7">
        <f t="shared" si="0"/>
        <v>0.10152559799477055</v>
      </c>
      <c r="C32" s="7">
        <f t="shared" si="1"/>
        <v>8.984744020052295</v>
      </c>
      <c r="D32" s="8">
        <f t="shared" si="10"/>
        <v>0.06</v>
      </c>
      <c r="E32" s="9">
        <f t="shared" si="4"/>
        <v>73904073.902992904</v>
      </c>
      <c r="F32" s="9">
        <f t="shared" si="5"/>
        <v>8750539.2519232053</v>
      </c>
      <c r="G32" s="9">
        <f t="shared" si="6"/>
        <v>4717281.3129569935</v>
      </c>
      <c r="H32" s="9">
        <f t="shared" si="7"/>
        <v>807639.75484383292</v>
      </c>
      <c r="I32" s="9">
        <f t="shared" si="8"/>
        <v>7942899.4970793724</v>
      </c>
      <c r="J32" s="9">
        <f t="shared" si="9"/>
        <v>397144.97485396866</v>
      </c>
      <c r="K32" s="9">
        <f t="shared" si="2"/>
        <v>69904073.902992904</v>
      </c>
    </row>
    <row r="33" spans="1:11" x14ac:dyDescent="0.2">
      <c r="A33" s="6">
        <f t="shared" si="3"/>
        <v>7</v>
      </c>
      <c r="B33" s="7">
        <f t="shared" si="0"/>
        <v>0.11167815779424761</v>
      </c>
      <c r="C33" s="7">
        <f t="shared" si="1"/>
        <v>8.8832184220575243</v>
      </c>
      <c r="D33" s="8">
        <f t="shared" si="10"/>
        <v>0.06</v>
      </c>
      <c r="E33" s="9">
        <f t="shared" si="4"/>
        <v>68684835.932695314</v>
      </c>
      <c r="F33" s="9">
        <f t="shared" si="5"/>
        <v>8225506.8968078122</v>
      </c>
      <c r="G33" s="9">
        <f t="shared" si="6"/>
        <v>4384138.4637890626</v>
      </c>
      <c r="H33" s="9">
        <f t="shared" si="7"/>
        <v>835099.50650852174</v>
      </c>
      <c r="I33" s="9">
        <f t="shared" si="8"/>
        <v>7390407.3902992904</v>
      </c>
      <c r="J33" s="9">
        <f t="shared" si="9"/>
        <v>369520.36951496452</v>
      </c>
      <c r="K33" s="9">
        <f t="shared" si="2"/>
        <v>64684835.932695314</v>
      </c>
    </row>
    <row r="34" spans="1:11" x14ac:dyDescent="0.2">
      <c r="A34" s="6">
        <f t="shared" si="3"/>
        <v>8</v>
      </c>
      <c r="B34" s="7">
        <f t="shared" si="0"/>
        <v>0.12284597357367237</v>
      </c>
      <c r="C34" s="7">
        <f t="shared" si="1"/>
        <v>8.771540264263276</v>
      </c>
      <c r="D34" s="8">
        <f t="shared" si="10"/>
        <v>0.06</v>
      </c>
      <c r="E34" s="9">
        <f t="shared" si="4"/>
        <v>63752062.460387573</v>
      </c>
      <c r="F34" s="9">
        <f t="shared" si="5"/>
        <v>7731976.4829993434</v>
      </c>
      <c r="G34" s="9">
        <f t="shared" si="6"/>
        <v>4069280.5825779298</v>
      </c>
      <c r="H34" s="9">
        <f t="shared" si="7"/>
        <v>863492.88972981181</v>
      </c>
      <c r="I34" s="9">
        <f t="shared" si="8"/>
        <v>6868483.5932695316</v>
      </c>
      <c r="J34" s="9">
        <f t="shared" si="9"/>
        <v>343424.17966347659</v>
      </c>
      <c r="K34" s="9">
        <f t="shared" si="2"/>
        <v>59752062.460387573</v>
      </c>
    </row>
    <row r="35" spans="1:11" x14ac:dyDescent="0.2">
      <c r="A35" s="6">
        <f t="shared" si="3"/>
        <v>9</v>
      </c>
      <c r="B35" s="7">
        <f t="shared" si="0"/>
        <v>0.13513057093103961</v>
      </c>
      <c r="C35" s="7">
        <f t="shared" si="1"/>
        <v>8.6486942906896029</v>
      </c>
      <c r="D35" s="8">
        <f t="shared" si="10"/>
        <v>0.06</v>
      </c>
      <c r="E35" s="9">
        <f t="shared" si="4"/>
        <v>59087658.163662523</v>
      </c>
      <c r="F35" s="9">
        <f t="shared" si="5"/>
        <v>7268057.8940193839</v>
      </c>
      <c r="G35" s="9">
        <f t="shared" si="6"/>
        <v>3771552.6487444164</v>
      </c>
      <c r="H35" s="9">
        <f t="shared" si="7"/>
        <v>892851.64798062667</v>
      </c>
      <c r="I35" s="9">
        <f t="shared" si="8"/>
        <v>6375206.2460387573</v>
      </c>
      <c r="J35" s="9">
        <f t="shared" si="9"/>
        <v>318760.3123019379</v>
      </c>
      <c r="K35" s="9">
        <f t="shared" si="2"/>
        <v>55087658.163662523</v>
      </c>
    </row>
    <row r="36" spans="1:11" x14ac:dyDescent="0.2">
      <c r="A36" s="6">
        <f t="shared" si="3"/>
        <v>10</v>
      </c>
      <c r="B36" s="7">
        <f t="shared" si="0"/>
        <v>0.14864362802414358</v>
      </c>
      <c r="C36" s="7">
        <f t="shared" si="1"/>
        <v>8.5135637197585652</v>
      </c>
      <c r="D36" s="8">
        <f t="shared" si="10"/>
        <v>0.06</v>
      </c>
      <c r="E36" s="9">
        <f t="shared" si="4"/>
        <v>54674582.586071521</v>
      </c>
      <c r="F36" s="9">
        <f t="shared" si="5"/>
        <v>6831974.4203782203</v>
      </c>
      <c r="G36" s="9">
        <f t="shared" si="6"/>
        <v>3489866.9735790333</v>
      </c>
      <c r="H36" s="9">
        <f t="shared" si="7"/>
        <v>923208.60401196778</v>
      </c>
      <c r="I36" s="9">
        <f t="shared" si="8"/>
        <v>5908765.8163662525</v>
      </c>
      <c r="J36" s="9">
        <f t="shared" si="9"/>
        <v>295438.29081831261</v>
      </c>
      <c r="K36" s="9">
        <f t="shared" si="2"/>
        <v>50674582.586071521</v>
      </c>
    </row>
    <row r="37" spans="1:11" x14ac:dyDescent="0.2">
      <c r="A37" s="6">
        <f t="shared" si="3"/>
        <v>11</v>
      </c>
      <c r="B37" s="7">
        <f t="shared" si="0"/>
        <v>0.16350799082655793</v>
      </c>
      <c r="C37" s="7">
        <f t="shared" si="1"/>
        <v>8.3649200917344206</v>
      </c>
      <c r="D37" s="8">
        <f t="shared" si="10"/>
        <v>0.06</v>
      </c>
      <c r="E37" s="9">
        <f t="shared" si="4"/>
        <v>50496785.796151757</v>
      </c>
      <c r="F37" s="9">
        <f t="shared" si="5"/>
        <v>6422055.9551555254</v>
      </c>
      <c r="G37" s="9">
        <f t="shared" si="6"/>
        <v>3223199.093371389</v>
      </c>
      <c r="H37" s="9">
        <f t="shared" si="7"/>
        <v>954597.69654837251</v>
      </c>
      <c r="I37" s="9">
        <f t="shared" si="8"/>
        <v>5467458.2586071528</v>
      </c>
      <c r="J37" s="9">
        <f t="shared" si="9"/>
        <v>273372.91293035762</v>
      </c>
      <c r="K37" s="9">
        <f t="shared" si="2"/>
        <v>46496785.796151757</v>
      </c>
    </row>
    <row r="38" spans="1:11" x14ac:dyDescent="0.2">
      <c r="A38" s="6">
        <f t="shared" si="3"/>
        <v>12</v>
      </c>
      <c r="B38" s="7">
        <f t="shared" si="0"/>
        <v>0.17985878990921372</v>
      </c>
      <c r="C38" s="7">
        <f t="shared" si="1"/>
        <v>8.2014121009078629</v>
      </c>
      <c r="D38" s="8">
        <f t="shared" si="10"/>
        <v>0.06</v>
      </c>
      <c r="E38" s="9">
        <f t="shared" si="4"/>
        <v>46539147.871245496</v>
      </c>
      <c r="F38" s="9">
        <f t="shared" si="5"/>
        <v>6036732.5978461942</v>
      </c>
      <c r="G38" s="9">
        <f t="shared" si="6"/>
        <v>2970583.9066752442</v>
      </c>
      <c r="H38" s="9">
        <f t="shared" si="7"/>
        <v>987054.01823101845</v>
      </c>
      <c r="I38" s="9">
        <f t="shared" si="8"/>
        <v>5049678.5796151757</v>
      </c>
      <c r="J38" s="9">
        <f t="shared" si="9"/>
        <v>252483.92898075879</v>
      </c>
      <c r="K38" s="9">
        <f t="shared" si="2"/>
        <v>42539147.871245496</v>
      </c>
    </row>
    <row r="39" spans="1:11" x14ac:dyDescent="0.2">
      <c r="A39" s="6">
        <f t="shared" si="3"/>
        <v>13</v>
      </c>
      <c r="B39" s="7">
        <f t="shared" si="0"/>
        <v>0.19784466890013511</v>
      </c>
      <c r="C39" s="7">
        <f t="shared" si="1"/>
        <v>8.0215533109986499</v>
      </c>
      <c r="D39" s="8">
        <f t="shared" si="10"/>
        <v>0.06</v>
      </c>
      <c r="E39" s="9">
        <f t="shared" si="4"/>
        <v>42787421.975410946</v>
      </c>
      <c r="F39" s="9">
        <f t="shared" si="5"/>
        <v>5674528.6419754233</v>
      </c>
      <c r="G39" s="9">
        <f t="shared" si="6"/>
        <v>2731112.0409836774</v>
      </c>
      <c r="H39" s="9">
        <f t="shared" si="7"/>
        <v>1020613.8548508734</v>
      </c>
      <c r="I39" s="9">
        <f t="shared" si="8"/>
        <v>4653914.78712455</v>
      </c>
      <c r="J39" s="9">
        <f t="shared" si="9"/>
        <v>232695.73935622748</v>
      </c>
      <c r="K39" s="9">
        <f t="shared" si="2"/>
        <v>38787421.975410946</v>
      </c>
    </row>
    <row r="40" spans="1:11" x14ac:dyDescent="0.2">
      <c r="A40" s="6">
        <f t="shared" si="3"/>
        <v>14</v>
      </c>
      <c r="B40" s="7">
        <f t="shared" si="0"/>
        <v>0.21762913579014861</v>
      </c>
      <c r="C40" s="7">
        <f t="shared" si="1"/>
        <v>7.8237086420985138</v>
      </c>
      <c r="D40" s="8">
        <f t="shared" si="10"/>
        <v>0.06</v>
      </c>
      <c r="E40" s="9">
        <f t="shared" si="4"/>
        <v>39228180.814525433</v>
      </c>
      <c r="F40" s="9">
        <f t="shared" si="5"/>
        <v>5334056.923456897</v>
      </c>
      <c r="G40" s="9">
        <f t="shared" si="6"/>
        <v>2503926.4349697083</v>
      </c>
      <c r="H40" s="9">
        <f t="shared" si="7"/>
        <v>1055314.7259158026</v>
      </c>
      <c r="I40" s="9">
        <f t="shared" si="8"/>
        <v>4278742.1975410944</v>
      </c>
      <c r="J40" s="9">
        <f t="shared" si="9"/>
        <v>213937.10987705473</v>
      </c>
      <c r="K40" s="9">
        <f t="shared" si="2"/>
        <v>35228180.814525433</v>
      </c>
    </row>
    <row r="41" spans="1:11" x14ac:dyDescent="0.2">
      <c r="A41" s="6">
        <f t="shared" si="3"/>
        <v>15</v>
      </c>
      <c r="B41" s="7">
        <f t="shared" si="0"/>
        <v>0.23939204936916347</v>
      </c>
      <c r="C41" s="7">
        <f t="shared" si="1"/>
        <v>7.6060795063083653</v>
      </c>
      <c r="D41" s="8">
        <f t="shared" si="10"/>
        <v>0.06</v>
      </c>
      <c r="E41" s="9">
        <f t="shared" si="4"/>
        <v>35848766.264652781</v>
      </c>
      <c r="F41" s="9">
        <f t="shared" si="5"/>
        <v>5014013.5080494834</v>
      </c>
      <c r="G41" s="9">
        <f t="shared" si="6"/>
        <v>2288219.1232757093</v>
      </c>
      <c r="H41" s="9">
        <f t="shared" si="7"/>
        <v>1091195.42659694</v>
      </c>
      <c r="I41" s="9">
        <f t="shared" si="8"/>
        <v>3922818.0814525434</v>
      </c>
      <c r="J41" s="9">
        <f t="shared" si="9"/>
        <v>196140.90407262716</v>
      </c>
      <c r="K41" s="9">
        <f t="shared" si="2"/>
        <v>31848766.264652781</v>
      </c>
    </row>
    <row r="42" spans="1:11" x14ac:dyDescent="0.2">
      <c r="A42" s="6">
        <f t="shared" si="3"/>
        <v>16</v>
      </c>
      <c r="B42" s="7">
        <f t="shared" si="0"/>
        <v>0.26333125430607984</v>
      </c>
      <c r="C42" s="7">
        <f t="shared" si="1"/>
        <v>7.3666874569392018</v>
      </c>
      <c r="D42" s="8">
        <f t="shared" si="10"/>
        <v>0.06</v>
      </c>
      <c r="E42" s="9">
        <f t="shared" si="4"/>
        <v>32637241.981938455</v>
      </c>
      <c r="F42" s="9">
        <f t="shared" si="5"/>
        <v>4713172.6975665148</v>
      </c>
      <c r="G42" s="9">
        <f t="shared" si="6"/>
        <v>2083228.2116130928</v>
      </c>
      <c r="H42" s="9">
        <f t="shared" si="7"/>
        <v>1128296.0711012366</v>
      </c>
      <c r="I42" s="9">
        <f t="shared" si="8"/>
        <v>3584876.6264652782</v>
      </c>
      <c r="J42" s="9">
        <f t="shared" si="9"/>
        <v>179243.8313232639</v>
      </c>
      <c r="K42" s="9">
        <f t="shared" si="2"/>
        <v>28637241.981938455</v>
      </c>
    </row>
    <row r="43" spans="1:11" x14ac:dyDescent="0.2">
      <c r="A43" s="6">
        <f t="shared" si="3"/>
        <v>17</v>
      </c>
      <c r="B43" s="7">
        <f t="shared" si="0"/>
        <v>0.28966437973668785</v>
      </c>
      <c r="C43" s="7">
        <f t="shared" si="1"/>
        <v>7.1033562026331225</v>
      </c>
      <c r="D43" s="8">
        <f t="shared" si="10"/>
        <v>0.06</v>
      </c>
      <c r="E43" s="9">
        <f t="shared" si="4"/>
        <v>29582348.813754592</v>
      </c>
      <c r="F43" s="9">
        <f t="shared" si="5"/>
        <v>4430382.3357125241</v>
      </c>
      <c r="G43" s="9">
        <f t="shared" si="6"/>
        <v>1888235.0306651865</v>
      </c>
      <c r="H43" s="9">
        <f t="shared" si="7"/>
        <v>1166658.1375186783</v>
      </c>
      <c r="I43" s="9">
        <f t="shared" si="8"/>
        <v>3263724.1981938458</v>
      </c>
      <c r="J43" s="9">
        <f t="shared" si="9"/>
        <v>163186.20990969229</v>
      </c>
      <c r="K43" s="9">
        <f t="shared" si="2"/>
        <v>25582348.813754592</v>
      </c>
    </row>
    <row r="44" spans="1:11" x14ac:dyDescent="0.2">
      <c r="A44" s="6">
        <f t="shared" si="3"/>
        <v>18</v>
      </c>
      <c r="B44" s="7">
        <f t="shared" si="0"/>
        <v>0.31863081771035667</v>
      </c>
      <c r="C44" s="7">
        <f t="shared" si="1"/>
        <v>6.8136918228964323</v>
      </c>
      <c r="D44" s="8">
        <f t="shared" si="10"/>
        <v>0.06</v>
      </c>
      <c r="E44" s="9">
        <f t="shared" si="4"/>
        <v>26673462.841586661</v>
      </c>
      <c r="F44" s="9">
        <f t="shared" si="5"/>
        <v>4164559.3955697725</v>
      </c>
      <c r="G44" s="9">
        <f t="shared" si="6"/>
        <v>1702561.4579736167</v>
      </c>
      <c r="H44" s="9">
        <f t="shared" si="7"/>
        <v>1206324.514194313</v>
      </c>
      <c r="I44" s="9">
        <f t="shared" si="8"/>
        <v>2958234.8813754595</v>
      </c>
      <c r="J44" s="9">
        <f t="shared" si="9"/>
        <v>147911.74406877297</v>
      </c>
      <c r="K44" s="9">
        <f t="shared" si="2"/>
        <v>22673462.841586661</v>
      </c>
    </row>
    <row r="45" spans="1:11" x14ac:dyDescent="0.2">
      <c r="A45" s="6">
        <f t="shared" si="3"/>
        <v>19</v>
      </c>
      <c r="B45" s="7">
        <f t="shared" si="0"/>
        <v>0.35049389948139237</v>
      </c>
      <c r="C45" s="7">
        <f t="shared" si="1"/>
        <v>6.4950610051860753</v>
      </c>
      <c r="D45" s="8">
        <f t="shared" si="10"/>
        <v>0.06</v>
      </c>
      <c r="E45" s="9">
        <f t="shared" si="4"/>
        <v>23900555.896275155</v>
      </c>
      <c r="F45" s="9">
        <f t="shared" si="5"/>
        <v>3914685.8318355875</v>
      </c>
      <c r="G45" s="9">
        <f t="shared" si="6"/>
        <v>1525567.3976345842</v>
      </c>
      <c r="H45" s="9">
        <f t="shared" si="7"/>
        <v>1247339.5476769214</v>
      </c>
      <c r="I45" s="9">
        <f t="shared" si="8"/>
        <v>2667346.2841586662</v>
      </c>
      <c r="J45" s="9">
        <f t="shared" si="9"/>
        <v>133367.31420793332</v>
      </c>
      <c r="K45" s="9">
        <f t="shared" si="2"/>
        <v>19900555.896275155</v>
      </c>
    </row>
    <row r="46" spans="1:11" x14ac:dyDescent="0.2">
      <c r="A46" s="6">
        <f t="shared" si="3"/>
        <v>20</v>
      </c>
      <c r="B46" s="7">
        <f t="shared" si="0"/>
        <v>0.38554328942953164</v>
      </c>
      <c r="C46" s="7">
        <f t="shared" si="1"/>
        <v>6.1445671057046836</v>
      </c>
      <c r="D46" s="8">
        <f t="shared" si="10"/>
        <v>0.06</v>
      </c>
      <c r="E46" s="9">
        <f t="shared" si="4"/>
        <v>21254158.395738583</v>
      </c>
      <c r="F46" s="9">
        <f t="shared" si="5"/>
        <v>3679804.6819254523</v>
      </c>
      <c r="G46" s="9">
        <f t="shared" si="6"/>
        <v>1356648.4082386331</v>
      </c>
      <c r="H46" s="9">
        <f t="shared" si="7"/>
        <v>1289749.0922979368</v>
      </c>
      <c r="I46" s="9">
        <f t="shared" si="8"/>
        <v>2390055.5896275155</v>
      </c>
      <c r="J46" s="9">
        <f t="shared" si="9"/>
        <v>119502.77948137578</v>
      </c>
      <c r="K46" s="9">
        <f t="shared" si="2"/>
        <v>17254158.395738583</v>
      </c>
    </row>
    <row r="47" spans="1:11" x14ac:dyDescent="0.2">
      <c r="A47" s="6">
        <f t="shared" si="3"/>
        <v>21</v>
      </c>
      <c r="B47" s="7">
        <f t="shared" si="0"/>
        <v>0.42409761837248483</v>
      </c>
      <c r="C47" s="7">
        <f t="shared" si="1"/>
        <v>5.7590238162751515</v>
      </c>
      <c r="D47" s="8">
        <f t="shared" si="10"/>
        <v>0.06</v>
      </c>
      <c r="E47" s="9">
        <f t="shared" si="4"/>
        <v>18725324.364244364</v>
      </c>
      <c r="F47" s="9">
        <f t="shared" si="5"/>
        <v>3459016.4010099247</v>
      </c>
      <c r="G47" s="9">
        <f t="shared" si="6"/>
        <v>1195233.4700581508</v>
      </c>
      <c r="H47" s="9">
        <f t="shared" si="7"/>
        <v>1333600.5614360664</v>
      </c>
      <c r="I47" s="9">
        <f t="shared" si="8"/>
        <v>2125415.8395738583</v>
      </c>
      <c r="J47" s="9">
        <f t="shared" si="9"/>
        <v>106270.79197869291</v>
      </c>
      <c r="K47" s="9">
        <f t="shared" si="2"/>
        <v>14725324.364244364</v>
      </c>
    </row>
    <row r="48" spans="1:11" x14ac:dyDescent="0.2">
      <c r="A48" s="6">
        <f t="shared" si="3"/>
        <v>22</v>
      </c>
      <c r="B48" s="7">
        <f t="shared" si="0"/>
        <v>0.46650738020973331</v>
      </c>
      <c r="C48" s="7">
        <f t="shared" si="1"/>
        <v>5.3349261979026679</v>
      </c>
      <c r="D48" s="8">
        <f t="shared" si="10"/>
        <v>0.06</v>
      </c>
      <c r="E48" s="9">
        <f t="shared" si="4"/>
        <v>16305598.500696301</v>
      </c>
      <c r="F48" s="9">
        <f t="shared" si="5"/>
        <v>3251475.416949329</v>
      </c>
      <c r="G48" s="9">
        <f t="shared" si="6"/>
        <v>1040782.8830231682</v>
      </c>
      <c r="H48" s="9">
        <f t="shared" si="7"/>
        <v>1378942.9805248925</v>
      </c>
      <c r="I48" s="9">
        <f t="shared" si="8"/>
        <v>1872532.4364244365</v>
      </c>
      <c r="J48" s="9">
        <f t="shared" si="9"/>
        <v>93626.621821221823</v>
      </c>
      <c r="K48" s="9">
        <f t="shared" si="2"/>
        <v>12305598.500696301</v>
      </c>
    </row>
    <row r="49" spans="1:11" x14ac:dyDescent="0.2">
      <c r="A49" s="6">
        <f t="shared" si="3"/>
        <v>23</v>
      </c>
      <c r="B49" s="7">
        <f t="shared" si="0"/>
        <v>0.51315811823070667</v>
      </c>
      <c r="C49" s="7">
        <f t="shared" si="1"/>
        <v>4.8684188176929331</v>
      </c>
      <c r="D49" s="8">
        <f t="shared" si="10"/>
        <v>0.06</v>
      </c>
      <c r="E49" s="9">
        <f t="shared" si="4"/>
        <v>13986985.17130355</v>
      </c>
      <c r="F49" s="9">
        <f t="shared" si="5"/>
        <v>3056386.8919323683</v>
      </c>
      <c r="G49" s="9">
        <f t="shared" si="6"/>
        <v>892786.28753001383</v>
      </c>
      <c r="H49" s="9">
        <f t="shared" si="7"/>
        <v>1425827.0418627381</v>
      </c>
      <c r="I49" s="9">
        <f t="shared" si="8"/>
        <v>1630559.8500696302</v>
      </c>
      <c r="J49" s="9">
        <f t="shared" si="9"/>
        <v>81527.99250348151</v>
      </c>
      <c r="K49" s="9">
        <f t="shared" si="2"/>
        <v>9986985.1713035498</v>
      </c>
    </row>
    <row r="50" spans="1:11" x14ac:dyDescent="0.2">
      <c r="A50" s="6">
        <f t="shared" si="3"/>
        <v>24</v>
      </c>
      <c r="B50" s="7">
        <f t="shared" si="0"/>
        <v>0.56447393005377733</v>
      </c>
      <c r="C50" s="7">
        <f t="shared" si="1"/>
        <v>4.3552606994622263</v>
      </c>
      <c r="D50" s="8">
        <f t="shared" si="10"/>
        <v>0.06</v>
      </c>
      <c r="E50" s="9">
        <f t="shared" si="4"/>
        <v>11761919.209416429</v>
      </c>
      <c r="F50" s="9">
        <f t="shared" si="5"/>
        <v>2873003.6784164272</v>
      </c>
      <c r="G50" s="9">
        <f t="shared" si="6"/>
        <v>750760.80060104863</v>
      </c>
      <c r="H50" s="9">
        <f t="shared" si="7"/>
        <v>1474305.1612860721</v>
      </c>
      <c r="I50" s="9">
        <f t="shared" si="8"/>
        <v>1398698.5171303551</v>
      </c>
      <c r="J50" s="9">
        <f t="shared" si="9"/>
        <v>69934.925856517744</v>
      </c>
      <c r="K50" s="9">
        <f t="shared" si="2"/>
        <v>7761919.2094164286</v>
      </c>
    </row>
    <row r="51" spans="1:11" x14ac:dyDescent="0.2">
      <c r="A51" s="6">
        <f t="shared" si="3"/>
        <v>25</v>
      </c>
      <c r="B51" s="7">
        <f t="shared" si="0"/>
        <v>0.62092132305915504</v>
      </c>
      <c r="C51" s="7">
        <f t="shared" si="1"/>
        <v>3.7907867694084496</v>
      </c>
      <c r="D51" s="8">
        <f t="shared" si="10"/>
        <v>0.06</v>
      </c>
      <c r="E51" s="9">
        <f t="shared" si="4"/>
        <v>9623238.4122878332</v>
      </c>
      <c r="F51" s="9">
        <f t="shared" si="5"/>
        <v>2700623.4577114414</v>
      </c>
      <c r="G51" s="9">
        <f t="shared" si="6"/>
        <v>614249.26035879785</v>
      </c>
      <c r="H51" s="9">
        <f t="shared" si="7"/>
        <v>1524431.5367697985</v>
      </c>
      <c r="I51" s="9">
        <f t="shared" si="8"/>
        <v>1176191.920941643</v>
      </c>
      <c r="J51" s="9">
        <f t="shared" si="9"/>
        <v>58809.596047082145</v>
      </c>
      <c r="K51" s="9">
        <f t="shared" si="2"/>
        <v>5623238.4122878332</v>
      </c>
    </row>
    <row r="52" spans="1:11" x14ac:dyDescent="0.2">
      <c r="A52" s="6">
        <f t="shared" si="3"/>
        <v>26</v>
      </c>
      <c r="B52" s="7">
        <f t="shared" si="0"/>
        <v>0.68301345536507052</v>
      </c>
      <c r="C52" s="7">
        <f t="shared" si="1"/>
        <v>3.169865446349295</v>
      </c>
      <c r="D52" s="8">
        <f t="shared" si="10"/>
        <v>0.06</v>
      </c>
      <c r="E52" s="9">
        <f t="shared" si="4"/>
        <v>7564157.6310717901</v>
      </c>
      <c r="F52" s="9">
        <f t="shared" si="5"/>
        <v>2538586.0502487547</v>
      </c>
      <c r="G52" s="9">
        <f t="shared" si="6"/>
        <v>482818.57219607173</v>
      </c>
      <c r="H52" s="9">
        <f t="shared" si="7"/>
        <v>1576262.2090199713</v>
      </c>
      <c r="I52" s="9">
        <f t="shared" si="8"/>
        <v>962323.84122878336</v>
      </c>
      <c r="J52" s="9">
        <f t="shared" si="9"/>
        <v>48116.192061439164</v>
      </c>
      <c r="K52" s="9">
        <f t="shared" si="2"/>
        <v>3564157.6310717901</v>
      </c>
    </row>
    <row r="53" spans="1:11" x14ac:dyDescent="0.2">
      <c r="A53" s="6">
        <f t="shared" si="3"/>
        <v>27</v>
      </c>
      <c r="B53" s="7">
        <f t="shared" si="0"/>
        <v>0.75131480090157765</v>
      </c>
      <c r="C53" s="7">
        <f t="shared" si="1"/>
        <v>2.4868519909842233</v>
      </c>
      <c r="D53" s="8">
        <f t="shared" si="10"/>
        <v>0.06</v>
      </c>
      <c r="E53" s="9">
        <f t="shared" si="4"/>
        <v>5578244.3565284321</v>
      </c>
      <c r="F53" s="9">
        <f t="shared" si="5"/>
        <v>2386270.8872338291</v>
      </c>
      <c r="G53" s="9">
        <f t="shared" si="6"/>
        <v>356058.15041670843</v>
      </c>
      <c r="H53" s="9">
        <f t="shared" si="7"/>
        <v>1629855.1241266499</v>
      </c>
      <c r="I53" s="9">
        <f t="shared" si="8"/>
        <v>756415.76310717908</v>
      </c>
      <c r="J53" s="9">
        <f t="shared" si="9"/>
        <v>37820.788155358954</v>
      </c>
      <c r="K53" s="9">
        <f t="shared" si="2"/>
        <v>1578244.3565284321</v>
      </c>
    </row>
    <row r="54" spans="1:11" x14ac:dyDescent="0.2">
      <c r="A54" s="6">
        <f t="shared" si="3"/>
        <v>28</v>
      </c>
      <c r="B54" s="7">
        <f t="shared" si="0"/>
        <v>0.82644628099173545</v>
      </c>
      <c r="C54" s="7">
        <f t="shared" si="1"/>
        <v>1.7355371900826455</v>
      </c>
      <c r="D54" s="8">
        <f t="shared" si="10"/>
        <v>0.06</v>
      </c>
      <c r="E54" s="9">
        <f t="shared" si="4"/>
        <v>3659395.708690586</v>
      </c>
      <c r="F54" s="9">
        <f t="shared" si="5"/>
        <v>2243094.6339998008</v>
      </c>
      <c r="G54" s="9">
        <f t="shared" si="6"/>
        <v>233578.44949088845</v>
      </c>
      <c r="H54" s="9">
        <f t="shared" si="7"/>
        <v>1685270.1983469576</v>
      </c>
      <c r="I54" s="9">
        <f t="shared" si="8"/>
        <v>557824.43565284321</v>
      </c>
      <c r="J54" s="9">
        <f t="shared" si="9"/>
        <v>27891.221782642162</v>
      </c>
      <c r="K54" s="9">
        <f t="shared" si="2"/>
        <v>0</v>
      </c>
    </row>
    <row r="55" spans="1:11" x14ac:dyDescent="0.2">
      <c r="A55" s="6">
        <f t="shared" si="3"/>
        <v>29</v>
      </c>
      <c r="B55" s="7">
        <f t="shared" si="0"/>
        <v>0.90909090909090906</v>
      </c>
      <c r="C55" s="7">
        <f t="shared" si="1"/>
        <v>0.90909090909090939</v>
      </c>
      <c r="D55" s="8">
        <f t="shared" si="10"/>
        <v>0.06</v>
      </c>
      <c r="E55" s="9">
        <f t="shared" si="4"/>
        <v>1801816.7441838421</v>
      </c>
      <c r="F55" s="9">
        <f t="shared" si="5"/>
        <v>2108508.9559598127</v>
      </c>
      <c r="G55" s="9">
        <f t="shared" si="6"/>
        <v>115009.57941598991</v>
      </c>
      <c r="H55" s="9">
        <f t="shared" si="7"/>
        <v>1742569.3850907541</v>
      </c>
      <c r="I55" s="9">
        <f t="shared" si="8"/>
        <v>365939.5708690586</v>
      </c>
      <c r="J55" s="9">
        <f t="shared" si="9"/>
        <v>18296.978543452929</v>
      </c>
      <c r="K55" s="9">
        <f t="shared" si="2"/>
        <v>0</v>
      </c>
    </row>
    <row r="56" spans="1:11" x14ac:dyDescent="0.2">
      <c r="A56" s="6">
        <f t="shared" si="3"/>
        <v>30</v>
      </c>
      <c r="B56" s="7">
        <v>1</v>
      </c>
      <c r="C56" s="7">
        <f t="shared" si="1"/>
        <v>0</v>
      </c>
      <c r="D56" s="8">
        <f t="shared" si="10"/>
        <v>0.06</v>
      </c>
      <c r="E56" s="9">
        <f t="shared" si="4"/>
        <v>6.5658241510391232E-10</v>
      </c>
      <c r="F56" s="9">
        <f t="shared" si="5"/>
        <v>1981998.4186022256</v>
      </c>
      <c r="G56" s="9">
        <f t="shared" si="6"/>
        <v>4.1909515857696532E-11</v>
      </c>
      <c r="H56" s="9">
        <f t="shared" si="7"/>
        <v>1801816.7441838414</v>
      </c>
      <c r="I56" s="9">
        <f t="shared" si="8"/>
        <v>180181.67441838421</v>
      </c>
      <c r="J56" s="9">
        <f t="shared" si="9"/>
        <v>9009.0837209192105</v>
      </c>
      <c r="K56" s="9">
        <f t="shared" si="2"/>
        <v>0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3"/>
  <sheetViews>
    <sheetView topLeftCell="T20" workbookViewId="0">
      <selection activeCell="M14" sqref="M14:M33"/>
    </sheetView>
  </sheetViews>
  <sheetFormatPr defaultRowHeight="12.75" x14ac:dyDescent="0.2"/>
  <cols>
    <col min="11" max="11" width="14.28515625" bestFit="1" customWidth="1"/>
    <col min="12" max="12" width="32.5703125" customWidth="1"/>
    <col min="13" max="13" width="11.7109375" bestFit="1" customWidth="1"/>
  </cols>
  <sheetData>
    <row r="3" spans="1:20" x14ac:dyDescent="0.2"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K3" t="s">
        <v>85</v>
      </c>
      <c r="L3" t="s">
        <v>86</v>
      </c>
      <c r="M3" t="s">
        <v>28</v>
      </c>
    </row>
    <row r="4" spans="1:20" x14ac:dyDescent="0.2">
      <c r="A4">
        <v>1</v>
      </c>
      <c r="B4">
        <f>Tranches!Q27</f>
        <v>2400000</v>
      </c>
      <c r="C4">
        <f>Tranches!W27</f>
        <v>2475000</v>
      </c>
      <c r="D4">
        <f>Tranches!AC27</f>
        <v>2125000</v>
      </c>
      <c r="E4">
        <f>Tranches!AL27</f>
        <v>0</v>
      </c>
      <c r="F4">
        <f>Tranches!K27</f>
        <v>9880000</v>
      </c>
      <c r="G4">
        <f>SUM(B4:E4)</f>
        <v>7000000</v>
      </c>
      <c r="H4">
        <f>F4-G4</f>
        <v>2880000</v>
      </c>
      <c r="J4">
        <v>1</v>
      </c>
      <c r="K4" s="15">
        <f>((SUM(B4:E4))/(Tranches!O26+Tranches!U26+Tranches!AA26+IF(E4=0,0,Tranches!AG26)))</f>
        <v>8.2352941176470587E-2</v>
      </c>
      <c r="L4" s="22">
        <f>N4-M4-K4</f>
        <v>1.2647058823529414E-2</v>
      </c>
      <c r="M4" s="16">
        <f>Tranches!$C$5</f>
        <v>5.0000000000000001E-3</v>
      </c>
      <c r="N4" s="16">
        <f>Tranches!$C$3</f>
        <v>0.1</v>
      </c>
      <c r="O4">
        <f>H4/Tranches!E26</f>
        <v>2.7692307692307693E-2</v>
      </c>
      <c r="Q4">
        <v>1</v>
      </c>
      <c r="R4" s="16">
        <f>N4</f>
        <v>0.1</v>
      </c>
      <c r="S4" s="16">
        <v>0.01</v>
      </c>
      <c r="T4" s="15">
        <f>K4</f>
        <v>8.2352941176470587E-2</v>
      </c>
    </row>
    <row r="5" spans="1:20" x14ac:dyDescent="0.2">
      <c r="A5">
        <v>2</v>
      </c>
      <c r="B5">
        <f>Tranches!Q28</f>
        <v>2101086.8066836288</v>
      </c>
      <c r="C5">
        <f>Tranches!W28</f>
        <v>2475000</v>
      </c>
      <c r="D5">
        <f>Tranches!AC28</f>
        <v>2125000</v>
      </c>
      <c r="E5">
        <f>Tranches!AL28</f>
        <v>0</v>
      </c>
      <c r="F5">
        <f>Tranches!K28</f>
        <v>9653290.5829368103</v>
      </c>
      <c r="G5">
        <f t="shared" ref="G5:G33" si="0">SUM(B5:E5)</f>
        <v>6701086.8066836288</v>
      </c>
      <c r="H5">
        <f t="shared" ref="H5:H33" si="1">F5-G5</f>
        <v>2952203.7762531815</v>
      </c>
      <c r="J5">
        <v>2</v>
      </c>
      <c r="K5" s="15">
        <f>((SUM(B5:E5))/(Tranches!O27+Tranches!U27+Tranches!AA27+IF(E5=0,0,Tranches!AG27)))</f>
        <v>8.2461126958580336E-2</v>
      </c>
      <c r="L5" s="22">
        <f t="shared" ref="L5:L33" si="2">N5-M5-K5</f>
        <v>1.2538873041419665E-2</v>
      </c>
      <c r="M5" s="16">
        <f>Tranches!$C$5</f>
        <v>5.0000000000000001E-3</v>
      </c>
      <c r="N5" s="16">
        <f>Tranches!$C$3</f>
        <v>0.1</v>
      </c>
      <c r="O5">
        <f>H5/Tranches!E27</f>
        <v>2.9053239031236997E-2</v>
      </c>
      <c r="Q5">
        <v>2</v>
      </c>
      <c r="R5" s="16">
        <f t="shared" ref="R5:R33" si="3">N5</f>
        <v>0.1</v>
      </c>
      <c r="S5" s="16">
        <v>0.01</v>
      </c>
      <c r="T5" s="15">
        <f t="shared" ref="T5:T33" si="4">K5</f>
        <v>8.2461126958580336E-2</v>
      </c>
    </row>
    <row r="6" spans="1:20" x14ac:dyDescent="0.2">
      <c r="A6">
        <v>3</v>
      </c>
      <c r="B6">
        <f>Tranches!Q29</f>
        <v>1598813.3315622271</v>
      </c>
      <c r="C6">
        <f>Tranches!W29</f>
        <v>2475000</v>
      </c>
      <c r="D6">
        <f>Tranches!AC29</f>
        <v>2125000</v>
      </c>
      <c r="E6">
        <f>Tranches!AL29</f>
        <v>0</v>
      </c>
      <c r="F6">
        <f>Tranches!K29</f>
        <v>9196633.3312301431</v>
      </c>
      <c r="G6">
        <f t="shared" si="0"/>
        <v>6198813.3315622266</v>
      </c>
      <c r="H6">
        <f t="shared" si="1"/>
        <v>2997819.9996679164</v>
      </c>
      <c r="J6">
        <v>3</v>
      </c>
      <c r="K6" s="15">
        <f>((SUM(B6:E6))/(Tranches!O28+Tranches!U28+Tranches!AA28+IF(E6=0,0,Tranches!AG28)))</f>
        <v>8.2667194179191633E-2</v>
      </c>
      <c r="L6" s="22">
        <f t="shared" si="2"/>
        <v>1.2332805820808368E-2</v>
      </c>
      <c r="M6" s="16">
        <f>Tranches!$C$5</f>
        <v>5.0000000000000001E-3</v>
      </c>
      <c r="N6" s="16">
        <f>Tranches!$C$3</f>
        <v>0.1</v>
      </c>
      <c r="O6">
        <f>H6/Tranches!E28</f>
        <v>3.0967082160527772E-2</v>
      </c>
      <c r="Q6">
        <v>3</v>
      </c>
      <c r="R6" s="16">
        <f t="shared" si="3"/>
        <v>0.1</v>
      </c>
      <c r="S6" s="16">
        <v>0.01</v>
      </c>
      <c r="T6" s="15">
        <f t="shared" si="4"/>
        <v>8.2667194179191633E-2</v>
      </c>
    </row>
    <row r="7" spans="1:20" x14ac:dyDescent="0.2">
      <c r="A7">
        <v>4</v>
      </c>
      <c r="B7">
        <f>Tranches!Q30</f>
        <v>934305.1475449407</v>
      </c>
      <c r="C7">
        <f>Tranches!W30</f>
        <v>2475000</v>
      </c>
      <c r="D7">
        <f>Tranches!AC30</f>
        <v>2125000</v>
      </c>
      <c r="E7">
        <f>Tranches!AL30</f>
        <v>0</v>
      </c>
      <c r="F7">
        <f>Tranches!K30</f>
        <v>8559903.6877096165</v>
      </c>
      <c r="G7">
        <f t="shared" si="0"/>
        <v>5534305.1475449409</v>
      </c>
      <c r="H7">
        <f t="shared" si="1"/>
        <v>3025598.5401646756</v>
      </c>
      <c r="J7">
        <v>4</v>
      </c>
      <c r="K7" s="15">
        <f>((SUM(B7:E7))/(Tranches!O29+Tranches!U29+Tranches!AA29+IF(E7=0,0,Tranches!AG29)))</f>
        <v>8.2999453454094929E-2</v>
      </c>
      <c r="L7" s="22">
        <f t="shared" si="2"/>
        <v>1.2000546545905072E-2</v>
      </c>
      <c r="M7" s="16">
        <f>Tranches!$C$5</f>
        <v>5.0000000000000001E-3</v>
      </c>
      <c r="N7" s="16">
        <f>Tranches!$C$3</f>
        <v>0.1</v>
      </c>
      <c r="O7">
        <f>H7/Tranches!E29</f>
        <v>3.3578866281911715E-2</v>
      </c>
      <c r="Q7">
        <v>4</v>
      </c>
      <c r="R7" s="16">
        <f t="shared" si="3"/>
        <v>0.1</v>
      </c>
      <c r="S7" s="16">
        <v>0.01</v>
      </c>
      <c r="T7" s="15">
        <f t="shared" si="4"/>
        <v>8.2999453454094929E-2</v>
      </c>
    </row>
    <row r="8" spans="1:20" x14ac:dyDescent="0.2">
      <c r="A8">
        <v>5</v>
      </c>
      <c r="B8">
        <f>Tranches!Q31</f>
        <v>272109.96180838795</v>
      </c>
      <c r="C8">
        <f>Tranches!W31</f>
        <v>2475000</v>
      </c>
      <c r="D8">
        <f>Tranches!AC31</f>
        <v>2125000</v>
      </c>
      <c r="E8">
        <f>Tranches!AL31</f>
        <v>0</v>
      </c>
      <c r="F8">
        <f>Tranches!K31</f>
        <v>7939634.3738974594</v>
      </c>
      <c r="G8">
        <f t="shared" si="0"/>
        <v>4872109.9618083881</v>
      </c>
      <c r="H8">
        <f t="shared" si="1"/>
        <v>3067524.4120890712</v>
      </c>
      <c r="J8">
        <v>5</v>
      </c>
      <c r="K8" s="15">
        <f>((SUM(B8:E8))/(Tranches!O30+Tranches!U30+Tranches!AA30+IF(E8=0,0,Tranches!AG30)))</f>
        <v>8.342457693221908E-2</v>
      </c>
      <c r="L8" s="22">
        <f t="shared" si="2"/>
        <v>1.1575423067780921E-2</v>
      </c>
      <c r="M8" s="16">
        <f>Tranches!$C$5</f>
        <v>5.0000000000000001E-3</v>
      </c>
      <c r="N8" s="16">
        <f>Tranches!$C$3</f>
        <v>0.1</v>
      </c>
      <c r="O8">
        <f>H8/Tranches!E30</f>
        <v>3.6703808440666293E-2</v>
      </c>
      <c r="Q8">
        <v>5</v>
      </c>
      <c r="R8" s="16">
        <f t="shared" si="3"/>
        <v>0.1</v>
      </c>
      <c r="S8" s="16">
        <v>0.01</v>
      </c>
      <c r="T8" s="15">
        <f t="shared" si="4"/>
        <v>8.342457693221908E-2</v>
      </c>
    </row>
    <row r="9" spans="1:20" x14ac:dyDescent="0.2">
      <c r="A9">
        <v>6</v>
      </c>
      <c r="B9">
        <f>Tranches!Q32</f>
        <v>0</v>
      </c>
      <c r="C9">
        <f>Tranches!W32</f>
        <v>2092933.5046994318</v>
      </c>
      <c r="D9">
        <f>Tranches!AC32</f>
        <v>2125000</v>
      </c>
      <c r="E9">
        <f>Tranches!AL32</f>
        <v>0</v>
      </c>
      <c r="F9">
        <f>Tranches!K32</f>
        <v>7357583.7775076013</v>
      </c>
      <c r="G9">
        <f t="shared" si="0"/>
        <v>4217933.5046994314</v>
      </c>
      <c r="H9">
        <f t="shared" si="1"/>
        <v>3139650.2728081699</v>
      </c>
      <c r="J9">
        <v>6</v>
      </c>
      <c r="K9" s="15">
        <f>((SUM(B9:E9))/(Tranches!O31+Tranches!U31+Tranches!AA31+IF(E9=0,0,Tranches!AG31)))</f>
        <v>8.3740845267808686E-2</v>
      </c>
      <c r="L9" s="22">
        <f t="shared" si="2"/>
        <v>1.1259154732191315E-2</v>
      </c>
      <c r="M9" s="16">
        <f>Tranches!$C$5</f>
        <v>5.0000000000000001E-3</v>
      </c>
      <c r="N9" s="16">
        <f>Tranches!$C$3</f>
        <v>0.1</v>
      </c>
      <c r="O9">
        <f>H9/Tranches!E31</f>
        <v>4.0538685652290969E-2</v>
      </c>
      <c r="Q9">
        <v>6</v>
      </c>
      <c r="R9" s="16">
        <f t="shared" si="3"/>
        <v>0.1</v>
      </c>
      <c r="S9" s="16">
        <v>0.01</v>
      </c>
      <c r="T9" s="15">
        <f t="shared" si="4"/>
        <v>8.3740845267808686E-2</v>
      </c>
    </row>
    <row r="10" spans="1:20" x14ac:dyDescent="0.2">
      <c r="A10">
        <v>7</v>
      </c>
      <c r="B10">
        <f>Tranches!Q33</f>
        <v>0</v>
      </c>
      <c r="C10">
        <f>Tranches!W33</f>
        <v>1447099.2852744211</v>
      </c>
      <c r="D10">
        <f>Tranches!AC33</f>
        <v>2125000</v>
      </c>
      <c r="E10">
        <f>Tranches!AL33</f>
        <v>0</v>
      </c>
      <c r="F10">
        <f>Tranches!K33</f>
        <v>6811224.4106886638</v>
      </c>
      <c r="G10">
        <f t="shared" si="0"/>
        <v>3572099.2852744209</v>
      </c>
      <c r="H10">
        <f t="shared" si="1"/>
        <v>3239125.125414243</v>
      </c>
      <c r="J10">
        <v>7</v>
      </c>
      <c r="K10" s="15">
        <f>((SUM(B10:E10))/(Tranches!O32+Tranches!U32+Tranches!AA32+IF(E10=0,0,Tranches!AG32)))</f>
        <v>8.3969184821650319E-2</v>
      </c>
      <c r="L10" s="22">
        <f t="shared" si="2"/>
        <v>1.1030815178349682E-2</v>
      </c>
      <c r="M10" s="16">
        <f>Tranches!$C$5</f>
        <v>5.0000000000000001E-3</v>
      </c>
      <c r="N10" s="16">
        <f>Tranches!$C$3</f>
        <v>0.1</v>
      </c>
      <c r="O10">
        <f>H10/Tranches!E32</f>
        <v>4.517791051363123E-2</v>
      </c>
      <c r="Q10">
        <v>7</v>
      </c>
      <c r="R10" s="16">
        <f t="shared" si="3"/>
        <v>0.1</v>
      </c>
      <c r="S10" s="16">
        <v>0.01</v>
      </c>
      <c r="T10" s="15">
        <f t="shared" si="4"/>
        <v>8.3969184821650319E-2</v>
      </c>
    </row>
    <row r="11" spans="1:20" x14ac:dyDescent="0.2">
      <c r="A11">
        <v>8</v>
      </c>
      <c r="B11">
        <f>Tranches!Q34</f>
        <v>0</v>
      </c>
      <c r="C11">
        <f>Tranches!W34</f>
        <v>814783.07007475174</v>
      </c>
      <c r="D11">
        <f>Tranches!AC34</f>
        <v>2125000</v>
      </c>
      <c r="E11">
        <f>Tranches!AL34</f>
        <v>0</v>
      </c>
      <c r="F11">
        <f>Tranches!K34</f>
        <v>6298190.7975528883</v>
      </c>
      <c r="G11">
        <f t="shared" si="0"/>
        <v>2939783.070074752</v>
      </c>
      <c r="H11">
        <f t="shared" si="1"/>
        <v>3358407.7274781363</v>
      </c>
      <c r="J11">
        <v>8</v>
      </c>
      <c r="K11" s="15">
        <f>((SUM(B11:E11))/(Tranches!O33+Tranches!U33+Tranches!AA33+IF(E11=0,0,Tranches!AG33)))</f>
        <v>8.4292055169554833E-2</v>
      </c>
      <c r="L11" s="22">
        <f t="shared" si="2"/>
        <v>1.0707944830445168E-2</v>
      </c>
      <c r="M11" s="16">
        <f>Tranches!$C$5</f>
        <v>5.0000000000000001E-3</v>
      </c>
      <c r="N11" s="16">
        <f>Tranches!$C$3</f>
        <v>0.1</v>
      </c>
      <c r="O11">
        <f>H11/Tranches!E33</f>
        <v>5.0657203690048065E-2</v>
      </c>
      <c r="Q11">
        <v>8</v>
      </c>
      <c r="R11" s="16">
        <f t="shared" si="3"/>
        <v>0.1</v>
      </c>
      <c r="S11" s="16">
        <v>0.01</v>
      </c>
      <c r="T11" s="15">
        <f t="shared" si="4"/>
        <v>8.4292055169554833E-2</v>
      </c>
    </row>
    <row r="12" spans="1:20" x14ac:dyDescent="0.2">
      <c r="A12">
        <v>9</v>
      </c>
      <c r="B12">
        <f>Tranches!Q35</f>
        <v>0</v>
      </c>
      <c r="C12">
        <f>Tranches!W35</f>
        <v>192674.14237004361</v>
      </c>
      <c r="D12">
        <f>Tranches!AC35</f>
        <v>2125000</v>
      </c>
      <c r="E12">
        <f>Tranches!AL35</f>
        <v>0</v>
      </c>
      <c r="F12">
        <f>Tranches!K35</f>
        <v>5816268.9586528149</v>
      </c>
      <c r="G12">
        <f t="shared" si="0"/>
        <v>2317674.1423700438</v>
      </c>
      <c r="H12">
        <f t="shared" si="1"/>
        <v>3498594.8162827711</v>
      </c>
      <c r="J12">
        <v>9</v>
      </c>
      <c r="K12" s="15">
        <f>((SUM(B12:E12))/(Tranches!O34+Tranches!U34+Tranches!AA34+IF(E12=0,0,Tranches!AG34)))</f>
        <v>8.4786408797939264E-2</v>
      </c>
      <c r="L12" s="22">
        <f t="shared" si="2"/>
        <v>1.0213591202060737E-2</v>
      </c>
      <c r="M12" s="16">
        <f>Tranches!$C$5</f>
        <v>5.0000000000000001E-3</v>
      </c>
      <c r="N12" s="16">
        <f>Tranches!$C$3</f>
        <v>0.1</v>
      </c>
      <c r="O12">
        <f>H12/Tranches!E34</f>
        <v>5.7144280965962628E-2</v>
      </c>
      <c r="Q12">
        <v>9</v>
      </c>
      <c r="R12" s="16">
        <f t="shared" si="3"/>
        <v>0.1</v>
      </c>
      <c r="S12" s="16">
        <v>0.01</v>
      </c>
      <c r="T12" s="15">
        <f t="shared" si="4"/>
        <v>8.4786408797939264E-2</v>
      </c>
    </row>
    <row r="13" spans="1:20" x14ac:dyDescent="0.2">
      <c r="A13">
        <v>10</v>
      </c>
      <c r="B13">
        <f>Tranches!Q36</f>
        <v>0</v>
      </c>
      <c r="C13">
        <f>Tranches!W36</f>
        <v>0</v>
      </c>
      <c r="D13">
        <f>Tranches!AC36</f>
        <v>1689655.6375156911</v>
      </c>
      <c r="E13">
        <f>Tranches!AL36</f>
        <v>0</v>
      </c>
      <c r="F13">
        <f>Tranches!K36</f>
        <v>5363386.5768992966</v>
      </c>
      <c r="G13">
        <f t="shared" si="0"/>
        <v>1689655.6375156911</v>
      </c>
      <c r="H13">
        <f t="shared" si="1"/>
        <v>3673730.9393836055</v>
      </c>
      <c r="J13">
        <v>10</v>
      </c>
      <c r="K13" s="15">
        <f>((SUM(B13:E13))/(Tranches!O35+Tranches!U35+Tranches!AA35+IF(E13=0,0,Tranches!AG35)))</f>
        <v>8.5000000000000006E-2</v>
      </c>
      <c r="L13" s="22">
        <f t="shared" si="2"/>
        <v>9.999999999999995E-3</v>
      </c>
      <c r="M13" s="16">
        <f>Tranches!$C$5</f>
        <v>5.0000000000000001E-3</v>
      </c>
      <c r="N13" s="16">
        <f>Tranches!$C$3</f>
        <v>0.1</v>
      </c>
      <c r="O13">
        <f>H13/Tranches!E35</f>
        <v>6.5071654678900748E-2</v>
      </c>
      <c r="Q13">
        <v>10</v>
      </c>
      <c r="R13" s="16">
        <f t="shared" si="3"/>
        <v>0.1</v>
      </c>
      <c r="S13" s="16">
        <v>0.01</v>
      </c>
      <c r="T13" s="15">
        <f t="shared" si="4"/>
        <v>8.5000000000000006E-2</v>
      </c>
    </row>
    <row r="14" spans="1:20" x14ac:dyDescent="0.2">
      <c r="A14">
        <v>11</v>
      </c>
      <c r="B14">
        <f>Tranches!Q37</f>
        <v>0</v>
      </c>
      <c r="C14">
        <f>Tranches!W37</f>
        <v>0</v>
      </c>
      <c r="D14">
        <f>Tranches!AC37</f>
        <v>1059467.347688833</v>
      </c>
      <c r="E14">
        <f>Tranches!AL37</f>
        <v>0</v>
      </c>
      <c r="F14">
        <f>Tranches!K37</f>
        <v>4937603.8013577545</v>
      </c>
      <c r="G14">
        <f t="shared" si="0"/>
        <v>1059467.347688833</v>
      </c>
      <c r="H14">
        <f t="shared" si="1"/>
        <v>3878136.4536689213</v>
      </c>
      <c r="J14">
        <v>11</v>
      </c>
      <c r="K14" s="15">
        <f>((SUM(B14:E14))/(Tranches!O36+Tranches!U36+Tranches!AA36+IF(E14=0,0,Tranches!AG36)))</f>
        <v>8.500000000000002E-2</v>
      </c>
      <c r="L14" s="22">
        <f t="shared" si="2"/>
        <v>1.4999999999999986E-2</v>
      </c>
      <c r="M14" s="16">
        <v>0</v>
      </c>
      <c r="N14" s="16">
        <f>Tranches!$C$3</f>
        <v>0.1</v>
      </c>
      <c r="O14">
        <f>H14/Tranches!E36</f>
        <v>7.4615740330813432E-2</v>
      </c>
      <c r="Q14">
        <v>11</v>
      </c>
      <c r="R14" s="16">
        <f t="shared" si="3"/>
        <v>0.1</v>
      </c>
      <c r="S14" s="16">
        <v>0.01</v>
      </c>
      <c r="T14" s="15">
        <f t="shared" si="4"/>
        <v>8.500000000000002E-2</v>
      </c>
    </row>
    <row r="15" spans="1:20" x14ac:dyDescent="0.2">
      <c r="A15">
        <v>12</v>
      </c>
      <c r="B15">
        <f>Tranches!Q38</f>
        <v>0</v>
      </c>
      <c r="C15">
        <f>Tranches!W38</f>
        <v>0</v>
      </c>
      <c r="D15">
        <f>Tranches!AC38</f>
        <v>429471.01859382534</v>
      </c>
      <c r="E15">
        <f>Tranches!AL38</f>
        <v>3483575.6471623001</v>
      </c>
      <c r="F15">
        <f>Tranches!K38</f>
        <v>4537104.6483415384</v>
      </c>
      <c r="G15">
        <f t="shared" si="0"/>
        <v>3913046.6657561255</v>
      </c>
      <c r="H15">
        <f t="shared" si="1"/>
        <v>624057.98258541292</v>
      </c>
      <c r="J15">
        <v>12</v>
      </c>
      <c r="K15" s="15">
        <f>((SUM(B15:E15))/(Tranches!O37+Tranches!U37+Tranches!AA37+IF(E15=0,0,Tranches!AG37)))</f>
        <v>8.9422678689394033E-2</v>
      </c>
      <c r="L15" s="22">
        <f t="shared" si="2"/>
        <v>1.0577321310605972E-2</v>
      </c>
      <c r="M15" s="16">
        <v>0</v>
      </c>
      <c r="N15" s="16">
        <f>Tranches!$C$3</f>
        <v>0.1</v>
      </c>
      <c r="O15">
        <f>H15/Tranches!E37</f>
        <v>1.3066815279935201E-2</v>
      </c>
      <c r="Q15">
        <v>12</v>
      </c>
      <c r="R15" s="16">
        <f t="shared" si="3"/>
        <v>0.1</v>
      </c>
      <c r="S15" s="16">
        <v>0.01</v>
      </c>
      <c r="T15" s="15">
        <f t="shared" si="4"/>
        <v>8.9422678689394033E-2</v>
      </c>
    </row>
    <row r="16" spans="1:20" x14ac:dyDescent="0.2">
      <c r="A16">
        <v>13</v>
      </c>
      <c r="B16">
        <f>Tranches!Q39</f>
        <v>0</v>
      </c>
      <c r="C16">
        <f>Tranches!W39</f>
        <v>0</v>
      </c>
      <c r="D16">
        <f>Tranches!AC39</f>
        <v>0</v>
      </c>
      <c r="E16">
        <f>Tranches!AL39</f>
        <v>3581231.6482764101</v>
      </c>
      <c r="F16">
        <f>Tranches!K39</f>
        <v>4160188.9620695421</v>
      </c>
      <c r="G16">
        <f t="shared" si="0"/>
        <v>3581231.6482764101</v>
      </c>
      <c r="H16">
        <f t="shared" si="1"/>
        <v>578957.31379313208</v>
      </c>
      <c r="J16">
        <v>13</v>
      </c>
      <c r="K16" s="15">
        <f>((SUM(B16:E16))/(Tranches!O38+Tranches!U38+Tranches!AA38+IF(E16=0,0,Tranches!AG38)))</f>
        <v>0.09</v>
      </c>
      <c r="L16" s="22">
        <f t="shared" si="2"/>
        <v>1.0000000000000009E-2</v>
      </c>
      <c r="M16" s="16">
        <v>0</v>
      </c>
      <c r="N16" s="16">
        <f>Tranches!$C$3</f>
        <v>0.1</v>
      </c>
      <c r="O16">
        <f>H16/Tranches!E38</f>
        <v>1.3220780428922293E-2</v>
      </c>
      <c r="Q16">
        <v>13</v>
      </c>
      <c r="R16" s="16">
        <f t="shared" si="3"/>
        <v>0.1</v>
      </c>
      <c r="S16" s="16">
        <v>0.01</v>
      </c>
      <c r="T16" s="15">
        <f t="shared" si="4"/>
        <v>0.09</v>
      </c>
    </row>
    <row r="17" spans="1:20" x14ac:dyDescent="0.2">
      <c r="A17">
        <v>14</v>
      </c>
      <c r="B17">
        <f>Tranches!Q40</f>
        <v>0</v>
      </c>
      <c r="C17">
        <f>Tranches!W40</f>
        <v>0</v>
      </c>
      <c r="D17">
        <f>Tranches!AC40</f>
        <v>0</v>
      </c>
      <c r="E17">
        <f>Tranches!AL40</f>
        <v>3244987.7999093994</v>
      </c>
      <c r="F17">
        <f>Tranches!K40</f>
        <v>3805264.8999043647</v>
      </c>
      <c r="G17">
        <f t="shared" si="0"/>
        <v>3244987.7999093994</v>
      </c>
      <c r="H17">
        <f t="shared" si="1"/>
        <v>560277.09999496536</v>
      </c>
      <c r="J17">
        <v>14</v>
      </c>
      <c r="K17" s="15">
        <f>((SUM(B17:E17))/(Tranches!O39+Tranches!U39+Tranches!AA39+IF(E17=0,0,Tranches!AG39)))</f>
        <v>0.09</v>
      </c>
      <c r="L17" s="22">
        <f t="shared" si="2"/>
        <v>1.0000000000000009E-2</v>
      </c>
      <c r="M17" s="16">
        <v>0</v>
      </c>
      <c r="N17" s="16">
        <f>Tranches!$C$3</f>
        <v>0.1</v>
      </c>
      <c r="O17">
        <f>H17/Tranches!E39</f>
        <v>1.3987547752814638E-2</v>
      </c>
      <c r="Q17">
        <v>14</v>
      </c>
      <c r="R17" s="16">
        <f t="shared" si="3"/>
        <v>0.1</v>
      </c>
      <c r="S17" s="16">
        <v>0.01</v>
      </c>
      <c r="T17" s="15">
        <f t="shared" si="4"/>
        <v>0.09</v>
      </c>
    </row>
    <row r="18" spans="1:20" x14ac:dyDescent="0.2">
      <c r="A18">
        <v>15</v>
      </c>
      <c r="B18">
        <f>Tranches!Q41</f>
        <v>0</v>
      </c>
      <c r="C18">
        <f>Tranches!W41</f>
        <v>0</v>
      </c>
      <c r="D18">
        <f>Tranches!AC41</f>
        <v>0</v>
      </c>
      <c r="E18">
        <f>Tranches!AL41</f>
        <v>2928166.0198893421</v>
      </c>
      <c r="F18">
        <f>Tranches!K41</f>
        <v>3470841.9098831927</v>
      </c>
      <c r="G18">
        <f t="shared" si="0"/>
        <v>2928166.0198893421</v>
      </c>
      <c r="H18">
        <f t="shared" si="1"/>
        <v>542675.88999385061</v>
      </c>
      <c r="J18">
        <v>15</v>
      </c>
      <c r="K18" s="15">
        <f>((SUM(B18:E18))/(Tranches!O40+Tranches!U40+Tranches!AA40+IF(E18=0,0,Tranches!AG40)))</f>
        <v>0.09</v>
      </c>
      <c r="L18" s="22">
        <f t="shared" si="2"/>
        <v>1.0000000000000009E-2</v>
      </c>
      <c r="M18" s="16">
        <v>0</v>
      </c>
      <c r="N18" s="16">
        <f>Tranches!$C$3</f>
        <v>0.1</v>
      </c>
      <c r="O18">
        <f>H18/Tranches!E40</f>
        <v>1.4853517068183268E-2</v>
      </c>
      <c r="Q18">
        <v>15</v>
      </c>
      <c r="R18" s="16">
        <f t="shared" si="3"/>
        <v>0.1</v>
      </c>
      <c r="S18" s="16">
        <v>0.01</v>
      </c>
      <c r="T18" s="15">
        <f t="shared" si="4"/>
        <v>0.09</v>
      </c>
    </row>
    <row r="19" spans="1:20" x14ac:dyDescent="0.2">
      <c r="A19">
        <v>16</v>
      </c>
      <c r="B19">
        <f>Tranches!Q42</f>
        <v>0</v>
      </c>
      <c r="C19">
        <f>Tranches!W42</f>
        <v>0</v>
      </c>
      <c r="D19">
        <f>Tranches!AC42</f>
        <v>0</v>
      </c>
      <c r="E19">
        <f>Tranches!AL42</f>
        <v>2629443.9514369383</v>
      </c>
      <c r="F19">
        <f>Tranches!K42</f>
        <v>3155524.1709612105</v>
      </c>
      <c r="G19">
        <f t="shared" si="0"/>
        <v>2629443.9514369383</v>
      </c>
      <c r="H19">
        <f t="shared" si="1"/>
        <v>526080.21952427225</v>
      </c>
      <c r="J19">
        <v>16</v>
      </c>
      <c r="K19" s="15">
        <f>((SUM(B19:E19))/(Tranches!O41+Tranches!U41+Tranches!AA41+IF(E19=0,0,Tranches!AG41)))</f>
        <v>0.09</v>
      </c>
      <c r="L19" s="22">
        <f t="shared" si="2"/>
        <v>1.0000000000000009E-2</v>
      </c>
      <c r="M19" s="16">
        <v>0</v>
      </c>
      <c r="N19" s="16">
        <f>Tranches!$C$3</f>
        <v>0.1</v>
      </c>
      <c r="O19">
        <f>H19/Tranches!E41</f>
        <v>1.583813596318677E-2</v>
      </c>
      <c r="Q19">
        <v>16</v>
      </c>
      <c r="R19" s="16">
        <f t="shared" si="3"/>
        <v>0.1</v>
      </c>
      <c r="S19" s="16">
        <v>0.01</v>
      </c>
      <c r="T19" s="15">
        <f t="shared" si="4"/>
        <v>0.09</v>
      </c>
    </row>
    <row r="20" spans="1:20" x14ac:dyDescent="0.2">
      <c r="A20">
        <v>17</v>
      </c>
      <c r="B20">
        <f>Tranches!Q43</f>
        <v>0</v>
      </c>
      <c r="C20">
        <f>Tranches!W43</f>
        <v>0</v>
      </c>
      <c r="D20">
        <f>Tranches!AC43</f>
        <v>0</v>
      </c>
      <c r="E20">
        <f>Tranches!AL43</f>
        <v>2347583.1813508281</v>
      </c>
      <c r="F20">
        <f>Tranches!K43</f>
        <v>2858004.4692036491</v>
      </c>
      <c r="G20">
        <f t="shared" si="0"/>
        <v>2347583.1813508281</v>
      </c>
      <c r="H20">
        <f t="shared" si="1"/>
        <v>510421.28785282094</v>
      </c>
      <c r="J20">
        <v>17</v>
      </c>
      <c r="K20" s="15">
        <f>((SUM(B20:E20))/(Tranches!O42+Tranches!U42+Tranches!AA42+IF(E20=0,0,Tranches!AG42)))</f>
        <v>0.09</v>
      </c>
      <c r="L20" s="22">
        <f t="shared" si="2"/>
        <v>1.0000000000000009E-2</v>
      </c>
      <c r="M20" s="16">
        <v>0</v>
      </c>
      <c r="N20" s="16">
        <f>Tranches!$C$3</f>
        <v>0.1</v>
      </c>
      <c r="O20">
        <f>H20/Tranches!E42</f>
        <v>1.6966391364506575E-2</v>
      </c>
      <c r="Q20">
        <v>17</v>
      </c>
      <c r="R20" s="16">
        <f t="shared" si="3"/>
        <v>0.1</v>
      </c>
      <c r="S20" s="16">
        <v>0.01</v>
      </c>
      <c r="T20" s="15">
        <f t="shared" si="4"/>
        <v>0.09</v>
      </c>
    </row>
    <row r="21" spans="1:20" x14ac:dyDescent="0.2">
      <c r="A21">
        <v>18</v>
      </c>
      <c r="B21">
        <f>Tranches!Q44</f>
        <v>0</v>
      </c>
      <c r="C21">
        <f>Tranches!W44</f>
        <v>0</v>
      </c>
      <c r="D21">
        <f>Tranches!AC44</f>
        <v>0</v>
      </c>
      <c r="E21">
        <f>Tranches!AL44</f>
        <v>2081423.8290703108</v>
      </c>
      <c r="F21">
        <f>Tranches!K44</f>
        <v>2577058.486240881</v>
      </c>
      <c r="G21">
        <f t="shared" si="0"/>
        <v>2081423.8290703108</v>
      </c>
      <c r="H21">
        <f t="shared" si="1"/>
        <v>495634.65717057022</v>
      </c>
      <c r="J21">
        <v>18</v>
      </c>
      <c r="K21" s="15">
        <f>((SUM(B21:E21))/(Tranches!O43+Tranches!U43+Tranches!AA43+IF(E21=0,0,Tranches!AG43)))</f>
        <v>0.09</v>
      </c>
      <c r="L21" s="22">
        <f t="shared" si="2"/>
        <v>1.0000000000000009E-2</v>
      </c>
      <c r="M21" s="16">
        <v>0</v>
      </c>
      <c r="N21" s="16">
        <f>Tranches!$C$3</f>
        <v>0.1</v>
      </c>
      <c r="O21">
        <f>H21/Tranches!E43</f>
        <v>1.8270944444061427E-2</v>
      </c>
      <c r="Q21">
        <v>18</v>
      </c>
      <c r="R21" s="16">
        <f t="shared" si="3"/>
        <v>0.1</v>
      </c>
      <c r="S21" s="16">
        <v>0.01</v>
      </c>
      <c r="T21" s="15">
        <f t="shared" si="4"/>
        <v>0.09</v>
      </c>
    </row>
    <row r="22" spans="1:20" x14ac:dyDescent="0.2">
      <c r="A22">
        <v>19</v>
      </c>
      <c r="B22">
        <f>Tranches!Q45</f>
        <v>0</v>
      </c>
      <c r="C22">
        <f>Tranches!W45</f>
        <v>0</v>
      </c>
      <c r="D22">
        <f>Tranches!AC45</f>
        <v>0</v>
      </c>
      <c r="E22">
        <f>Tranches!AL45</f>
        <v>1829879.5072680484</v>
      </c>
      <c r="F22">
        <f>Tranches!K45</f>
        <v>2311539.479894049</v>
      </c>
      <c r="G22">
        <f t="shared" si="0"/>
        <v>1829879.5072680484</v>
      </c>
      <c r="H22">
        <f t="shared" si="1"/>
        <v>481659.97262600064</v>
      </c>
      <c r="J22">
        <v>19</v>
      </c>
      <c r="K22" s="15">
        <f>((SUM(B22:E22))/(Tranches!O44+Tranches!U44+Tranches!AA44+IF(E22=0,0,Tranches!AG44)))</f>
        <v>0.09</v>
      </c>
      <c r="L22" s="22">
        <f t="shared" si="2"/>
        <v>1.0000000000000009E-2</v>
      </c>
      <c r="M22" s="16">
        <v>0</v>
      </c>
      <c r="N22" s="16">
        <f>Tranches!$C$3</f>
        <v>0.1</v>
      </c>
      <c r="O22">
        <f>H22/Tranches!E44</f>
        <v>1.9795334580038151E-2</v>
      </c>
      <c r="Q22">
        <v>19</v>
      </c>
      <c r="R22" s="16">
        <f t="shared" si="3"/>
        <v>0.1</v>
      </c>
      <c r="S22" s="16">
        <v>0.01</v>
      </c>
      <c r="T22" s="15">
        <f t="shared" si="4"/>
        <v>0.09</v>
      </c>
    </row>
    <row r="23" spans="1:20" x14ac:dyDescent="0.2">
      <c r="A23">
        <v>20</v>
      </c>
      <c r="B23">
        <f>Tranches!Q46</f>
        <v>0</v>
      </c>
      <c r="C23">
        <f>Tranches!W46</f>
        <v>0</v>
      </c>
      <c r="D23">
        <f>Tranches!AC46</f>
        <v>0</v>
      </c>
      <c r="E23">
        <f>Tranches!AL46</f>
        <v>1591932.6392435706</v>
      </c>
      <c r="F23">
        <f>Tranches!K46</f>
        <v>2060373.3414237669</v>
      </c>
      <c r="G23">
        <f t="shared" si="0"/>
        <v>1591932.6392435706</v>
      </c>
      <c r="H23">
        <f t="shared" si="1"/>
        <v>468440.7021801963</v>
      </c>
      <c r="J23">
        <v>20</v>
      </c>
      <c r="K23" s="15">
        <f>((SUM(B23:E23))/(Tranches!O45+Tranches!U45+Tranches!AA45+IF(E23=0,0,Tranches!AG45)))</f>
        <v>0.09</v>
      </c>
      <c r="L23" s="22">
        <f t="shared" si="2"/>
        <v>1.0000000000000009E-2</v>
      </c>
      <c r="M23" s="16">
        <v>0</v>
      </c>
      <c r="N23" s="16">
        <f>Tranches!$C$3</f>
        <v>0.1</v>
      </c>
      <c r="O23">
        <f>H23/Tranches!E45</f>
        <v>2.159893346143122E-2</v>
      </c>
      <c r="Q23">
        <v>20</v>
      </c>
      <c r="R23" s="16">
        <f t="shared" si="3"/>
        <v>0.1</v>
      </c>
      <c r="S23" s="16">
        <v>0.01</v>
      </c>
      <c r="T23" s="15">
        <f t="shared" si="4"/>
        <v>0.09</v>
      </c>
    </row>
    <row r="24" spans="1:20" x14ac:dyDescent="0.2">
      <c r="A24">
        <v>21</v>
      </c>
      <c r="B24">
        <f>Tranches!Q47</f>
        <v>0</v>
      </c>
      <c r="C24">
        <f>Tranches!W47</f>
        <v>0</v>
      </c>
      <c r="D24">
        <f>Tranches!AC47</f>
        <v>0</v>
      </c>
      <c r="E24">
        <f>Tranches!AL47</f>
        <v>1366630.1243445692</v>
      </c>
      <c r="F24">
        <f>Tranches!K47</f>
        <v>1822554.0201414872</v>
      </c>
      <c r="G24">
        <f t="shared" si="0"/>
        <v>1366630.1243445692</v>
      </c>
      <c r="H24">
        <f t="shared" si="1"/>
        <v>455923.89579691808</v>
      </c>
      <c r="J24">
        <v>21</v>
      </c>
      <c r="K24" s="15">
        <f>((SUM(B24:E24))/(Tranches!O46+Tranches!U46+Tranches!AA46+IF(E24=0,0,Tranches!AG46)))</f>
        <v>0.09</v>
      </c>
      <c r="L24" s="22">
        <f t="shared" si="2"/>
        <v>1.0000000000000009E-2</v>
      </c>
      <c r="M24" s="16">
        <v>0</v>
      </c>
      <c r="N24" s="16">
        <f>Tranches!$C$3</f>
        <v>0.1</v>
      </c>
      <c r="O24">
        <f>H24/Tranches!E46</f>
        <v>2.3764875895061148E-2</v>
      </c>
      <c r="Q24">
        <v>21</v>
      </c>
      <c r="R24" s="16">
        <f t="shared" si="3"/>
        <v>0.1</v>
      </c>
      <c r="S24" s="16">
        <v>0.01</v>
      </c>
      <c r="T24" s="15">
        <f t="shared" si="4"/>
        <v>0.09</v>
      </c>
    </row>
    <row r="25" spans="1:20" x14ac:dyDescent="0.2">
      <c r="A25">
        <v>22</v>
      </c>
      <c r="B25">
        <f>Tranches!Q48</f>
        <v>0</v>
      </c>
      <c r="C25">
        <f>Tranches!W48</f>
        <v>0</v>
      </c>
      <c r="D25">
        <f>Tranches!AC48</f>
        <v>0</v>
      </c>
      <c r="E25">
        <f>Tranches!AL48</f>
        <v>1153079.3516695183</v>
      </c>
      <c r="F25">
        <f>Tranches!K48</f>
        <v>1597139.3156511555</v>
      </c>
      <c r="G25">
        <f t="shared" si="0"/>
        <v>1153079.3516695183</v>
      </c>
      <c r="H25">
        <f t="shared" si="1"/>
        <v>444059.96398163727</v>
      </c>
      <c r="J25">
        <v>22</v>
      </c>
      <c r="K25" s="15">
        <f>((SUM(B25:E25))/(Tranches!O47+Tranches!U47+Tranches!AA47+IF(E25=0,0,Tranches!AG47)))</f>
        <v>9.0000000000000011E-2</v>
      </c>
      <c r="L25" s="22">
        <f t="shared" si="2"/>
        <v>9.999999999999995E-3</v>
      </c>
      <c r="M25" s="16">
        <v>0</v>
      </c>
      <c r="N25" s="16">
        <f>Tranches!$C$3</f>
        <v>0.1</v>
      </c>
      <c r="O25">
        <f>H25/Tranches!E47</f>
        <v>2.6413285406512197E-2</v>
      </c>
      <c r="Q25">
        <v>22</v>
      </c>
      <c r="R25" s="16">
        <f t="shared" si="3"/>
        <v>0.1</v>
      </c>
      <c r="S25" s="16">
        <v>0.01</v>
      </c>
      <c r="T25" s="15">
        <f t="shared" si="4"/>
        <v>9.0000000000000011E-2</v>
      </c>
    </row>
    <row r="26" spans="1:20" x14ac:dyDescent="0.2">
      <c r="A26">
        <v>23</v>
      </c>
      <c r="B26">
        <f>Tranches!Q49</f>
        <v>0</v>
      </c>
      <c r="C26">
        <f>Tranches!W49</f>
        <v>0</v>
      </c>
      <c r="D26">
        <f>Tranches!AC49</f>
        <v>0</v>
      </c>
      <c r="E26">
        <f>Tranches!AL49</f>
        <v>950444.57724445139</v>
      </c>
      <c r="F26">
        <f>Tranches!K49</f>
        <v>1383247.0537580296</v>
      </c>
      <c r="G26">
        <f t="shared" si="0"/>
        <v>950444.57724445139</v>
      </c>
      <c r="H26">
        <f t="shared" si="1"/>
        <v>432802.47651357821</v>
      </c>
      <c r="J26">
        <v>23</v>
      </c>
      <c r="K26" s="15">
        <f>((SUM(B26:E26))/(Tranches!O48+Tranches!U48+Tranches!AA48+IF(E26=0,0,Tranches!AG48)))</f>
        <v>0.09</v>
      </c>
      <c r="L26" s="22">
        <f t="shared" si="2"/>
        <v>1.0000000000000009E-2</v>
      </c>
      <c r="M26" s="16">
        <v>0</v>
      </c>
      <c r="N26" s="16">
        <f>Tranches!$C$3</f>
        <v>0.1</v>
      </c>
      <c r="O26">
        <f>H26/Tranches!E48</f>
        <v>2.9724433648410552E-2</v>
      </c>
      <c r="Q26">
        <v>23</v>
      </c>
      <c r="R26" s="16">
        <f t="shared" si="3"/>
        <v>0.1</v>
      </c>
      <c r="S26" s="16">
        <v>0.01</v>
      </c>
      <c r="T26" s="15">
        <f t="shared" si="4"/>
        <v>0.09</v>
      </c>
    </row>
    <row r="27" spans="1:20" x14ac:dyDescent="0.2">
      <c r="A27">
        <v>24</v>
      </c>
      <c r="B27">
        <f>Tranches!Q50</f>
        <v>0</v>
      </c>
      <c r="C27">
        <f>Tranches!W50</f>
        <v>0</v>
      </c>
      <c r="D27">
        <f>Tranches!AC50</f>
        <v>0</v>
      </c>
      <c r="E27">
        <f>Tranches!AL50</f>
        <v>757943.70677195594</v>
      </c>
      <c r="F27">
        <f>Tranches!K50</f>
        <v>1180051.6904815065</v>
      </c>
      <c r="G27">
        <f t="shared" si="0"/>
        <v>757943.70677195594</v>
      </c>
      <c r="H27">
        <f t="shared" si="1"/>
        <v>422107.98370955058</v>
      </c>
      <c r="J27">
        <v>24</v>
      </c>
      <c r="K27" s="15">
        <f>((SUM(B27:E27))/(Tranches!O49+Tranches!U49+Tranches!AA49+IF(E27=0,0,Tranches!AG49)))</f>
        <v>0.09</v>
      </c>
      <c r="L27" s="22">
        <f t="shared" si="2"/>
        <v>1.0000000000000009E-2</v>
      </c>
      <c r="M27" s="16">
        <v>0</v>
      </c>
      <c r="N27" s="16">
        <f>Tranches!$C$3</f>
        <v>0.1</v>
      </c>
      <c r="O27">
        <f>H27/Tranches!E49</f>
        <v>3.3981781286245905E-2</v>
      </c>
      <c r="Q27">
        <v>24</v>
      </c>
      <c r="R27" s="16">
        <f t="shared" si="3"/>
        <v>0.1</v>
      </c>
      <c r="S27" s="16">
        <v>0.01</v>
      </c>
      <c r="T27" s="15">
        <f t="shared" si="4"/>
        <v>0.09</v>
      </c>
    </row>
    <row r="28" spans="1:20" x14ac:dyDescent="0.2">
      <c r="A28">
        <v>25</v>
      </c>
      <c r="B28">
        <f>Tranches!Q51</f>
        <v>0</v>
      </c>
      <c r="C28">
        <f>Tranches!W51</f>
        <v>0</v>
      </c>
      <c r="D28">
        <f>Tranches!AC51</f>
        <v>0</v>
      </c>
      <c r="E28">
        <f>Tranches!AL51</f>
        <v>574845.5787973426</v>
      </c>
      <c r="F28">
        <f>Tranches!K51</f>
        <v>986781.44428608147</v>
      </c>
      <c r="G28">
        <f t="shared" si="0"/>
        <v>574845.5787973426</v>
      </c>
      <c r="H28">
        <f t="shared" si="1"/>
        <v>411935.86548873887</v>
      </c>
      <c r="J28">
        <v>25</v>
      </c>
      <c r="K28" s="15">
        <f>((SUM(B28:E28))/(Tranches!O50+Tranches!U50+Tranches!AA50+IF(E28=0,0,Tranches!AG50)))</f>
        <v>0.09</v>
      </c>
      <c r="L28" s="22">
        <f t="shared" si="2"/>
        <v>1.0000000000000009E-2</v>
      </c>
      <c r="M28" s="16">
        <v>0</v>
      </c>
      <c r="N28" s="16">
        <f>Tranches!$C$3</f>
        <v>0.1</v>
      </c>
      <c r="O28">
        <f>H28/Tranches!E50</f>
        <v>3.9658130428002591E-2</v>
      </c>
      <c r="Q28">
        <v>25</v>
      </c>
      <c r="R28" s="16">
        <f t="shared" si="3"/>
        <v>0.1</v>
      </c>
      <c r="S28" s="16">
        <v>0.01</v>
      </c>
      <c r="T28" s="15">
        <f t="shared" si="4"/>
        <v>0.09</v>
      </c>
    </row>
    <row r="29" spans="1:20" x14ac:dyDescent="0.2">
      <c r="A29">
        <v>26</v>
      </c>
      <c r="B29">
        <f>Tranches!Q52</f>
        <v>0</v>
      </c>
      <c r="C29">
        <f>Tranches!W52</f>
        <v>0</v>
      </c>
      <c r="D29">
        <f>Tranches!AC52</f>
        <v>0</v>
      </c>
      <c r="E29">
        <f>Tranches!AL52</f>
        <v>400467.95652830263</v>
      </c>
      <c r="F29">
        <f>Tranches!K52</f>
        <v>802716.17633542803</v>
      </c>
      <c r="G29">
        <f t="shared" si="0"/>
        <v>400467.95652830263</v>
      </c>
      <c r="H29">
        <f t="shared" si="1"/>
        <v>402248.2198071254</v>
      </c>
      <c r="J29">
        <v>26</v>
      </c>
      <c r="K29" s="15">
        <f>((SUM(B29:E29))/(Tranches!O51+Tranches!U51+Tranches!AA51+IF(E29=0,0,Tranches!AG51)))</f>
        <v>0.09</v>
      </c>
      <c r="L29" s="22">
        <f t="shared" si="2"/>
        <v>1.0000000000000009E-2</v>
      </c>
      <c r="M29" s="16">
        <v>0</v>
      </c>
      <c r="N29" s="16">
        <f>Tranches!$C$3</f>
        <v>0.1</v>
      </c>
      <c r="O29">
        <f>H29/Tranches!E51</f>
        <v>4.7605345461119435E-2</v>
      </c>
      <c r="Q29">
        <v>26</v>
      </c>
      <c r="R29" s="16">
        <f t="shared" si="3"/>
        <v>0.1</v>
      </c>
      <c r="S29" s="16">
        <v>0.01</v>
      </c>
      <c r="T29" s="15">
        <f t="shared" si="4"/>
        <v>0.09</v>
      </c>
    </row>
    <row r="30" spans="1:20" x14ac:dyDescent="0.2">
      <c r="A30">
        <v>27</v>
      </c>
      <c r="B30">
        <f>Tranches!Q53</f>
        <v>0</v>
      </c>
      <c r="C30">
        <f>Tranches!W53</f>
        <v>0</v>
      </c>
      <c r="D30">
        <f>Tranches!AC53</f>
        <v>0</v>
      </c>
      <c r="E30">
        <f>Tranches!AL53</f>
        <v>234176.70836672594</v>
      </c>
      <c r="F30">
        <f>Tranches!K53</f>
        <v>627186.52549820836</v>
      </c>
      <c r="G30">
        <f t="shared" si="0"/>
        <v>234176.70836672594</v>
      </c>
      <c r="H30">
        <f t="shared" si="1"/>
        <v>393009.81713148241</v>
      </c>
      <c r="J30">
        <v>27</v>
      </c>
      <c r="K30" s="15">
        <f>((SUM(B30:E30))/(Tranches!O52+Tranches!U52+Tranches!AA52+IF(E30=0,0,Tranches!AG52)))</f>
        <v>0.09</v>
      </c>
      <c r="L30" s="22">
        <f t="shared" si="2"/>
        <v>1.0000000000000009E-2</v>
      </c>
      <c r="M30" s="16">
        <v>0</v>
      </c>
      <c r="N30" s="16">
        <f>Tranches!$C$3</f>
        <v>0.1</v>
      </c>
      <c r="O30">
        <f>H30/Tranches!E52</f>
        <v>5.9529232707658815E-2</v>
      </c>
      <c r="Q30">
        <v>27</v>
      </c>
      <c r="R30" s="16">
        <f t="shared" si="3"/>
        <v>0.1</v>
      </c>
      <c r="S30" s="16">
        <v>0.01</v>
      </c>
      <c r="T30" s="15">
        <f t="shared" si="4"/>
        <v>0.09</v>
      </c>
    </row>
    <row r="31" spans="1:20" x14ac:dyDescent="0.2">
      <c r="A31">
        <v>28</v>
      </c>
      <c r="B31">
        <f>Tranches!Q54</f>
        <v>0</v>
      </c>
      <c r="C31">
        <f>Tranches!W54</f>
        <v>0</v>
      </c>
      <c r="D31">
        <f>Tranches!AC54</f>
        <v>0</v>
      </c>
      <c r="E31">
        <f>Tranches!AL54</f>
        <v>75387.406413890698</v>
      </c>
      <c r="F31">
        <f>Tranches!K54</f>
        <v>459575.59565910447</v>
      </c>
      <c r="G31">
        <f t="shared" si="0"/>
        <v>75387.406413890698</v>
      </c>
      <c r="H31">
        <f t="shared" si="1"/>
        <v>384188.18924521375</v>
      </c>
      <c r="J31">
        <v>28</v>
      </c>
      <c r="K31" s="15">
        <f>((SUM(B31:E31))/(Tranches!O53+Tranches!U53+Tranches!AA53+IF(E31=0,0,Tranches!AG53)))</f>
        <v>0.09</v>
      </c>
      <c r="L31" s="22">
        <f t="shared" si="2"/>
        <v>1.0000000000000009E-2</v>
      </c>
      <c r="M31" s="16">
        <v>0</v>
      </c>
      <c r="N31" s="16">
        <f>Tranches!$C$3</f>
        <v>0.1</v>
      </c>
      <c r="O31">
        <f>H31/Tranches!E53</f>
        <v>7.9416484084520525E-2</v>
      </c>
      <c r="Q31">
        <v>28</v>
      </c>
      <c r="R31" s="16">
        <f t="shared" si="3"/>
        <v>0.1</v>
      </c>
      <c r="S31" s="16">
        <v>0.01</v>
      </c>
      <c r="T31" s="15">
        <f t="shared" si="4"/>
        <v>0.09</v>
      </c>
    </row>
    <row r="32" spans="1:20" x14ac:dyDescent="0.2">
      <c r="A32">
        <v>29</v>
      </c>
      <c r="B32">
        <f>Tranches!Q55</f>
        <v>0</v>
      </c>
      <c r="C32">
        <f>Tranches!W55</f>
        <v>0</v>
      </c>
      <c r="D32">
        <f>Tranches!AC55</f>
        <v>0</v>
      </c>
      <c r="E32">
        <f>Tranches!AL55</f>
        <v>0</v>
      </c>
      <c r="F32">
        <f>Tranches!K55</f>
        <v>299327.13923640811</v>
      </c>
      <c r="G32">
        <f t="shared" si="0"/>
        <v>0</v>
      </c>
      <c r="H32">
        <f t="shared" si="1"/>
        <v>299327.13923640811</v>
      </c>
      <c r="J32">
        <v>29</v>
      </c>
      <c r="K32" s="15" t="e">
        <f>((SUM(B32:E32))/(Tranches!O54+Tranches!U54+Tranches!AA54+IF(E32=0,0,Tranches!AG54)))</f>
        <v>#DIV/0!</v>
      </c>
      <c r="L32" s="22" t="e">
        <f t="shared" si="2"/>
        <v>#DIV/0!</v>
      </c>
      <c r="M32" s="16">
        <v>0</v>
      </c>
      <c r="N32" s="16">
        <f>Tranches!$C$3</f>
        <v>0.1</v>
      </c>
      <c r="O32">
        <f>H32/Tranches!E54</f>
        <v>9.5000000000000015E-2</v>
      </c>
      <c r="Q32">
        <v>29</v>
      </c>
      <c r="R32" s="16">
        <f t="shared" si="3"/>
        <v>0.1</v>
      </c>
      <c r="S32" s="16">
        <v>0.01</v>
      </c>
      <c r="T32" s="15" t="e">
        <f t="shared" si="4"/>
        <v>#DIV/0!</v>
      </c>
    </row>
    <row r="33" spans="1:20" x14ac:dyDescent="0.2">
      <c r="A33">
        <v>30</v>
      </c>
      <c r="B33">
        <f>Tranches!Q56</f>
        <v>0</v>
      </c>
      <c r="C33">
        <f>Tranches!W56</f>
        <v>0</v>
      </c>
      <c r="D33">
        <f>Tranches!AC56</f>
        <v>0</v>
      </c>
      <c r="E33">
        <f>Tranches!AL56</f>
        <v>0</v>
      </c>
      <c r="F33">
        <f>Tranches!K56</f>
        <v>145976.14433627753</v>
      </c>
      <c r="G33">
        <f t="shared" si="0"/>
        <v>0</v>
      </c>
      <c r="H33">
        <f t="shared" si="1"/>
        <v>145976.14433627753</v>
      </c>
      <c r="J33">
        <v>30</v>
      </c>
      <c r="K33" s="15" t="e">
        <f>((SUM(B33:E33))/(Tranches!O55+Tranches!U55+Tranches!AA55+IF(E33=0,0,Tranches!AG55)))</f>
        <v>#DIV/0!</v>
      </c>
      <c r="L33" s="22" t="e">
        <f t="shared" si="2"/>
        <v>#DIV/0!</v>
      </c>
      <c r="M33" s="16">
        <v>0</v>
      </c>
      <c r="N33" s="16">
        <f>Tranches!$C$3</f>
        <v>0.1</v>
      </c>
      <c r="O33">
        <f>H33/Tranches!E55</f>
        <v>9.5000000000000001E-2</v>
      </c>
      <c r="Q33">
        <v>30</v>
      </c>
      <c r="R33" s="16">
        <f t="shared" si="3"/>
        <v>0.1</v>
      </c>
      <c r="S33" s="16">
        <v>0.01</v>
      </c>
      <c r="T33" s="15" t="e">
        <f t="shared" si="4"/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61" sqref="F61"/>
    </sheetView>
  </sheetViews>
  <sheetFormatPr defaultRowHeight="12.75" x14ac:dyDescent="0.2"/>
  <cols>
    <col min="2" max="2" width="12.7109375" bestFit="1" customWidth="1"/>
    <col min="3" max="3" width="15.85546875" customWidth="1"/>
    <col min="4" max="4" width="11.7109375" customWidth="1"/>
    <col min="5" max="5" width="15.42578125" customWidth="1"/>
    <col min="6" max="6" width="11.7109375" customWidth="1"/>
    <col min="8" max="8" width="12.28515625" bestFit="1" customWidth="1"/>
    <col min="9" max="9" width="12.5703125" customWidth="1"/>
  </cols>
  <sheetData>
    <row r="1" spans="1:12" x14ac:dyDescent="0.2">
      <c r="A1" t="s">
        <v>71</v>
      </c>
      <c r="B1" s="15">
        <v>9.5000000000000001E-2</v>
      </c>
      <c r="C1" s="15"/>
      <c r="D1" s="15"/>
      <c r="E1" s="15"/>
      <c r="F1" s="15"/>
    </row>
    <row r="2" spans="1:12" x14ac:dyDescent="0.2">
      <c r="B2" s="19">
        <v>104000000</v>
      </c>
      <c r="C2" s="19"/>
      <c r="D2" s="19"/>
      <c r="E2" s="19"/>
      <c r="F2" s="19"/>
    </row>
    <row r="3" spans="1:12" x14ac:dyDescent="0.2">
      <c r="H3" t="s">
        <v>72</v>
      </c>
      <c r="I3" t="s">
        <v>73</v>
      </c>
    </row>
    <row r="4" spans="1:12" x14ac:dyDescent="0.2">
      <c r="B4" t="s">
        <v>70</v>
      </c>
      <c r="C4" t="s">
        <v>76</v>
      </c>
      <c r="E4" t="s">
        <v>77</v>
      </c>
      <c r="H4" s="21">
        <f>-1.5*$B$2</f>
        <v>-156000000</v>
      </c>
      <c r="I4" s="21">
        <f>-0.9*$B$2</f>
        <v>-93600000</v>
      </c>
      <c r="K4" t="s">
        <v>75</v>
      </c>
      <c r="L4" t="s">
        <v>74</v>
      </c>
    </row>
    <row r="5" spans="1:12" x14ac:dyDescent="0.2">
      <c r="A5">
        <v>1</v>
      </c>
      <c r="B5">
        <v>0.05</v>
      </c>
      <c r="C5" s="19">
        <f>B5*B2</f>
        <v>5200000</v>
      </c>
      <c r="D5" s="15">
        <f>$B$1-B5</f>
        <v>4.4999999999999998E-2</v>
      </c>
      <c r="E5" s="19">
        <f>D5*($B$2)</f>
        <v>4680000</v>
      </c>
      <c r="F5" s="19">
        <f>C5+E5-I5</f>
        <v>0</v>
      </c>
      <c r="H5" s="21">
        <f>GNMA!H27+GNMA!G27</f>
        <v>1872654.9164546391</v>
      </c>
      <c r="I5" s="21">
        <f>GNMA!I27-GNMA!J27</f>
        <v>9880000</v>
      </c>
      <c r="J5" s="16">
        <v>5</v>
      </c>
      <c r="K5" s="16">
        <f>IRR(H4:H34,0.1)</f>
        <v>-2.9228084693685465E-2</v>
      </c>
      <c r="L5" s="16">
        <f>IRR(I4:I34,0.1)</f>
        <v>3.4153442318259182E-2</v>
      </c>
    </row>
    <row r="6" spans="1:12" x14ac:dyDescent="0.2">
      <c r="A6">
        <v>2</v>
      </c>
      <c r="B6">
        <v>5.0421876442069989E-2</v>
      </c>
      <c r="C6" s="20">
        <f>B6*($B$2-H5)</f>
        <v>5149452.3751591677</v>
      </c>
      <c r="D6" s="15">
        <f t="shared" ref="D6:D34" si="0">$B$1-B6</f>
        <v>4.4578123557930012E-2</v>
      </c>
      <c r="E6" s="20">
        <f>D6*($B$2-H5)</f>
        <v>4552645.407777641</v>
      </c>
      <c r="F6" s="19">
        <f t="shared" ref="F6:F34" si="1">C6+E6-I6</f>
        <v>0</v>
      </c>
      <c r="H6" s="21">
        <f>GNMA!H28+GNMA!G28</f>
        <v>4338968.496416131</v>
      </c>
      <c r="I6" s="21">
        <f>GNMA!I28-GNMA!J28</f>
        <v>9702097.7829368096</v>
      </c>
      <c r="J6" s="16">
        <f>J5-100%</f>
        <v>4</v>
      </c>
      <c r="K6" s="16">
        <v>0.36046216917929663</v>
      </c>
      <c r="L6" s="16">
        <v>0.23000110635777329</v>
      </c>
    </row>
    <row r="7" spans="1:12" x14ac:dyDescent="0.2">
      <c r="A7">
        <v>3</v>
      </c>
      <c r="B7">
        <v>5.0881741011429553E-2</v>
      </c>
      <c r="C7" s="20">
        <f>B7*($B$2-SUM($H$5:H6))</f>
        <v>4975642.8514344515</v>
      </c>
      <c r="D7" s="15">
        <f t="shared" si="0"/>
        <v>4.4118258988570448E-2</v>
      </c>
      <c r="E7" s="20">
        <f>D7*($B$2-SUM($H$5:H6))</f>
        <v>4314252.924342826</v>
      </c>
      <c r="F7" s="19">
        <f t="shared" si="1"/>
        <v>0</v>
      </c>
      <c r="H7" s="21">
        <f>GNMA!H29+GNMA!G29</f>
        <v>6309558.3418661933</v>
      </c>
      <c r="I7" s="21">
        <f>GNMA!I29-GNMA!J29</f>
        <v>9289895.7757772766</v>
      </c>
      <c r="J7" s="16">
        <f>J6-100%</f>
        <v>3</v>
      </c>
      <c r="K7" s="16">
        <v>0.28320317421989022</v>
      </c>
      <c r="L7" s="16">
        <v>0.27925732070120879</v>
      </c>
    </row>
    <row r="8" spans="1:12" x14ac:dyDescent="0.2">
      <c r="A8">
        <v>4</v>
      </c>
      <c r="B8">
        <v>5.1423003691711863E-2</v>
      </c>
      <c r="C8" s="20">
        <f>B8*($B$2-SUM($H$5:H7))</f>
        <v>4704115.6083396003</v>
      </c>
      <c r="D8" s="15">
        <f t="shared" si="0"/>
        <v>4.3576996308288138E-2</v>
      </c>
      <c r="E8" s="20">
        <f>D8*($B$2-SUM($H$5:H7))</f>
        <v>3986372.124960389</v>
      </c>
      <c r="F8" s="19">
        <f t="shared" si="1"/>
        <v>0</v>
      </c>
      <c r="H8" s="21">
        <f>GNMA!H30+GNMA!G30</f>
        <v>6198804.4902176568</v>
      </c>
      <c r="I8" s="21">
        <f>GNMA!I30-GNMA!J30</f>
        <v>8690487.7332999893</v>
      </c>
      <c r="J8" s="16">
        <f>J7-100%</f>
        <v>2</v>
      </c>
      <c r="K8" s="16">
        <v>0.20217283878706724</v>
      </c>
      <c r="L8" s="16">
        <v>0.32922833332951484</v>
      </c>
    </row>
    <row r="9" spans="1:12" x14ac:dyDescent="0.2">
      <c r="A9">
        <v>5</v>
      </c>
      <c r="B9">
        <v>5.23751137442975E-2</v>
      </c>
      <c r="C9" s="20">
        <f>B9*($B$2-SUM($H$5:H8))</f>
        <v>4466550.4205357572</v>
      </c>
      <c r="D9" s="15">
        <f t="shared" si="0"/>
        <v>4.2624886255702502E-2</v>
      </c>
      <c r="E9" s="20">
        <f>D9*($B$2-SUM($H$5:H8))</f>
        <v>3635050.8861935544</v>
      </c>
      <c r="F9" s="19">
        <f t="shared" si="1"/>
        <v>0</v>
      </c>
      <c r="H9" s="21">
        <f>GNMA!H31+GNMA!G31</f>
        <v>5851018.784251662</v>
      </c>
      <c r="I9" s="21">
        <f>GNMA!I31-GNMA!J31</f>
        <v>8101601.3067293111</v>
      </c>
      <c r="J9" s="16">
        <f>J8-100%</f>
        <v>1</v>
      </c>
      <c r="K9" s="16">
        <v>0.11934359195902325</v>
      </c>
      <c r="L9" s="16">
        <v>0.37984681405375736</v>
      </c>
    </row>
    <row r="10" spans="1:12" x14ac:dyDescent="0.2">
      <c r="A10">
        <v>6</v>
      </c>
      <c r="B10">
        <v>5.3259267187842525E-2</v>
      </c>
      <c r="C10" s="20">
        <f>B10*($B$2-SUM($H$5:H9))</f>
        <v>4230330.0656113029</v>
      </c>
      <c r="D10" s="15">
        <f t="shared" si="0"/>
        <v>4.1740732812157476E-2</v>
      </c>
      <c r="E10" s="20">
        <f>D10*($B$2-SUM($H$5:H9))</f>
        <v>3315424.4566141008</v>
      </c>
      <c r="F10" s="19">
        <f t="shared" si="1"/>
        <v>0</v>
      </c>
      <c r="H10" s="21">
        <f>GNMA!H32+GNMA!G32</f>
        <v>5524921.0678008264</v>
      </c>
      <c r="I10" s="21">
        <f>GNMA!I32-GNMA!J32</f>
        <v>7545754.5222254042</v>
      </c>
      <c r="J10" s="16">
        <f>J9-100%</f>
        <v>0</v>
      </c>
      <c r="K10" s="16">
        <v>5.1333827147738632E-2</v>
      </c>
      <c r="L10" s="16">
        <v>0.43105050174745885</v>
      </c>
    </row>
    <row r="11" spans="1:12" x14ac:dyDescent="0.2">
      <c r="A11">
        <v>7</v>
      </c>
      <c r="B11">
        <v>5.3741563243508053E-2</v>
      </c>
      <c r="C11" s="20">
        <f>B11*($B$2-SUM($H$5:H10))</f>
        <v>3971720.4616105855</v>
      </c>
      <c r="D11" s="15">
        <f t="shared" si="0"/>
        <v>4.1258436756491948E-2</v>
      </c>
      <c r="E11" s="20">
        <f>D11*($B$2-SUM($H$5:H10))</f>
        <v>3049166.559173739</v>
      </c>
      <c r="F11" s="19">
        <f t="shared" si="1"/>
        <v>0</v>
      </c>
      <c r="H11" s="21">
        <f>GNMA!H33+GNMA!G33</f>
        <v>5219237.9702975843</v>
      </c>
      <c r="I11" s="21">
        <f>GNMA!I33-GNMA!J33</f>
        <v>7020887.0207843259</v>
      </c>
    </row>
    <row r="12" spans="1:12" x14ac:dyDescent="0.2">
      <c r="A12">
        <v>8</v>
      </c>
      <c r="B12">
        <v>5.4582452934676208E-2</v>
      </c>
      <c r="C12" s="20">
        <f>B12*($B$2-SUM($H$5:H11))</f>
        <v>3748986.8246222986</v>
      </c>
      <c r="D12" s="15">
        <f t="shared" si="0"/>
        <v>4.0417547065323793E-2</v>
      </c>
      <c r="E12" s="20">
        <f>D12*($B$2-SUM($H$5:H11))</f>
        <v>2776072.5889837551</v>
      </c>
      <c r="F12" s="19">
        <f t="shared" si="1"/>
        <v>0</v>
      </c>
      <c r="H12" s="21">
        <f>GNMA!H34+GNMA!G34</f>
        <v>4932773.4723077416</v>
      </c>
      <c r="I12" s="21">
        <f>GNMA!I34-GNMA!J34</f>
        <v>6525059.4136060551</v>
      </c>
    </row>
    <row r="13" spans="1:12" x14ac:dyDescent="0.2">
      <c r="A13">
        <v>9</v>
      </c>
      <c r="B13">
        <v>5.5171436897156298E-2</v>
      </c>
      <c r="C13" s="20">
        <f>B13*($B$2-SUM($H$5:H12))</f>
        <v>3517292.8910968392</v>
      </c>
      <c r="D13" s="15">
        <f t="shared" si="0"/>
        <v>3.9828563102843703E-2</v>
      </c>
      <c r="E13" s="20">
        <f>D13*($B$2-SUM($H$5:H12))</f>
        <v>2539153.0426399792</v>
      </c>
      <c r="F13" s="19">
        <f t="shared" si="1"/>
        <v>0</v>
      </c>
      <c r="H13" s="21">
        <f>GNMA!H35+GNMA!G35</f>
        <v>4664404.2967250431</v>
      </c>
      <c r="I13" s="21">
        <f>GNMA!I35-GNMA!J35</f>
        <v>6056445.9337368198</v>
      </c>
    </row>
    <row r="14" spans="1:12" x14ac:dyDescent="0.2">
      <c r="A14">
        <v>10</v>
      </c>
      <c r="B14">
        <v>5.5794259414103785E-2</v>
      </c>
      <c r="C14" s="20">
        <f>B14*($B$2-SUM($H$5:H13))</f>
        <v>3296752.1277552741</v>
      </c>
      <c r="D14" s="15">
        <f t="shared" si="0"/>
        <v>3.9205740585896216E-2</v>
      </c>
      <c r="E14" s="20">
        <f>D14*($B$2-SUM($H$5:H13))</f>
        <v>2316575.3977926658</v>
      </c>
      <c r="F14" s="19">
        <f t="shared" si="1"/>
        <v>0</v>
      </c>
      <c r="H14" s="21">
        <f>GNMA!H36+GNMA!G36</f>
        <v>4413075.5775910011</v>
      </c>
      <c r="I14" s="21">
        <f>GNMA!I36-GNMA!J36</f>
        <v>5613327.5255479403</v>
      </c>
    </row>
    <row r="15" spans="1:12" x14ac:dyDescent="0.2">
      <c r="A15">
        <v>11</v>
      </c>
      <c r="B15">
        <v>5.6745525355389133E-2</v>
      </c>
      <c r="C15" s="20">
        <f>B15*($B$2-SUM($H$5:H14))</f>
        <v>3102537.9124332387</v>
      </c>
      <c r="D15" s="15">
        <f t="shared" si="0"/>
        <v>3.8254474644610868E-2</v>
      </c>
      <c r="E15" s="20">
        <f>D15*($B$2-SUM($H$5:H14))</f>
        <v>2091547.4332435559</v>
      </c>
      <c r="F15" s="19">
        <f t="shared" si="1"/>
        <v>0</v>
      </c>
      <c r="H15" s="21">
        <f>GNMA!H37+GNMA!G37</f>
        <v>4177796.7899197615</v>
      </c>
      <c r="I15" s="21">
        <f>GNMA!I37-GNMA!J37</f>
        <v>5194085.3456767956</v>
      </c>
    </row>
    <row r="16" spans="1:12" x14ac:dyDescent="0.2">
      <c r="A16">
        <v>12</v>
      </c>
      <c r="B16">
        <v>5.7339661718780112E-2</v>
      </c>
      <c r="C16" s="20">
        <f>B16*($B$2-SUM($H$5:H15))</f>
        <v>2895468.6154370424</v>
      </c>
      <c r="D16" s="15">
        <f t="shared" si="0"/>
        <v>3.7660338281219889E-2</v>
      </c>
      <c r="E16" s="20">
        <f>D16*($B$2-SUM($H$5:H15))</f>
        <v>1901726.0351973749</v>
      </c>
      <c r="F16" s="19">
        <f t="shared" si="1"/>
        <v>0</v>
      </c>
      <c r="H16" s="21">
        <f>GNMA!H38+GNMA!G38</f>
        <v>3957637.9249062627</v>
      </c>
      <c r="I16" s="21">
        <f>GNMA!I38-GNMA!J38</f>
        <v>4797194.6506344173</v>
      </c>
    </row>
    <row r="17" spans="1:9" x14ac:dyDescent="0.2">
      <c r="A17">
        <v>13</v>
      </c>
      <c r="B17">
        <v>5.7564213581561698E-2</v>
      </c>
      <c r="C17" s="20">
        <f>B17*($B$2-SUM($H$5:H16))</f>
        <v>2678989.447964258</v>
      </c>
      <c r="D17" s="15">
        <f t="shared" si="0"/>
        <v>3.7435786418438304E-2</v>
      </c>
      <c r="E17" s="20">
        <f>D17*($B$2-SUM($H$5:H16))</f>
        <v>1742229.599804064</v>
      </c>
      <c r="F17" s="19">
        <f t="shared" si="1"/>
        <v>0</v>
      </c>
      <c r="H17" s="21">
        <f>GNMA!H39+GNMA!G39</f>
        <v>3751725.8958345507</v>
      </c>
      <c r="I17" s="21">
        <f>GNMA!I39-GNMA!J39</f>
        <v>4421219.0477683228</v>
      </c>
    </row>
    <row r="18" spans="1:9" x14ac:dyDescent="0.2">
      <c r="A18">
        <v>14</v>
      </c>
      <c r="B18">
        <v>5.8099384959532069E-2</v>
      </c>
      <c r="C18" s="20">
        <f>B18*($B$2-SUM($H$5:H17))</f>
        <v>2485922.9007753427</v>
      </c>
      <c r="D18" s="15">
        <f t="shared" si="0"/>
        <v>3.6900615040467932E-2</v>
      </c>
      <c r="E18" s="20">
        <f>D18*($B$2-SUM($H$5:H17))</f>
        <v>1578882.1868886973</v>
      </c>
      <c r="F18" s="19">
        <f t="shared" si="1"/>
        <v>0</v>
      </c>
      <c r="H18" s="21">
        <f>GNMA!H40+GNMA!G40</f>
        <v>3559241.160885511</v>
      </c>
      <c r="I18" s="21">
        <f>GNMA!I40-GNMA!J40</f>
        <v>4064805.0876640398</v>
      </c>
    </row>
    <row r="19" spans="1:9" x14ac:dyDescent="0.2">
      <c r="A19">
        <v>15</v>
      </c>
      <c r="B19">
        <v>5.8228815006535393E-2</v>
      </c>
      <c r="C19" s="20">
        <f>B19*($B$2-SUM($H$5:H18))</f>
        <v>2284210.4836919224</v>
      </c>
      <c r="D19" s="15">
        <f t="shared" si="0"/>
        <v>3.6771184993464608E-2</v>
      </c>
      <c r="E19" s="20">
        <f>D19*($B$2-SUM($H$5:H18))</f>
        <v>1442466.6936879938</v>
      </c>
      <c r="F19" s="19">
        <f t="shared" si="1"/>
        <v>0</v>
      </c>
      <c r="H19" s="21">
        <f>GNMA!H41+GNMA!G41</f>
        <v>3379414.5498726494</v>
      </c>
      <c r="I19" s="21">
        <f>GNMA!I41-GNMA!J41</f>
        <v>3726677.1773799164</v>
      </c>
    </row>
    <row r="20" spans="1:9" x14ac:dyDescent="0.2">
      <c r="A20">
        <v>16</v>
      </c>
      <c r="B20">
        <v>5.8572633626189669E-2</v>
      </c>
      <c r="C20" s="20">
        <f>B20*($B$2-SUM($H$5:H19))</f>
        <v>2099756.6523704156</v>
      </c>
      <c r="D20" s="15">
        <f t="shared" si="0"/>
        <v>3.6427366373810333E-2</v>
      </c>
      <c r="E20" s="20">
        <f>D20*($B$2-SUM($H$5:H19))</f>
        <v>1305876.1427715993</v>
      </c>
      <c r="F20" s="19">
        <f t="shared" si="1"/>
        <v>0</v>
      </c>
      <c r="H20" s="21">
        <f>GNMA!H42+GNMA!G42</f>
        <v>3211524.2827143297</v>
      </c>
      <c r="I20" s="21">
        <f>GNMA!I42-GNMA!J42</f>
        <v>3405632.7951420145</v>
      </c>
    </row>
    <row r="21" spans="1:9" x14ac:dyDescent="0.2">
      <c r="A21">
        <v>17</v>
      </c>
      <c r="B21">
        <v>5.9426624250819682E-2</v>
      </c>
      <c r="C21" s="20">
        <f>B21*($B$2-SUM($H$5:H20))</f>
        <v>1939521.1158437338</v>
      </c>
      <c r="D21" s="15">
        <f t="shared" si="0"/>
        <v>3.5573375749180319E-2</v>
      </c>
      <c r="E21" s="20">
        <f>D21*($B$2-SUM($H$5:H20))</f>
        <v>1161016.8724404192</v>
      </c>
      <c r="F21" s="19">
        <f t="shared" si="1"/>
        <v>0</v>
      </c>
      <c r="H21" s="21">
        <f>GNMA!H43+GNMA!G43</f>
        <v>3054893.168183865</v>
      </c>
      <c r="I21" s="21">
        <f>GNMA!I43-GNMA!J43</f>
        <v>3100537.9882841534</v>
      </c>
    </row>
    <row r="22" spans="1:9" x14ac:dyDescent="0.2">
      <c r="A22">
        <v>18</v>
      </c>
      <c r="B22">
        <v>5.9679875742208607E-2</v>
      </c>
      <c r="C22" s="20">
        <f>B22*($B$2-SUM($H$5:H21))</f>
        <v>1765470.9013675461</v>
      </c>
      <c r="D22" s="15">
        <f t="shared" si="0"/>
        <v>3.5320124257791394E-2</v>
      </c>
      <c r="E22" s="20">
        <f>D22*($B$2-SUM($H$5:H21))</f>
        <v>1044852.2359391398</v>
      </c>
      <c r="F22" s="19">
        <f t="shared" si="1"/>
        <v>0</v>
      </c>
      <c r="H22" s="21">
        <f>GNMA!H44+GNMA!G44</f>
        <v>2908885.9721679296</v>
      </c>
      <c r="I22" s="21">
        <f>GNMA!I44-GNMA!J44</f>
        <v>2810323.1373066865</v>
      </c>
    </row>
    <row r="23" spans="1:9" x14ac:dyDescent="0.2">
      <c r="A23">
        <v>19</v>
      </c>
      <c r="B23">
        <v>6.0074099672812672E-2</v>
      </c>
      <c r="C23" s="20">
        <f>B23*($B$2-SUM($H$5:H22))</f>
        <v>1602384.2653645424</v>
      </c>
      <c r="D23" s="15">
        <f t="shared" si="0"/>
        <v>3.4925900327187329E-2</v>
      </c>
      <c r="E23" s="20">
        <f>D23*($B$2-SUM($H$5:H22))</f>
        <v>931594.70458619075</v>
      </c>
      <c r="F23" s="19">
        <f t="shared" si="1"/>
        <v>0</v>
      </c>
      <c r="H23" s="21">
        <f>GNMA!H45+GNMA!G45</f>
        <v>2772906.9453115053</v>
      </c>
      <c r="I23" s="21">
        <f>GNMA!I45-GNMA!J45</f>
        <v>2533978.9699507328</v>
      </c>
    </row>
    <row r="24" spans="1:9" x14ac:dyDescent="0.2">
      <c r="A24">
        <v>20</v>
      </c>
      <c r="B24">
        <v>6.0958649135303619E-2</v>
      </c>
      <c r="C24" s="20">
        <f>B24*($B$2-SUM($H$5:H23))</f>
        <v>1456945.6010197497</v>
      </c>
      <c r="D24" s="15">
        <f t="shared" si="0"/>
        <v>3.4041350864696382E-2</v>
      </c>
      <c r="E24" s="20">
        <f>D24*($B$2-SUM($H$5:H23))</f>
        <v>813607.20912639075</v>
      </c>
      <c r="F24" s="19">
        <f t="shared" si="1"/>
        <v>0</v>
      </c>
      <c r="H24" s="21">
        <f>GNMA!H46+GNMA!G46</f>
        <v>2646397.5005365699</v>
      </c>
      <c r="I24" s="21">
        <f>GNMA!I46-GNMA!J46</f>
        <v>2270552.8101461399</v>
      </c>
    </row>
    <row r="25" spans="1:9" x14ac:dyDescent="0.2">
      <c r="A25">
        <v>21</v>
      </c>
      <c r="B25">
        <v>6.1330247258877889E-2</v>
      </c>
      <c r="C25" s="20">
        <f>B25*($B$2-SUM($H$5:H24))</f>
        <v>1303522.789690003</v>
      </c>
      <c r="D25" s="15">
        <f t="shared" si="0"/>
        <v>3.3669752741122112E-2</v>
      </c>
      <c r="E25" s="20">
        <f>D25*($B$2-SUM($H$5:H24))</f>
        <v>715622.25790516287</v>
      </c>
      <c r="F25" s="19">
        <f t="shared" si="1"/>
        <v>0</v>
      </c>
      <c r="H25" s="21">
        <f>GNMA!H47+GNMA!G47</f>
        <v>2528834.031494217</v>
      </c>
      <c r="I25" s="21">
        <f>GNMA!I47-GNMA!J47</f>
        <v>2019145.0475951654</v>
      </c>
    </row>
    <row r="26" spans="1:9" x14ac:dyDescent="0.2">
      <c r="A26">
        <v>22</v>
      </c>
      <c r="B26">
        <v>6.2006745881753256E-2</v>
      </c>
      <c r="C26" s="20">
        <f>B26*($B$2-SUM($H$5:H25))</f>
        <v>1161096.4294071037</v>
      </c>
      <c r="D26" s="15">
        <f t="shared" si="0"/>
        <v>3.2993254118246745E-2</v>
      </c>
      <c r="E26" s="20">
        <f>D26*($B$2-SUM($H$5:H25))</f>
        <v>617809.38519611175</v>
      </c>
      <c r="F26" s="19">
        <f t="shared" si="1"/>
        <v>0</v>
      </c>
      <c r="H26" s="21">
        <f>GNMA!H48+GNMA!G48</f>
        <v>2419725.8635480609</v>
      </c>
      <c r="I26" s="21">
        <f>GNMA!I48-GNMA!J48</f>
        <v>1778905.8146032146</v>
      </c>
    </row>
    <row r="27" spans="1:9" x14ac:dyDescent="0.2">
      <c r="A27">
        <v>23</v>
      </c>
      <c r="B27">
        <v>6.2111048140707434E-2</v>
      </c>
      <c r="C27" s="20">
        <f>B27*($B$2-SUM($H$5:H26))</f>
        <v>1012757.8134397959</v>
      </c>
      <c r="D27" s="15">
        <f t="shared" si="0"/>
        <v>3.2888951859292567E-2</v>
      </c>
      <c r="E27" s="20">
        <f>D27*($B$2-SUM($H$5:H26))</f>
        <v>536274.04412635416</v>
      </c>
      <c r="F27" s="19">
        <f t="shared" si="1"/>
        <v>0</v>
      </c>
      <c r="H27" s="21">
        <f>GNMA!H49+GNMA!G49</f>
        <v>2318613.3293927517</v>
      </c>
      <c r="I27" s="21">
        <f>GNMA!I49-GNMA!J49</f>
        <v>1549031.8575661487</v>
      </c>
    </row>
    <row r="28" spans="1:9" x14ac:dyDescent="0.2">
      <c r="A28">
        <v>24</v>
      </c>
      <c r="B28">
        <v>6.267486032970479E-2</v>
      </c>
      <c r="C28" s="20">
        <f>B28*($B$2-SUM($H$5:H27))</f>
        <v>876632.34204510332</v>
      </c>
      <c r="D28" s="15">
        <f t="shared" si="0"/>
        <v>3.2325139670295211E-2</v>
      </c>
      <c r="E28" s="20">
        <f>D28*($B$2-SUM($H$5:H27))</f>
        <v>452131.24922873592</v>
      </c>
      <c r="F28" s="19">
        <f t="shared" si="1"/>
        <v>1.862645149230957E-9</v>
      </c>
      <c r="H28" s="21">
        <f>GNMA!H50+GNMA!G50</f>
        <v>2225065.9618871207</v>
      </c>
      <c r="I28" s="21">
        <f>GNMA!I50-GNMA!J50</f>
        <v>1328763.5912738373</v>
      </c>
    </row>
    <row r="29" spans="1:9" x14ac:dyDescent="0.2">
      <c r="A29">
        <v>25</v>
      </c>
      <c r="B29">
        <v>6.3085695472757372E-2</v>
      </c>
      <c r="C29" s="20">
        <f>B29*($B$2-SUM($H$5:H28))</f>
        <v>742008.85342042125</v>
      </c>
      <c r="D29" s="15">
        <f t="shared" si="0"/>
        <v>3.1914304527242629E-2</v>
      </c>
      <c r="E29" s="20">
        <f>D29*($B$2-SUM($H$5:H28))</f>
        <v>375373.47147414141</v>
      </c>
      <c r="F29" s="19">
        <f t="shared" si="1"/>
        <v>1.862645149230957E-9</v>
      </c>
      <c r="H29" s="21">
        <f>GNMA!H51+GNMA!G51</f>
        <v>2138680.7971285963</v>
      </c>
      <c r="I29" s="21">
        <f>GNMA!I51-GNMA!J51</f>
        <v>1117382.3248945607</v>
      </c>
    </row>
    <row r="30" spans="1:9" x14ac:dyDescent="0.2">
      <c r="A30">
        <v>26</v>
      </c>
      <c r="B30">
        <v>6.3108962392172355E-2</v>
      </c>
      <c r="C30" s="20">
        <f>B30*($B$2-SUM($H$5:H29))</f>
        <v>607312.59105198213</v>
      </c>
      <c r="D30" s="15">
        <f t="shared" si="0"/>
        <v>3.1891037607827646E-2</v>
      </c>
      <c r="E30" s="20">
        <f>D30*($B$2-SUM($H$5:H29))</f>
        <v>306895.0581153633</v>
      </c>
      <c r="F30" s="19">
        <f t="shared" si="1"/>
        <v>1.1641532182693481E-9</v>
      </c>
      <c r="H30" s="21">
        <f>GNMA!H52+GNMA!G52</f>
        <v>2059080.781216043</v>
      </c>
      <c r="I30" s="21">
        <f>GNMA!I52-GNMA!J52</f>
        <v>914207.64916734421</v>
      </c>
    </row>
    <row r="31" spans="1:9" x14ac:dyDescent="0.2">
      <c r="A31">
        <v>27</v>
      </c>
      <c r="B31">
        <v>6.3824704966773171E-2</v>
      </c>
      <c r="C31" s="20">
        <f>B31*($B$2-SUM($H$5:H30))</f>
        <v>482780.1291253239</v>
      </c>
      <c r="D31" s="15">
        <f t="shared" si="0"/>
        <v>3.117529503322683E-2</v>
      </c>
      <c r="E31" s="20">
        <f>D31*($B$2-SUM($H$5:H30))</f>
        <v>235814.84582649768</v>
      </c>
      <c r="F31" s="19">
        <f t="shared" si="1"/>
        <v>1.5133991837501526E-9</v>
      </c>
      <c r="H31" s="21">
        <f>GNMA!H53+GNMA!G53</f>
        <v>1985913.2745433585</v>
      </c>
      <c r="I31" s="21">
        <f>GNMA!I53-GNMA!J53</f>
        <v>718594.9749518201</v>
      </c>
    </row>
    <row r="32" spans="1:9" x14ac:dyDescent="0.2">
      <c r="A32">
        <v>28</v>
      </c>
      <c r="B32">
        <v>6.4343857121438627E-2</v>
      </c>
      <c r="C32" s="20">
        <f>B32*($B$2-SUM($H$5:H31))</f>
        <v>358925.75786493771</v>
      </c>
      <c r="D32" s="15">
        <f t="shared" si="0"/>
        <v>3.0656142878561374E-2</v>
      </c>
      <c r="E32" s="20">
        <f>D32*($B$2-SUM($H$5:H31))</f>
        <v>171007.45600526468</v>
      </c>
      <c r="F32" s="19">
        <f t="shared" si="1"/>
        <v>1.3969838619232178E-9</v>
      </c>
      <c r="H32" s="21">
        <f>GNMA!H54+GNMA!G54</f>
        <v>1918848.6478378461</v>
      </c>
      <c r="I32" s="21">
        <f>GNMA!I54-GNMA!J54</f>
        <v>529933.21387020103</v>
      </c>
    </row>
    <row r="33" spans="1:9" x14ac:dyDescent="0.2">
      <c r="A33">
        <v>29</v>
      </c>
      <c r="B33">
        <v>6.514849509092617E-2</v>
      </c>
      <c r="C33" s="20">
        <f>B33*($B$2-SUM($H$5:H32))</f>
        <v>238404.12336338576</v>
      </c>
      <c r="D33" s="15">
        <f t="shared" si="0"/>
        <v>2.9851504909073831E-2</v>
      </c>
      <c r="E33" s="20">
        <f>D33*($B$2-SUM($H$5:H32))</f>
        <v>109238.46896222112</v>
      </c>
      <c r="F33" s="19">
        <f t="shared" si="1"/>
        <v>1.1641532182693481E-9</v>
      </c>
      <c r="H33" s="21">
        <f>GNMA!H55+GNMA!G55</f>
        <v>1857578.9645067439</v>
      </c>
      <c r="I33" s="21">
        <f>GNMA!I55-GNMA!J55</f>
        <v>347642.59232560568</v>
      </c>
    </row>
    <row r="34" spans="1:9" x14ac:dyDescent="0.2">
      <c r="A34">
        <v>30</v>
      </c>
      <c r="B34">
        <v>6.5709320428048501E-2</v>
      </c>
      <c r="C34" s="20">
        <f>B34*($B$2-SUM($H$5:H33))</f>
        <v>118396.15379619991</v>
      </c>
      <c r="D34" s="15">
        <f t="shared" si="0"/>
        <v>2.92906795719515E-2</v>
      </c>
      <c r="E34" s="20">
        <f>D34*($B$2-SUM($H$5:H33))</f>
        <v>52776.436901266155</v>
      </c>
      <c r="F34" s="19">
        <f t="shared" si="1"/>
        <v>1.076841726899147E-9</v>
      </c>
      <c r="H34" s="21">
        <f>GNMA!H56+GNMA!G56</f>
        <v>1801816.7441838414</v>
      </c>
      <c r="I34" s="21">
        <f>GNMA!I56-GNMA!J56</f>
        <v>171172.590697465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6"/>
  <sheetViews>
    <sheetView topLeftCell="M16" workbookViewId="0">
      <selection activeCell="A67" sqref="A67"/>
    </sheetView>
  </sheetViews>
  <sheetFormatPr defaultColWidth="17.7109375" defaultRowHeight="12.75" x14ac:dyDescent="0.2"/>
  <cols>
    <col min="5" max="5" width="21.5703125" customWidth="1"/>
    <col min="6" max="6" width="19" customWidth="1"/>
    <col min="12" max="12" width="20.28515625" customWidth="1"/>
    <col min="36" max="36" width="20.28515625" customWidth="1"/>
  </cols>
  <sheetData>
    <row r="1" spans="1:105" x14ac:dyDescent="0.2">
      <c r="A1" s="3" t="s">
        <v>1</v>
      </c>
    </row>
    <row r="3" spans="1:105" x14ac:dyDescent="0.2">
      <c r="A3" s="3" t="s">
        <v>2</v>
      </c>
      <c r="C3" s="2">
        <v>0.1</v>
      </c>
    </row>
    <row r="4" spans="1:105" x14ac:dyDescent="0.2">
      <c r="A4" s="3" t="s">
        <v>3</v>
      </c>
      <c r="C4" s="2">
        <v>1</v>
      </c>
    </row>
    <row r="5" spans="1:105" x14ac:dyDescent="0.2">
      <c r="A5" s="3" t="s">
        <v>28</v>
      </c>
      <c r="C5" s="2">
        <v>5.0000000000000001E-3</v>
      </c>
    </row>
    <row r="6" spans="1:105" x14ac:dyDescent="0.2">
      <c r="A6" s="3" t="s">
        <v>4</v>
      </c>
      <c r="C6" s="4">
        <v>100000000</v>
      </c>
    </row>
    <row r="7" spans="1:105" x14ac:dyDescent="0.2">
      <c r="A7" s="3" t="s">
        <v>59</v>
      </c>
      <c r="C7" s="4">
        <v>4000000</v>
      </c>
    </row>
    <row r="8" spans="1:105" x14ac:dyDescent="0.2">
      <c r="C8" s="4"/>
    </row>
    <row r="9" spans="1:105" x14ac:dyDescent="0.2">
      <c r="A9" s="3" t="s">
        <v>6</v>
      </c>
      <c r="C9" s="4">
        <v>30000000</v>
      </c>
    </row>
    <row r="10" spans="1:105" x14ac:dyDescent="0.2">
      <c r="A10" s="3" t="s">
        <v>7</v>
      </c>
      <c r="C10" s="2">
        <v>0.08</v>
      </c>
    </row>
    <row r="11" spans="1:105" x14ac:dyDescent="0.2">
      <c r="E11" s="3" t="s">
        <v>8</v>
      </c>
      <c r="BM11" s="1">
        <v>0.2</v>
      </c>
      <c r="BN11" s="1">
        <f t="shared" ref="BN11:CP11" si="0">0.2+BM11</f>
        <v>0.4</v>
      </c>
      <c r="BO11" s="1">
        <f t="shared" si="0"/>
        <v>0.60000000000000009</v>
      </c>
      <c r="BP11" s="1">
        <f t="shared" si="0"/>
        <v>0.8</v>
      </c>
      <c r="BQ11" s="1">
        <f t="shared" si="0"/>
        <v>1</v>
      </c>
      <c r="BR11" s="1">
        <f t="shared" si="0"/>
        <v>1.2</v>
      </c>
      <c r="BS11" s="1">
        <f t="shared" si="0"/>
        <v>1.4</v>
      </c>
      <c r="BT11" s="1">
        <f t="shared" si="0"/>
        <v>1.5999999999999999</v>
      </c>
      <c r="BU11" s="1">
        <f t="shared" si="0"/>
        <v>1.7999999999999998</v>
      </c>
      <c r="BV11" s="1">
        <f t="shared" si="0"/>
        <v>1.9999999999999998</v>
      </c>
      <c r="BW11" s="1">
        <f t="shared" si="0"/>
        <v>2.1999999999999997</v>
      </c>
      <c r="BX11" s="1">
        <f t="shared" si="0"/>
        <v>2.4</v>
      </c>
      <c r="BY11" s="1">
        <f t="shared" si="0"/>
        <v>2.6</v>
      </c>
      <c r="BZ11" s="1">
        <f t="shared" si="0"/>
        <v>2.8000000000000003</v>
      </c>
      <c r="CA11" s="1">
        <f t="shared" si="0"/>
        <v>3.0000000000000004</v>
      </c>
      <c r="CB11" s="1">
        <f t="shared" si="0"/>
        <v>3.2000000000000006</v>
      </c>
      <c r="CC11" s="1">
        <f t="shared" si="0"/>
        <v>3.4000000000000008</v>
      </c>
      <c r="CD11" s="1">
        <f t="shared" si="0"/>
        <v>3.600000000000001</v>
      </c>
      <c r="CE11" s="1">
        <f t="shared" si="0"/>
        <v>3.8000000000000012</v>
      </c>
      <c r="CF11" s="1">
        <f t="shared" si="0"/>
        <v>4.0000000000000009</v>
      </c>
      <c r="CG11" s="1">
        <f t="shared" si="0"/>
        <v>4.2000000000000011</v>
      </c>
      <c r="CH11" s="1">
        <f t="shared" si="0"/>
        <v>4.4000000000000012</v>
      </c>
      <c r="CI11" s="1">
        <f t="shared" si="0"/>
        <v>4.6000000000000014</v>
      </c>
      <c r="CJ11" s="1">
        <f t="shared" si="0"/>
        <v>4.8000000000000016</v>
      </c>
      <c r="CK11" s="1">
        <f t="shared" si="0"/>
        <v>5.0000000000000018</v>
      </c>
      <c r="CL11" s="1">
        <f t="shared" si="0"/>
        <v>5.200000000000002</v>
      </c>
      <c r="CM11" s="1">
        <f t="shared" si="0"/>
        <v>5.4000000000000021</v>
      </c>
      <c r="CN11" s="1">
        <f t="shared" si="0"/>
        <v>5.6000000000000023</v>
      </c>
      <c r="CO11" s="1">
        <f t="shared" si="0"/>
        <v>5.8000000000000025</v>
      </c>
      <c r="CP11" s="1">
        <f t="shared" si="0"/>
        <v>6.0000000000000027</v>
      </c>
      <c r="CQ11" s="1">
        <v>6</v>
      </c>
      <c r="CR11" s="1">
        <v>6</v>
      </c>
      <c r="CS11" s="1">
        <v>6</v>
      </c>
      <c r="CT11" s="1">
        <v>6</v>
      </c>
      <c r="CU11" s="1">
        <v>6</v>
      </c>
      <c r="CV11" s="1">
        <v>6</v>
      </c>
      <c r="CW11" s="1">
        <f>0.2+CV11</f>
        <v>6.2</v>
      </c>
      <c r="CX11" s="1">
        <f>0.2+CW11</f>
        <v>6.4</v>
      </c>
      <c r="CY11" s="1">
        <f>0.2+CX11</f>
        <v>6.6000000000000005</v>
      </c>
      <c r="CZ11" s="1">
        <f>0.2+CY11</f>
        <v>6.8000000000000007</v>
      </c>
      <c r="DA11" s="1">
        <f>0.2+CZ11</f>
        <v>7.0000000000000009</v>
      </c>
    </row>
    <row r="12" spans="1:105" x14ac:dyDescent="0.2">
      <c r="A12" s="3" t="s">
        <v>9</v>
      </c>
      <c r="C12" s="4">
        <v>30000000</v>
      </c>
      <c r="BM12" s="1">
        <v>1</v>
      </c>
      <c r="BN12" s="1">
        <f t="shared" ref="BN12:CV12" si="1">BM12+1</f>
        <v>2</v>
      </c>
      <c r="BO12" s="1">
        <f t="shared" si="1"/>
        <v>3</v>
      </c>
      <c r="BP12" s="1">
        <f t="shared" si="1"/>
        <v>4</v>
      </c>
      <c r="BQ12" s="1">
        <f t="shared" si="1"/>
        <v>5</v>
      </c>
      <c r="BR12" s="1">
        <f t="shared" si="1"/>
        <v>6</v>
      </c>
      <c r="BS12" s="1">
        <f t="shared" si="1"/>
        <v>7</v>
      </c>
      <c r="BT12" s="1">
        <f t="shared" si="1"/>
        <v>8</v>
      </c>
      <c r="BU12" s="1">
        <f t="shared" si="1"/>
        <v>9</v>
      </c>
      <c r="BV12" s="1">
        <f t="shared" si="1"/>
        <v>10</v>
      </c>
      <c r="BW12" s="1">
        <f t="shared" si="1"/>
        <v>11</v>
      </c>
      <c r="BX12" s="1">
        <f t="shared" si="1"/>
        <v>12</v>
      </c>
      <c r="BY12" s="1">
        <f t="shared" si="1"/>
        <v>13</v>
      </c>
      <c r="BZ12" s="1">
        <f t="shared" si="1"/>
        <v>14</v>
      </c>
      <c r="CA12" s="1">
        <f t="shared" si="1"/>
        <v>15</v>
      </c>
      <c r="CB12" s="1">
        <f t="shared" si="1"/>
        <v>16</v>
      </c>
      <c r="CC12" s="1">
        <f t="shared" si="1"/>
        <v>17</v>
      </c>
      <c r="CD12" s="1">
        <f t="shared" si="1"/>
        <v>18</v>
      </c>
      <c r="CE12" s="1">
        <f t="shared" si="1"/>
        <v>19</v>
      </c>
      <c r="CF12" s="1">
        <f t="shared" si="1"/>
        <v>20</v>
      </c>
      <c r="CG12" s="1">
        <f t="shared" si="1"/>
        <v>21</v>
      </c>
      <c r="CH12" s="1">
        <f t="shared" si="1"/>
        <v>22</v>
      </c>
      <c r="CI12" s="1">
        <f t="shared" si="1"/>
        <v>23</v>
      </c>
      <c r="CJ12" s="1">
        <f t="shared" si="1"/>
        <v>24</v>
      </c>
      <c r="CK12" s="1">
        <f t="shared" si="1"/>
        <v>25</v>
      </c>
      <c r="CL12" s="1">
        <f t="shared" si="1"/>
        <v>26</v>
      </c>
      <c r="CM12" s="1">
        <f t="shared" si="1"/>
        <v>27</v>
      </c>
      <c r="CN12" s="1">
        <f t="shared" si="1"/>
        <v>28</v>
      </c>
      <c r="CO12" s="1">
        <f t="shared" si="1"/>
        <v>29</v>
      </c>
      <c r="CP12" s="1">
        <f t="shared" si="1"/>
        <v>30</v>
      </c>
      <c r="CQ12" s="1">
        <f t="shared" si="1"/>
        <v>31</v>
      </c>
      <c r="CR12" s="1">
        <f t="shared" si="1"/>
        <v>32</v>
      </c>
      <c r="CS12" s="1">
        <f t="shared" si="1"/>
        <v>33</v>
      </c>
      <c r="CT12" s="1">
        <f t="shared" si="1"/>
        <v>34</v>
      </c>
      <c r="CU12" s="1">
        <f t="shared" si="1"/>
        <v>35</v>
      </c>
      <c r="CV12" s="1">
        <f t="shared" si="1"/>
        <v>36</v>
      </c>
    </row>
    <row r="13" spans="1:105" x14ac:dyDescent="0.2">
      <c r="A13" s="3" t="s">
        <v>10</v>
      </c>
      <c r="C13" s="2">
        <v>8.2500000000000004E-2</v>
      </c>
      <c r="BM13" s="1">
        <f>SUM(BM1:BX11)/12</f>
        <v>1.3</v>
      </c>
      <c r="BY13" s="1">
        <f>SUM(BY11:CJ11)/12</f>
        <v>3.7000000000000006</v>
      </c>
      <c r="CK13" s="1">
        <f>SUM(CK11:CV11)/12</f>
        <v>5.75</v>
      </c>
    </row>
    <row r="15" spans="1:105" x14ac:dyDescent="0.2">
      <c r="A15" s="3" t="s">
        <v>11</v>
      </c>
      <c r="C15" s="4">
        <v>25000000</v>
      </c>
    </row>
    <row r="16" spans="1:105" x14ac:dyDescent="0.2">
      <c r="A16" s="3" t="s">
        <v>12</v>
      </c>
      <c r="C16" s="2">
        <v>8.5000000000000006E-2</v>
      </c>
    </row>
    <row r="18" spans="1:41" x14ac:dyDescent="0.2">
      <c r="A18" s="3" t="s">
        <v>13</v>
      </c>
      <c r="C18" s="4">
        <v>15000000</v>
      </c>
    </row>
    <row r="19" spans="1:41" x14ac:dyDescent="0.2">
      <c r="A19" s="3" t="s">
        <v>14</v>
      </c>
      <c r="C19" s="2">
        <v>0.09</v>
      </c>
    </row>
    <row r="22" spans="1:41" x14ac:dyDescent="0.2">
      <c r="B22" s="3" t="s">
        <v>15</v>
      </c>
      <c r="M22" s="3" t="s">
        <v>30</v>
      </c>
      <c r="S22" s="3" t="s">
        <v>31</v>
      </c>
      <c r="Y22" s="3" t="s">
        <v>32</v>
      </c>
      <c r="AE22" s="3" t="s">
        <v>33</v>
      </c>
      <c r="AN22" s="3" t="s">
        <v>34</v>
      </c>
    </row>
    <row r="23" spans="1:41" x14ac:dyDescent="0.2">
      <c r="H23" s="5" t="s">
        <v>35</v>
      </c>
      <c r="I23" s="5"/>
      <c r="J23" s="5"/>
      <c r="L23" s="3" t="s">
        <v>16</v>
      </c>
      <c r="AH23" s="5" t="s">
        <v>36</v>
      </c>
      <c r="AJ23" s="5" t="s">
        <v>37</v>
      </c>
      <c r="AL23" s="5" t="s">
        <v>36</v>
      </c>
      <c r="AM23" s="5" t="s">
        <v>38</v>
      </c>
      <c r="AN23" s="5" t="s">
        <v>39</v>
      </c>
    </row>
    <row r="24" spans="1:41" x14ac:dyDescent="0.2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40</v>
      </c>
      <c r="F24" s="5" t="s">
        <v>41</v>
      </c>
      <c r="G24" s="5" t="s">
        <v>42</v>
      </c>
      <c r="H24" s="5" t="s">
        <v>43</v>
      </c>
      <c r="I24" s="5" t="s">
        <v>28</v>
      </c>
      <c r="J24" s="5" t="s">
        <v>50</v>
      </c>
      <c r="K24" s="5" t="s">
        <v>29</v>
      </c>
      <c r="L24" s="3" t="s">
        <v>21</v>
      </c>
      <c r="M24" s="5" t="s">
        <v>18</v>
      </c>
      <c r="N24" s="5" t="s">
        <v>19</v>
      </c>
      <c r="O24" s="3" t="s">
        <v>44</v>
      </c>
      <c r="P24" s="3" t="s">
        <v>45</v>
      </c>
      <c r="R24" s="3" t="s">
        <v>38</v>
      </c>
      <c r="S24" s="5" t="s">
        <v>18</v>
      </c>
      <c r="T24" s="5" t="s">
        <v>19</v>
      </c>
      <c r="U24" s="3" t="s">
        <v>44</v>
      </c>
      <c r="V24" s="3" t="s">
        <v>45</v>
      </c>
      <c r="X24" s="3" t="s">
        <v>38</v>
      </c>
      <c r="Y24" s="5" t="s">
        <v>18</v>
      </c>
      <c r="Z24" s="5" t="s">
        <v>19</v>
      </c>
      <c r="AA24" s="3" t="s">
        <v>44</v>
      </c>
      <c r="AB24" s="3" t="s">
        <v>45</v>
      </c>
      <c r="AD24" s="3" t="s">
        <v>38</v>
      </c>
      <c r="AE24" s="5" t="s">
        <v>18</v>
      </c>
      <c r="AF24" s="5" t="s">
        <v>19</v>
      </c>
      <c r="AG24" s="5" t="s">
        <v>44</v>
      </c>
      <c r="AH24" s="5" t="s">
        <v>46</v>
      </c>
      <c r="AI24" s="3" t="s">
        <v>47</v>
      </c>
      <c r="AJ24" s="5" t="s">
        <v>47</v>
      </c>
      <c r="AK24" s="5" t="s">
        <v>42</v>
      </c>
      <c r="AL24" s="5" t="s">
        <v>48</v>
      </c>
      <c r="AM24" s="5" t="s">
        <v>49</v>
      </c>
      <c r="AN24" s="5" t="s">
        <v>41</v>
      </c>
      <c r="AO24" s="5" t="s">
        <v>38</v>
      </c>
    </row>
    <row r="25" spans="1:41" x14ac:dyDescent="0.2">
      <c r="P25" s="3" t="s">
        <v>41</v>
      </c>
      <c r="Q25" s="3" t="s">
        <v>50</v>
      </c>
      <c r="R25" s="3" t="s">
        <v>41</v>
      </c>
      <c r="V25" s="3" t="s">
        <v>41</v>
      </c>
      <c r="W25" s="3" t="s">
        <v>50</v>
      </c>
      <c r="X25" s="3" t="s">
        <v>41</v>
      </c>
      <c r="AB25" s="3" t="s">
        <v>41</v>
      </c>
      <c r="AC25" s="3" t="s">
        <v>50</v>
      </c>
      <c r="AD25" s="3" t="s">
        <v>41</v>
      </c>
    </row>
    <row r="26" spans="1:41" x14ac:dyDescent="0.2">
      <c r="A26" s="6">
        <v>0</v>
      </c>
      <c r="B26" s="7">
        <f t="shared" ref="B26:B55" si="2">1/(1+$C$3)*B27</f>
        <v>5.7308553301168033E-2</v>
      </c>
      <c r="C26" s="7">
        <f t="shared" ref="C26:C56" si="3">1/$C$3*(1-B26)</f>
        <v>9.42691446698832</v>
      </c>
      <c r="D26" s="8">
        <v>0</v>
      </c>
      <c r="E26" s="9">
        <f>C6+C7</f>
        <v>104000000</v>
      </c>
      <c r="F26" s="9"/>
      <c r="G26" s="9"/>
      <c r="H26" s="9"/>
      <c r="I26" s="9"/>
      <c r="J26" s="9"/>
      <c r="K26" s="9"/>
      <c r="L26" s="9">
        <f t="shared" ref="L26:L56" si="4">MAXA(0,+E26-$C$7)</f>
        <v>100000000</v>
      </c>
      <c r="M26" s="7">
        <f t="shared" ref="M26:M55" si="5">1/(1+$C$10)*M27</f>
        <v>9.9377332549801009E-2</v>
      </c>
      <c r="N26" s="7">
        <f t="shared" ref="N26:N56" si="6">1/$C$10*(1-M26)</f>
        <v>11.257783343127487</v>
      </c>
      <c r="O26" s="9">
        <f>C9</f>
        <v>30000000</v>
      </c>
      <c r="P26" s="9"/>
      <c r="Q26" s="9"/>
      <c r="R26" s="9"/>
      <c r="S26" s="7">
        <f t="shared" ref="S26:S55" si="7">1/(1+$C$13)*S27</f>
        <v>9.2717742584340859E-2</v>
      </c>
      <c r="T26" s="7">
        <f t="shared" ref="T26:T56" si="8">1/$C$13*(1-S26)</f>
        <v>10.997360695947384</v>
      </c>
      <c r="U26" s="9">
        <f>C12</f>
        <v>30000000</v>
      </c>
      <c r="V26" s="9"/>
      <c r="W26" s="9"/>
      <c r="X26" s="9"/>
      <c r="Y26" s="7">
        <f t="shared" ref="Y26:Y55" si="9">1/(1+$C$16)*Y27</f>
        <v>8.6518275511325987E-2</v>
      </c>
      <c r="Z26" s="7">
        <f t="shared" ref="Z26:Z56" si="10">1/$C$16*(1-Y26)</f>
        <v>10.746843817513811</v>
      </c>
      <c r="AA26" s="9">
        <f>C15</f>
        <v>25000000</v>
      </c>
      <c r="AB26" s="9"/>
      <c r="AC26" s="9"/>
      <c r="AD26" s="9"/>
      <c r="AE26" s="7">
        <f t="shared" ref="AE26:AE55" si="11">1/(1+$C$19)*AE27</f>
        <v>7.5371136128043165E-2</v>
      </c>
      <c r="AF26" s="7">
        <f t="shared" ref="AF26:AF56" si="12">1/$C$19*(1-AE26)</f>
        <v>10.273654043021743</v>
      </c>
      <c r="AG26" s="9">
        <f>C18</f>
        <v>15000000</v>
      </c>
      <c r="AH26" s="9"/>
      <c r="AI26" s="9"/>
      <c r="AJ26" s="9"/>
      <c r="AK26" s="9"/>
      <c r="AL26" s="9">
        <v>0</v>
      </c>
      <c r="AM26" s="9"/>
      <c r="AN26" s="9">
        <f>-C7</f>
        <v>-4000000</v>
      </c>
      <c r="AO26" s="9"/>
    </row>
    <row r="27" spans="1:41" x14ac:dyDescent="0.2">
      <c r="A27" s="6">
        <f t="shared" ref="A27:A56" si="13">A26+1</f>
        <v>1</v>
      </c>
      <c r="B27" s="7">
        <f t="shared" si="2"/>
        <v>6.3039408631284835E-2</v>
      </c>
      <c r="C27" s="7">
        <f t="shared" si="3"/>
        <v>9.3696059136871508</v>
      </c>
      <c r="D27" s="8">
        <f>0.012*C4</f>
        <v>1.2E-2</v>
      </c>
      <c r="E27" s="9">
        <f t="shared" ref="E27:E56" si="14">E26-H27-G27</f>
        <v>101613585.08354536</v>
      </c>
      <c r="F27" s="9">
        <f t="shared" ref="F27:F56" si="15">E26/C26</f>
        <v>11032241.818273926</v>
      </c>
      <c r="G27" s="9">
        <f t="shared" ref="G27:G56" si="16">(E26-H27)*D27</f>
        <v>1234173.0981807129</v>
      </c>
      <c r="H27" s="9">
        <f t="shared" ref="H27:H56" si="17">F27-K27</f>
        <v>1152241.8182739262</v>
      </c>
      <c r="I27" s="9">
        <f>E26*$C$5</f>
        <v>520000</v>
      </c>
      <c r="J27" s="9">
        <f>E26*C$3</f>
        <v>10400000</v>
      </c>
      <c r="K27" s="9">
        <f>J27-I27</f>
        <v>9880000</v>
      </c>
      <c r="L27" s="9">
        <f t="shared" si="4"/>
        <v>97613585.083545357</v>
      </c>
      <c r="M27" s="7">
        <f t="shared" si="5"/>
        <v>0.10732751915378511</v>
      </c>
      <c r="N27" s="7">
        <f t="shared" si="6"/>
        <v>11.158406010577686</v>
      </c>
      <c r="O27" s="9">
        <f t="shared" ref="O27:O56" si="18">O26-P27</f>
        <v>26263585.083545361</v>
      </c>
      <c r="P27" s="9">
        <f t="shared" ref="P27:P56" si="19">MAXA(0,MINA(G27+H27+AH27,O26))</f>
        <v>3736414.9164546393</v>
      </c>
      <c r="Q27" s="9">
        <f t="shared" ref="Q27:Q56" si="20">O26*$C$10</f>
        <v>2400000</v>
      </c>
      <c r="R27" s="9">
        <f t="shared" ref="R27:R56" si="21">P27+Q27</f>
        <v>6136414.9164546393</v>
      </c>
      <c r="S27" s="7">
        <f t="shared" si="7"/>
        <v>0.10036695634754898</v>
      </c>
      <c r="T27" s="7">
        <f t="shared" si="8"/>
        <v>10.904642953363043</v>
      </c>
      <c r="U27" s="9">
        <f t="shared" ref="U27:U56" si="22">U26-V27</f>
        <v>30000000</v>
      </c>
      <c r="V27" s="9">
        <f t="shared" ref="V27:V56" si="23">MAXA(0,MINA(G27+H27+AH27-P27,U26))</f>
        <v>0</v>
      </c>
      <c r="W27" s="9">
        <f t="shared" ref="W27:W56" si="24">U26*$C$13</f>
        <v>2475000</v>
      </c>
      <c r="X27" s="9">
        <f t="shared" ref="X27:X56" si="25">V27+W27</f>
        <v>2475000</v>
      </c>
      <c r="Y27" s="7">
        <f t="shared" si="9"/>
        <v>9.3872328929788695E-2</v>
      </c>
      <c r="Z27" s="7">
        <f t="shared" si="10"/>
        <v>10.660325542002486</v>
      </c>
      <c r="AA27" s="9">
        <f t="shared" ref="AA27:AA56" si="26">AA26-AB27</f>
        <v>25000000</v>
      </c>
      <c r="AB27" s="9">
        <f t="shared" ref="AB27:AB56" si="27">MAXA(0,MINA(+G27+H27+AH27-P27-V27,AA26))</f>
        <v>0</v>
      </c>
      <c r="AC27" s="9">
        <f t="shared" ref="AC27:AC56" si="28">AA26*$C$16</f>
        <v>2125000</v>
      </c>
      <c r="AD27" s="9">
        <f t="shared" ref="AD27:AD56" si="29">AB27+AC27</f>
        <v>2125000</v>
      </c>
      <c r="AE27" s="7">
        <f t="shared" si="11"/>
        <v>8.2154538379567058E-2</v>
      </c>
      <c r="AF27" s="7">
        <f t="shared" si="12"/>
        <v>10.198282906893699</v>
      </c>
      <c r="AG27" s="9">
        <f t="shared" ref="AG27:AG56" si="30">AG26+AI27</f>
        <v>16350000</v>
      </c>
      <c r="AH27" s="9">
        <f t="shared" ref="AH27:AH56" si="31">AG26*$C$19</f>
        <v>1350000</v>
      </c>
      <c r="AI27" s="9">
        <f t="shared" ref="AI27:AI56" si="32">AG26*$C$19-AL27-AK27+AN27-AN27</f>
        <v>1350000</v>
      </c>
      <c r="AJ27" s="9">
        <f t="shared" ref="AJ27:AJ56" si="33">AI27+AJ26</f>
        <v>1350000</v>
      </c>
      <c r="AK27" s="9">
        <f t="shared" ref="AK27:AK56" si="34">IF(AA27&gt;0,0,MINA(G27+H27-AB27,AG26))</f>
        <v>0</v>
      </c>
      <c r="AL27" s="9">
        <f t="shared" ref="AL27:AL56" si="35">IF(AA27&gt;0,0,+AG26*$C$19)</f>
        <v>0</v>
      </c>
      <c r="AM27" s="9">
        <f t="shared" ref="AM27:AM56" si="36">AK27+AL27</f>
        <v>0</v>
      </c>
      <c r="AN27" s="9"/>
      <c r="AO27" s="9">
        <f>G27+H27+K27-R27-X27-AD27-AM27</f>
        <v>1530000</v>
      </c>
    </row>
    <row r="28" spans="1:41" x14ac:dyDescent="0.2">
      <c r="A28" s="6">
        <f t="shared" si="13"/>
        <v>2</v>
      </c>
      <c r="B28" s="7">
        <f t="shared" si="2"/>
        <v>6.9343349494413314E-2</v>
      </c>
      <c r="C28" s="7">
        <f t="shared" si="3"/>
        <v>9.3065665050558657</v>
      </c>
      <c r="D28" s="8">
        <f>0.036*C4</f>
        <v>3.5999999999999997E-2</v>
      </c>
      <c r="E28" s="9">
        <f t="shared" si="14"/>
        <v>96806666.644527823</v>
      </c>
      <c r="F28" s="9">
        <f t="shared" si="15"/>
        <v>10845022.300789395</v>
      </c>
      <c r="G28" s="9">
        <f t="shared" si="16"/>
        <v>3615186.7211649395</v>
      </c>
      <c r="H28" s="9">
        <f t="shared" si="17"/>
        <v>1191731.717852585</v>
      </c>
      <c r="I28" s="9">
        <f t="shared" ref="I28:I56" si="37">E27*$C$5</f>
        <v>508067.9254177268</v>
      </c>
      <c r="J28" s="9">
        <f t="shared" ref="J28:J56" si="38">E27*C$3</f>
        <v>10161358.508354537</v>
      </c>
      <c r="K28" s="9">
        <f t="shared" ref="K28:K56" si="39">J28-I28</f>
        <v>9653290.5829368103</v>
      </c>
      <c r="L28" s="9">
        <f t="shared" si="4"/>
        <v>92806666.644527823</v>
      </c>
      <c r="M28" s="7">
        <f t="shared" si="5"/>
        <v>0.11591372068608792</v>
      </c>
      <c r="N28" s="7">
        <f t="shared" si="6"/>
        <v>11.051078491423901</v>
      </c>
      <c r="O28" s="9">
        <f t="shared" si="18"/>
        <v>19985166.644527838</v>
      </c>
      <c r="P28" s="9">
        <f t="shared" si="19"/>
        <v>6278418.4390175249</v>
      </c>
      <c r="Q28" s="9">
        <f t="shared" si="20"/>
        <v>2101086.8066836288</v>
      </c>
      <c r="R28" s="9">
        <f t="shared" si="21"/>
        <v>8379505.2457011538</v>
      </c>
      <c r="S28" s="7">
        <f t="shared" si="7"/>
        <v>0.10864723024622178</v>
      </c>
      <c r="T28" s="7">
        <f t="shared" si="8"/>
        <v>10.804275997015493</v>
      </c>
      <c r="U28" s="9">
        <f t="shared" si="22"/>
        <v>30000000</v>
      </c>
      <c r="V28" s="9">
        <f t="shared" si="23"/>
        <v>0</v>
      </c>
      <c r="W28" s="9">
        <f t="shared" si="24"/>
        <v>2475000</v>
      </c>
      <c r="X28" s="9">
        <f t="shared" si="25"/>
        <v>2475000</v>
      </c>
      <c r="Y28" s="7">
        <f t="shared" si="9"/>
        <v>0.10185147688882074</v>
      </c>
      <c r="Z28" s="7">
        <f t="shared" si="10"/>
        <v>10.566453213072696</v>
      </c>
      <c r="AA28" s="9">
        <f t="shared" si="26"/>
        <v>25000000</v>
      </c>
      <c r="AB28" s="9">
        <f t="shared" si="27"/>
        <v>0</v>
      </c>
      <c r="AC28" s="9">
        <f t="shared" si="28"/>
        <v>2125000</v>
      </c>
      <c r="AD28" s="9">
        <f t="shared" si="29"/>
        <v>2125000</v>
      </c>
      <c r="AE28" s="7">
        <f t="shared" si="11"/>
        <v>8.9548446833728104E-2</v>
      </c>
      <c r="AF28" s="7">
        <f t="shared" si="12"/>
        <v>10.116128368514133</v>
      </c>
      <c r="AG28" s="9">
        <f t="shared" si="30"/>
        <v>17821500</v>
      </c>
      <c r="AH28" s="9">
        <f t="shared" si="31"/>
        <v>1471500</v>
      </c>
      <c r="AI28" s="9">
        <f t="shared" si="32"/>
        <v>1471500</v>
      </c>
      <c r="AJ28" s="9">
        <f t="shared" si="33"/>
        <v>2821500</v>
      </c>
      <c r="AK28" s="9">
        <f t="shared" si="34"/>
        <v>0</v>
      </c>
      <c r="AL28" s="9">
        <f t="shared" si="35"/>
        <v>0</v>
      </c>
      <c r="AM28" s="9">
        <f t="shared" si="36"/>
        <v>0</v>
      </c>
      <c r="AN28" s="9"/>
      <c r="AO28" s="9">
        <f t="shared" ref="AO28:AO56" si="40">G28+H28+K28-R28-X28-AD28-AM28</f>
        <v>1480703.7762531815</v>
      </c>
    </row>
    <row r="29" spans="1:41" x14ac:dyDescent="0.2">
      <c r="A29" s="6">
        <f t="shared" si="13"/>
        <v>3</v>
      </c>
      <c r="B29" s="7">
        <f t="shared" si="2"/>
        <v>7.6277684443854646E-2</v>
      </c>
      <c r="C29" s="7">
        <f t="shared" si="3"/>
        <v>9.2372231555614537</v>
      </c>
      <c r="D29" s="8">
        <f>0.0575*C4</f>
        <v>5.7500000000000002E-2</v>
      </c>
      <c r="E29" s="9">
        <f t="shared" si="14"/>
        <v>90104249.344311744</v>
      </c>
      <c r="F29" s="9">
        <f t="shared" si="15"/>
        <v>10401974.411501475</v>
      </c>
      <c r="G29" s="9">
        <f t="shared" si="16"/>
        <v>5497076.2199447481</v>
      </c>
      <c r="H29" s="9">
        <f t="shared" si="17"/>
        <v>1205341.0802713316</v>
      </c>
      <c r="I29" s="9">
        <f t="shared" si="37"/>
        <v>484033.33322263911</v>
      </c>
      <c r="J29" s="9">
        <f t="shared" si="38"/>
        <v>9680666.6644527819</v>
      </c>
      <c r="K29" s="9">
        <f t="shared" si="39"/>
        <v>9196633.3312301431</v>
      </c>
      <c r="L29" s="9">
        <f t="shared" si="4"/>
        <v>86104249.344311744</v>
      </c>
      <c r="M29" s="7">
        <f t="shared" si="5"/>
        <v>0.12518681834097498</v>
      </c>
      <c r="N29" s="7">
        <f t="shared" si="6"/>
        <v>10.935164770737812</v>
      </c>
      <c r="O29" s="9">
        <f t="shared" si="18"/>
        <v>11678814.344311759</v>
      </c>
      <c r="P29" s="9">
        <f t="shared" si="19"/>
        <v>8306352.3002160797</v>
      </c>
      <c r="Q29" s="9">
        <f t="shared" si="20"/>
        <v>1598813.3315622271</v>
      </c>
      <c r="R29" s="9">
        <f t="shared" si="21"/>
        <v>9905165.6317783073</v>
      </c>
      <c r="S29" s="7">
        <f t="shared" si="7"/>
        <v>0.11761062674153508</v>
      </c>
      <c r="T29" s="7">
        <f t="shared" si="8"/>
        <v>10.695628766769271</v>
      </c>
      <c r="U29" s="9">
        <f t="shared" si="22"/>
        <v>30000000</v>
      </c>
      <c r="V29" s="9">
        <f t="shared" si="23"/>
        <v>0</v>
      </c>
      <c r="W29" s="9">
        <f t="shared" si="24"/>
        <v>2475000</v>
      </c>
      <c r="X29" s="9">
        <f t="shared" si="25"/>
        <v>2475000</v>
      </c>
      <c r="Y29" s="7">
        <f t="shared" si="9"/>
        <v>0.1105088524243705</v>
      </c>
      <c r="Z29" s="7">
        <f t="shared" si="10"/>
        <v>10.464601736183877</v>
      </c>
      <c r="AA29" s="9">
        <f t="shared" si="26"/>
        <v>25000000</v>
      </c>
      <c r="AB29" s="9">
        <f t="shared" si="27"/>
        <v>0</v>
      </c>
      <c r="AC29" s="9">
        <f t="shared" si="28"/>
        <v>2125000</v>
      </c>
      <c r="AD29" s="9">
        <f t="shared" si="29"/>
        <v>2125000</v>
      </c>
      <c r="AE29" s="7">
        <f t="shared" si="11"/>
        <v>9.7607807048763637E-2</v>
      </c>
      <c r="AF29" s="7">
        <f t="shared" si="12"/>
        <v>10.026579921680405</v>
      </c>
      <c r="AG29" s="9">
        <f t="shared" si="30"/>
        <v>19425435</v>
      </c>
      <c r="AH29" s="9">
        <f t="shared" si="31"/>
        <v>1603935</v>
      </c>
      <c r="AI29" s="9">
        <f t="shared" si="32"/>
        <v>1603935</v>
      </c>
      <c r="AJ29" s="9">
        <f t="shared" si="33"/>
        <v>4425435</v>
      </c>
      <c r="AK29" s="9">
        <f t="shared" si="34"/>
        <v>0</v>
      </c>
      <c r="AL29" s="9">
        <f t="shared" si="35"/>
        <v>0</v>
      </c>
      <c r="AM29" s="9">
        <f t="shared" si="36"/>
        <v>0</v>
      </c>
      <c r="AN29" s="9"/>
      <c r="AO29" s="9">
        <f t="shared" si="40"/>
        <v>1393884.9996679164</v>
      </c>
    </row>
    <row r="30" spans="1:41" x14ac:dyDescent="0.2">
      <c r="A30" s="6">
        <f t="shared" si="13"/>
        <v>4</v>
      </c>
      <c r="B30" s="7">
        <f t="shared" si="2"/>
        <v>8.3905452888240112E-2</v>
      </c>
      <c r="C30" s="7">
        <f t="shared" si="3"/>
        <v>9.1609454711175982</v>
      </c>
      <c r="D30" s="8">
        <f>0.06*C4</f>
        <v>0.06</v>
      </c>
      <c r="E30" s="9">
        <f t="shared" si="14"/>
        <v>83575098.672604829</v>
      </c>
      <c r="F30" s="9">
        <f t="shared" si="15"/>
        <v>9754473.5930800475</v>
      </c>
      <c r="G30" s="9">
        <f t="shared" si="16"/>
        <v>5334580.7663364783</v>
      </c>
      <c r="H30" s="9">
        <f t="shared" si="17"/>
        <v>1194569.905370431</v>
      </c>
      <c r="I30" s="9">
        <f t="shared" si="37"/>
        <v>450521.24672155874</v>
      </c>
      <c r="J30" s="9">
        <f t="shared" si="38"/>
        <v>9010424.9344311748</v>
      </c>
      <c r="K30" s="9">
        <f t="shared" si="39"/>
        <v>8559903.6877096165</v>
      </c>
      <c r="L30" s="9">
        <f t="shared" si="4"/>
        <v>79575098.672604829</v>
      </c>
      <c r="M30" s="7">
        <f t="shared" si="5"/>
        <v>0.13520176380825299</v>
      </c>
      <c r="N30" s="7">
        <f t="shared" si="6"/>
        <v>10.809977952396837</v>
      </c>
      <c r="O30" s="9">
        <f t="shared" si="18"/>
        <v>3401374.5226048492</v>
      </c>
      <c r="P30" s="9">
        <f t="shared" si="19"/>
        <v>8277439.8217069097</v>
      </c>
      <c r="Q30" s="9">
        <f t="shared" si="20"/>
        <v>934305.1475449407</v>
      </c>
      <c r="R30" s="9">
        <f t="shared" si="21"/>
        <v>9211744.9692518506</v>
      </c>
      <c r="S30" s="7">
        <f t="shared" si="7"/>
        <v>0.12731350344771172</v>
      </c>
      <c r="T30" s="7">
        <f t="shared" si="8"/>
        <v>10.578018140027737</v>
      </c>
      <c r="U30" s="9">
        <f t="shared" si="22"/>
        <v>30000000</v>
      </c>
      <c r="V30" s="9">
        <f t="shared" si="23"/>
        <v>0</v>
      </c>
      <c r="W30" s="9">
        <f t="shared" si="24"/>
        <v>2475000</v>
      </c>
      <c r="X30" s="9">
        <f t="shared" si="25"/>
        <v>2475000</v>
      </c>
      <c r="Y30" s="7">
        <f t="shared" si="9"/>
        <v>0.11990210488044199</v>
      </c>
      <c r="Z30" s="7">
        <f t="shared" si="10"/>
        <v>10.354092883759506</v>
      </c>
      <c r="AA30" s="9">
        <f t="shared" si="26"/>
        <v>25000000</v>
      </c>
      <c r="AB30" s="9">
        <f t="shared" si="27"/>
        <v>0</v>
      </c>
      <c r="AC30" s="9">
        <f t="shared" si="28"/>
        <v>2125000</v>
      </c>
      <c r="AD30" s="9">
        <f t="shared" si="29"/>
        <v>2125000</v>
      </c>
      <c r="AE30" s="7">
        <f t="shared" si="11"/>
        <v>0.10639250968315236</v>
      </c>
      <c r="AF30" s="7">
        <f t="shared" si="12"/>
        <v>9.9289721146316392</v>
      </c>
      <c r="AG30" s="9">
        <f t="shared" si="30"/>
        <v>21173724.149999999</v>
      </c>
      <c r="AH30" s="9">
        <f t="shared" si="31"/>
        <v>1748289.15</v>
      </c>
      <c r="AI30" s="9">
        <f t="shared" si="32"/>
        <v>1748289.15</v>
      </c>
      <c r="AJ30" s="9">
        <f t="shared" si="33"/>
        <v>6173724.1500000004</v>
      </c>
      <c r="AK30" s="9">
        <f t="shared" si="34"/>
        <v>0</v>
      </c>
      <c r="AL30" s="9">
        <f t="shared" si="35"/>
        <v>0</v>
      </c>
      <c r="AM30" s="9">
        <f t="shared" si="36"/>
        <v>0</v>
      </c>
      <c r="AN30" s="9"/>
      <c r="AO30" s="9">
        <f t="shared" si="40"/>
        <v>1277309.3901646752</v>
      </c>
    </row>
    <row r="31" spans="1:41" x14ac:dyDescent="0.2">
      <c r="A31" s="6">
        <f t="shared" si="13"/>
        <v>5</v>
      </c>
      <c r="B31" s="7">
        <f t="shared" si="2"/>
        <v>9.2295998177064131E-2</v>
      </c>
      <c r="C31" s="7">
        <f t="shared" si="3"/>
        <v>9.0770400182293578</v>
      </c>
      <c r="D31" s="8">
        <f t="shared" ref="D31:D56" si="41">D30</f>
        <v>0.06</v>
      </c>
      <c r="E31" s="9">
        <f t="shared" si="14"/>
        <v>77448250.289553687</v>
      </c>
      <c r="F31" s="9">
        <f t="shared" si="15"/>
        <v>9122977.4193175063</v>
      </c>
      <c r="G31" s="9">
        <f t="shared" si="16"/>
        <v>4943505.3376310868</v>
      </c>
      <c r="H31" s="9">
        <f t="shared" si="17"/>
        <v>1183343.0454200469</v>
      </c>
      <c r="I31" s="9">
        <f t="shared" si="37"/>
        <v>417875.49336302414</v>
      </c>
      <c r="J31" s="9">
        <f t="shared" si="38"/>
        <v>8357509.8672604831</v>
      </c>
      <c r="K31" s="9">
        <f t="shared" si="39"/>
        <v>7939634.3738974594</v>
      </c>
      <c r="L31" s="9">
        <f t="shared" si="4"/>
        <v>73448250.289553687</v>
      </c>
      <c r="M31" s="7">
        <f t="shared" si="5"/>
        <v>0.14601790491291325</v>
      </c>
      <c r="N31" s="7">
        <f t="shared" si="6"/>
        <v>10.674776188588584</v>
      </c>
      <c r="O31" s="9">
        <f t="shared" si="18"/>
        <v>0</v>
      </c>
      <c r="P31" s="9">
        <f t="shared" si="19"/>
        <v>3401374.5226048492</v>
      </c>
      <c r="Q31" s="9">
        <f t="shared" si="20"/>
        <v>272109.96180838795</v>
      </c>
      <c r="R31" s="9">
        <f t="shared" si="21"/>
        <v>3673484.4844132373</v>
      </c>
      <c r="S31" s="7">
        <f t="shared" si="7"/>
        <v>0.13781686748214794</v>
      </c>
      <c r="T31" s="7">
        <f t="shared" si="8"/>
        <v>10.450704636580024</v>
      </c>
      <c r="U31" s="9">
        <f t="shared" si="22"/>
        <v>25368890.966053717</v>
      </c>
      <c r="V31" s="9">
        <f t="shared" si="23"/>
        <v>4631109.0339462841</v>
      </c>
      <c r="W31" s="9">
        <f t="shared" si="24"/>
        <v>2475000</v>
      </c>
      <c r="X31" s="9">
        <f t="shared" si="25"/>
        <v>7106109.0339462841</v>
      </c>
      <c r="Y31" s="7">
        <f t="shared" si="9"/>
        <v>0.13009378379527956</v>
      </c>
      <c r="Z31" s="7">
        <f t="shared" si="10"/>
        <v>10.234190778879062</v>
      </c>
      <c r="AA31" s="9">
        <f t="shared" si="26"/>
        <v>25000000</v>
      </c>
      <c r="AB31" s="9">
        <f t="shared" si="27"/>
        <v>0</v>
      </c>
      <c r="AC31" s="9">
        <f t="shared" si="28"/>
        <v>2125000</v>
      </c>
      <c r="AD31" s="9">
        <f t="shared" si="29"/>
        <v>2125000</v>
      </c>
      <c r="AE31" s="7">
        <f t="shared" si="11"/>
        <v>0.11596783555463608</v>
      </c>
      <c r="AF31" s="7">
        <f t="shared" si="12"/>
        <v>9.822579604948487</v>
      </c>
      <c r="AG31" s="9">
        <f t="shared" si="30"/>
        <v>23079359.3235</v>
      </c>
      <c r="AH31" s="9">
        <f t="shared" si="31"/>
        <v>1905635.1734999998</v>
      </c>
      <c r="AI31" s="9">
        <f t="shared" si="32"/>
        <v>1905635.1734999998</v>
      </c>
      <c r="AJ31" s="9">
        <f t="shared" si="33"/>
        <v>8079359.3234999999</v>
      </c>
      <c r="AK31" s="9">
        <f t="shared" si="34"/>
        <v>0</v>
      </c>
      <c r="AL31" s="9">
        <f t="shared" si="35"/>
        <v>0</v>
      </c>
      <c r="AM31" s="9">
        <f t="shared" si="36"/>
        <v>0</v>
      </c>
      <c r="AN31" s="9"/>
      <c r="AO31" s="9">
        <f t="shared" si="40"/>
        <v>1161889.2385890735</v>
      </c>
    </row>
    <row r="32" spans="1:41" x14ac:dyDescent="0.2">
      <c r="A32" s="6">
        <f t="shared" si="13"/>
        <v>6</v>
      </c>
      <c r="B32" s="7">
        <f t="shared" si="2"/>
        <v>0.10152559799477055</v>
      </c>
      <c r="C32" s="7">
        <f t="shared" si="3"/>
        <v>8.984744020052295</v>
      </c>
      <c r="D32" s="8">
        <f t="shared" si="41"/>
        <v>0.06</v>
      </c>
      <c r="E32" s="9">
        <f t="shared" si="14"/>
        <v>71697099.059880674</v>
      </c>
      <c r="F32" s="9">
        <f t="shared" si="15"/>
        <v>8532324.4288903531</v>
      </c>
      <c r="G32" s="9">
        <f t="shared" si="16"/>
        <v>4576410.5782902557</v>
      </c>
      <c r="H32" s="9">
        <f t="shared" si="17"/>
        <v>1174740.6513827518</v>
      </c>
      <c r="I32" s="9">
        <f t="shared" si="37"/>
        <v>387241.25144776842</v>
      </c>
      <c r="J32" s="9">
        <f t="shared" si="38"/>
        <v>7744825.0289553693</v>
      </c>
      <c r="K32" s="9">
        <f t="shared" si="39"/>
        <v>7357583.7775076013</v>
      </c>
      <c r="L32" s="9">
        <f t="shared" si="4"/>
        <v>67697099.059880674</v>
      </c>
      <c r="M32" s="7">
        <f t="shared" si="5"/>
        <v>0.15769933730594632</v>
      </c>
      <c r="N32" s="7">
        <f t="shared" si="6"/>
        <v>10.528758283675671</v>
      </c>
      <c r="O32" s="9">
        <f t="shared" si="18"/>
        <v>0</v>
      </c>
      <c r="P32" s="9">
        <f t="shared" si="19"/>
        <v>0</v>
      </c>
      <c r="Q32" s="9">
        <f t="shared" si="20"/>
        <v>0</v>
      </c>
      <c r="R32" s="9">
        <f t="shared" si="21"/>
        <v>0</v>
      </c>
      <c r="S32" s="7">
        <f t="shared" si="7"/>
        <v>0.14918675904942516</v>
      </c>
      <c r="T32" s="7">
        <f t="shared" si="8"/>
        <v>10.312887769097877</v>
      </c>
      <c r="U32" s="9">
        <f t="shared" si="22"/>
        <v>17540597.39726571</v>
      </c>
      <c r="V32" s="9">
        <f t="shared" si="23"/>
        <v>7828293.5687880069</v>
      </c>
      <c r="W32" s="9">
        <f t="shared" si="24"/>
        <v>2092933.5046994318</v>
      </c>
      <c r="X32" s="9">
        <f t="shared" si="25"/>
        <v>9921227.0734874383</v>
      </c>
      <c r="Y32" s="7">
        <f t="shared" si="9"/>
        <v>0.14115175541787831</v>
      </c>
      <c r="Z32" s="7">
        <f t="shared" si="10"/>
        <v>10.104096995083784</v>
      </c>
      <c r="AA32" s="9">
        <f t="shared" si="26"/>
        <v>25000000</v>
      </c>
      <c r="AB32" s="9">
        <f t="shared" si="27"/>
        <v>0</v>
      </c>
      <c r="AC32" s="9">
        <f t="shared" si="28"/>
        <v>2125000</v>
      </c>
      <c r="AD32" s="9">
        <f t="shared" si="29"/>
        <v>2125000</v>
      </c>
      <c r="AE32" s="7">
        <f t="shared" si="11"/>
        <v>0.12640494075455333</v>
      </c>
      <c r="AF32" s="7">
        <f t="shared" si="12"/>
        <v>9.7066117693938523</v>
      </c>
      <c r="AG32" s="9">
        <f t="shared" si="30"/>
        <v>25156501.662615001</v>
      </c>
      <c r="AH32" s="9">
        <f t="shared" si="31"/>
        <v>2077142.3391149999</v>
      </c>
      <c r="AI32" s="9">
        <f t="shared" si="32"/>
        <v>2077142.3391149999</v>
      </c>
      <c r="AJ32" s="9">
        <f t="shared" si="33"/>
        <v>10156501.662614999</v>
      </c>
      <c r="AK32" s="9">
        <f t="shared" si="34"/>
        <v>0</v>
      </c>
      <c r="AL32" s="9">
        <f t="shared" si="35"/>
        <v>0</v>
      </c>
      <c r="AM32" s="9">
        <f t="shared" si="36"/>
        <v>0</v>
      </c>
      <c r="AN32" s="9"/>
      <c r="AO32" s="9">
        <f t="shared" si="40"/>
        <v>1062507.9336931705</v>
      </c>
    </row>
    <row r="33" spans="1:41" x14ac:dyDescent="0.2">
      <c r="A33" s="6">
        <f t="shared" si="13"/>
        <v>7</v>
      </c>
      <c r="B33" s="7">
        <f t="shared" si="2"/>
        <v>0.11167815779424761</v>
      </c>
      <c r="C33" s="7">
        <f t="shared" si="3"/>
        <v>8.8832184220575243</v>
      </c>
      <c r="D33" s="8">
        <f t="shared" si="41"/>
        <v>0.06</v>
      </c>
      <c r="E33" s="9">
        <f t="shared" si="14"/>
        <v>66296745.237398826</v>
      </c>
      <c r="F33" s="9">
        <f t="shared" si="15"/>
        <v>7979871.090357827</v>
      </c>
      <c r="G33" s="9">
        <f t="shared" si="16"/>
        <v>4231707.1428126907</v>
      </c>
      <c r="H33" s="9">
        <f t="shared" si="17"/>
        <v>1168646.6796691632</v>
      </c>
      <c r="I33" s="9">
        <f t="shared" si="37"/>
        <v>358485.49529940338</v>
      </c>
      <c r="J33" s="9">
        <f t="shared" si="38"/>
        <v>7169709.9059880674</v>
      </c>
      <c r="K33" s="9">
        <f t="shared" si="39"/>
        <v>6811224.4106886638</v>
      </c>
      <c r="L33" s="9">
        <f t="shared" si="4"/>
        <v>62296745.237398826</v>
      </c>
      <c r="M33" s="7">
        <f t="shared" si="5"/>
        <v>0.17031528429042203</v>
      </c>
      <c r="N33" s="7">
        <f t="shared" si="6"/>
        <v>10.371058946369724</v>
      </c>
      <c r="O33" s="9">
        <f t="shared" si="18"/>
        <v>0</v>
      </c>
      <c r="P33" s="9">
        <f t="shared" si="19"/>
        <v>0</v>
      </c>
      <c r="Q33" s="9">
        <f t="shared" si="20"/>
        <v>0</v>
      </c>
      <c r="R33" s="9">
        <f t="shared" si="21"/>
        <v>0</v>
      </c>
      <c r="S33" s="7">
        <f t="shared" si="7"/>
        <v>0.16149466667100273</v>
      </c>
      <c r="T33" s="7">
        <f t="shared" si="8"/>
        <v>10.163701010048451</v>
      </c>
      <c r="U33" s="9">
        <f t="shared" si="22"/>
        <v>9876158.4251485057</v>
      </c>
      <c r="V33" s="9">
        <f t="shared" si="23"/>
        <v>7664438.9721172042</v>
      </c>
      <c r="W33" s="9">
        <f t="shared" si="24"/>
        <v>1447099.2852744211</v>
      </c>
      <c r="X33" s="9">
        <f t="shared" si="25"/>
        <v>9111538.257391626</v>
      </c>
      <c r="Y33" s="7">
        <f t="shared" si="9"/>
        <v>0.15314965462839797</v>
      </c>
      <c r="Z33" s="7">
        <f t="shared" si="10"/>
        <v>9.9629452396659062</v>
      </c>
      <c r="AA33" s="9">
        <f t="shared" si="26"/>
        <v>25000000</v>
      </c>
      <c r="AB33" s="9">
        <f t="shared" si="27"/>
        <v>0</v>
      </c>
      <c r="AC33" s="9">
        <f t="shared" si="28"/>
        <v>2125000</v>
      </c>
      <c r="AD33" s="9">
        <f t="shared" si="29"/>
        <v>2125000</v>
      </c>
      <c r="AE33" s="7">
        <f t="shared" si="11"/>
        <v>0.13778138542246313</v>
      </c>
      <c r="AF33" s="7">
        <f t="shared" si="12"/>
        <v>9.5802068286392981</v>
      </c>
      <c r="AG33" s="9">
        <f t="shared" si="30"/>
        <v>27420586.81225035</v>
      </c>
      <c r="AH33" s="9">
        <f t="shared" si="31"/>
        <v>2264085.1496353499</v>
      </c>
      <c r="AI33" s="9">
        <f t="shared" si="32"/>
        <v>2264085.1496353499</v>
      </c>
      <c r="AJ33" s="9">
        <f t="shared" si="33"/>
        <v>12420586.81225035</v>
      </c>
      <c r="AK33" s="9">
        <f t="shared" si="34"/>
        <v>0</v>
      </c>
      <c r="AL33" s="9">
        <f t="shared" si="35"/>
        <v>0</v>
      </c>
      <c r="AM33" s="9">
        <f t="shared" si="36"/>
        <v>0</v>
      </c>
      <c r="AN33" s="9"/>
      <c r="AO33" s="9">
        <f t="shared" si="40"/>
        <v>975039.97577889077</v>
      </c>
    </row>
    <row r="34" spans="1:41" x14ac:dyDescent="0.2">
      <c r="A34" s="6">
        <f t="shared" si="13"/>
        <v>8</v>
      </c>
      <c r="B34" s="7">
        <f t="shared" si="2"/>
        <v>0.12284597357367237</v>
      </c>
      <c r="C34" s="7">
        <f t="shared" si="3"/>
        <v>8.771540264263276</v>
      </c>
      <c r="D34" s="8">
        <f t="shared" si="41"/>
        <v>0.06</v>
      </c>
      <c r="E34" s="9">
        <f t="shared" si="14"/>
        <v>61223883.775292777</v>
      </c>
      <c r="F34" s="9">
        <f t="shared" si="15"/>
        <v>7463144.7846402526</v>
      </c>
      <c r="G34" s="9">
        <f t="shared" si="16"/>
        <v>3907907.4750186875</v>
      </c>
      <c r="H34" s="9">
        <f t="shared" si="17"/>
        <v>1164953.9870873643</v>
      </c>
      <c r="I34" s="9">
        <f t="shared" si="37"/>
        <v>331483.72618699411</v>
      </c>
      <c r="J34" s="9">
        <f t="shared" si="38"/>
        <v>6629674.5237398827</v>
      </c>
      <c r="K34" s="9">
        <f t="shared" si="39"/>
        <v>6298190.7975528883</v>
      </c>
      <c r="L34" s="9">
        <f t="shared" si="4"/>
        <v>57223883.775292777</v>
      </c>
      <c r="M34" s="7">
        <f t="shared" si="5"/>
        <v>0.1839405070336558</v>
      </c>
      <c r="N34" s="7">
        <f t="shared" si="6"/>
        <v>10.200743662079303</v>
      </c>
      <c r="O34" s="9">
        <f t="shared" si="18"/>
        <v>0</v>
      </c>
      <c r="P34" s="9">
        <f t="shared" si="19"/>
        <v>0</v>
      </c>
      <c r="Q34" s="9">
        <f t="shared" si="20"/>
        <v>0</v>
      </c>
      <c r="R34" s="9">
        <f t="shared" si="21"/>
        <v>0</v>
      </c>
      <c r="S34" s="7">
        <f t="shared" si="7"/>
        <v>0.17481797667136045</v>
      </c>
      <c r="T34" s="7">
        <f t="shared" si="8"/>
        <v>10.002206343377448</v>
      </c>
      <c r="U34" s="9">
        <f t="shared" si="22"/>
        <v>2335444.1499399226</v>
      </c>
      <c r="V34" s="9">
        <f t="shared" si="23"/>
        <v>7540714.2752085831</v>
      </c>
      <c r="W34" s="9">
        <f t="shared" si="24"/>
        <v>814783.07007475174</v>
      </c>
      <c r="X34" s="9">
        <f t="shared" si="25"/>
        <v>8355497.3452833351</v>
      </c>
      <c r="Y34" s="7">
        <f t="shared" si="9"/>
        <v>0.1661673752718118</v>
      </c>
      <c r="Z34" s="7">
        <f t="shared" si="10"/>
        <v>9.8097955850375076</v>
      </c>
      <c r="AA34" s="9">
        <f t="shared" si="26"/>
        <v>25000000</v>
      </c>
      <c r="AB34" s="9">
        <f t="shared" si="27"/>
        <v>0</v>
      </c>
      <c r="AC34" s="9">
        <f t="shared" si="28"/>
        <v>2125000</v>
      </c>
      <c r="AD34" s="9">
        <f t="shared" si="29"/>
        <v>2125000</v>
      </c>
      <c r="AE34" s="7">
        <f t="shared" si="11"/>
        <v>0.15018171011048481</v>
      </c>
      <c r="AF34" s="7">
        <f t="shared" si="12"/>
        <v>9.4424254432168357</v>
      </c>
      <c r="AG34" s="9">
        <f t="shared" si="30"/>
        <v>29888439.625352882</v>
      </c>
      <c r="AH34" s="9">
        <f t="shared" si="31"/>
        <v>2467852.8131025312</v>
      </c>
      <c r="AI34" s="9">
        <f t="shared" si="32"/>
        <v>2467852.8131025312</v>
      </c>
      <c r="AJ34" s="9">
        <f t="shared" si="33"/>
        <v>14888439.625352882</v>
      </c>
      <c r="AK34" s="9">
        <f t="shared" si="34"/>
        <v>0</v>
      </c>
      <c r="AL34" s="9">
        <f t="shared" si="35"/>
        <v>0</v>
      </c>
      <c r="AM34" s="9">
        <f t="shared" si="36"/>
        <v>0</v>
      </c>
      <c r="AN34" s="9"/>
      <c r="AO34" s="9">
        <f t="shared" si="40"/>
        <v>890554.91437560506</v>
      </c>
    </row>
    <row r="35" spans="1:41" x14ac:dyDescent="0.2">
      <c r="A35" s="6">
        <f t="shared" si="13"/>
        <v>9</v>
      </c>
      <c r="B35" s="7">
        <f t="shared" si="2"/>
        <v>0.13513057093103961</v>
      </c>
      <c r="C35" s="7">
        <f t="shared" si="3"/>
        <v>8.6486942906896029</v>
      </c>
      <c r="D35" s="8">
        <f t="shared" si="41"/>
        <v>0.06</v>
      </c>
      <c r="E35" s="9">
        <f t="shared" si="14"/>
        <v>56456700.809466273</v>
      </c>
      <c r="F35" s="9">
        <f t="shared" si="15"/>
        <v>6979832.7238750905</v>
      </c>
      <c r="G35" s="9">
        <f t="shared" si="16"/>
        <v>3603619.2006042302</v>
      </c>
      <c r="H35" s="9">
        <f t="shared" si="17"/>
        <v>1163563.7652222756</v>
      </c>
      <c r="I35" s="9">
        <f t="shared" si="37"/>
        <v>306119.4188764639</v>
      </c>
      <c r="J35" s="9">
        <f t="shared" si="38"/>
        <v>6122388.3775292784</v>
      </c>
      <c r="K35" s="9">
        <f t="shared" si="39"/>
        <v>5816268.9586528149</v>
      </c>
      <c r="L35" s="9">
        <f t="shared" si="4"/>
        <v>52456700.809466273</v>
      </c>
      <c r="M35" s="7">
        <f t="shared" si="5"/>
        <v>0.1986557475963483</v>
      </c>
      <c r="N35" s="7">
        <f t="shared" si="6"/>
        <v>10.016803155045647</v>
      </c>
      <c r="O35" s="9">
        <f t="shared" si="18"/>
        <v>0</v>
      </c>
      <c r="P35" s="9">
        <f t="shared" si="19"/>
        <v>0</v>
      </c>
      <c r="Q35" s="9">
        <f t="shared" si="20"/>
        <v>0</v>
      </c>
      <c r="R35" s="9">
        <f t="shared" si="21"/>
        <v>0</v>
      </c>
      <c r="S35" s="7">
        <f t="shared" si="7"/>
        <v>0.18924045974674769</v>
      </c>
      <c r="T35" s="7">
        <f t="shared" si="8"/>
        <v>9.8273883667060886</v>
      </c>
      <c r="U35" s="9">
        <f t="shared" si="22"/>
        <v>0</v>
      </c>
      <c r="V35" s="9">
        <f t="shared" si="23"/>
        <v>2335444.1499399226</v>
      </c>
      <c r="W35" s="9">
        <f t="shared" si="24"/>
        <v>192674.14237004361</v>
      </c>
      <c r="X35" s="9">
        <f t="shared" si="25"/>
        <v>2528118.2923099664</v>
      </c>
      <c r="Y35" s="7">
        <f t="shared" si="9"/>
        <v>0.1802916021699158</v>
      </c>
      <c r="Z35" s="7">
        <f t="shared" si="10"/>
        <v>9.643628209765696</v>
      </c>
      <c r="AA35" s="9">
        <f t="shared" si="26"/>
        <v>19878301.617831659</v>
      </c>
      <c r="AB35" s="9">
        <f t="shared" si="27"/>
        <v>5121698.3821683424</v>
      </c>
      <c r="AC35" s="9">
        <f t="shared" si="28"/>
        <v>2125000</v>
      </c>
      <c r="AD35" s="9">
        <f t="shared" si="29"/>
        <v>7246698.3821683424</v>
      </c>
      <c r="AE35" s="7">
        <f t="shared" si="11"/>
        <v>0.16369806402042844</v>
      </c>
      <c r="AF35" s="7">
        <f t="shared" si="12"/>
        <v>9.2922437331063499</v>
      </c>
      <c r="AG35" s="9">
        <f t="shared" si="30"/>
        <v>32578399.19163464</v>
      </c>
      <c r="AH35" s="9">
        <f t="shared" si="31"/>
        <v>2689959.5662817592</v>
      </c>
      <c r="AI35" s="9">
        <f t="shared" si="32"/>
        <v>2689959.5662817592</v>
      </c>
      <c r="AJ35" s="9">
        <f t="shared" si="33"/>
        <v>17578399.19163464</v>
      </c>
      <c r="AK35" s="9">
        <f t="shared" si="34"/>
        <v>0</v>
      </c>
      <c r="AL35" s="9">
        <f t="shared" si="35"/>
        <v>0</v>
      </c>
      <c r="AM35" s="9">
        <f t="shared" si="36"/>
        <v>0</v>
      </c>
      <c r="AN35" s="9"/>
      <c r="AO35" s="9">
        <f t="shared" si="40"/>
        <v>808635.25000101235</v>
      </c>
    </row>
    <row r="36" spans="1:41" x14ac:dyDescent="0.2">
      <c r="A36" s="6">
        <f t="shared" si="13"/>
        <v>10</v>
      </c>
      <c r="B36" s="7">
        <f t="shared" si="2"/>
        <v>0.14864362802414358</v>
      </c>
      <c r="C36" s="7">
        <f t="shared" si="3"/>
        <v>8.5135637197585652</v>
      </c>
      <c r="D36" s="8">
        <f t="shared" si="41"/>
        <v>0.06</v>
      </c>
      <c r="E36" s="9">
        <f t="shared" si="14"/>
        <v>51974776.856397413</v>
      </c>
      <c r="F36" s="9">
        <f t="shared" si="15"/>
        <v>6527771.5816874709</v>
      </c>
      <c r="G36" s="9">
        <f t="shared" si="16"/>
        <v>3317538.9482806856</v>
      </c>
      <c r="H36" s="9">
        <f t="shared" si="17"/>
        <v>1164385.0047881743</v>
      </c>
      <c r="I36" s="9">
        <f t="shared" si="37"/>
        <v>282283.50404733134</v>
      </c>
      <c r="J36" s="9">
        <f t="shared" si="38"/>
        <v>5645670.080946628</v>
      </c>
      <c r="K36" s="9">
        <f t="shared" si="39"/>
        <v>5363386.5768992966</v>
      </c>
      <c r="L36" s="9">
        <f t="shared" si="4"/>
        <v>47974776.856397413</v>
      </c>
      <c r="M36" s="7">
        <f t="shared" si="5"/>
        <v>0.2145482074040562</v>
      </c>
      <c r="N36" s="7">
        <f t="shared" si="6"/>
        <v>9.8181474074492971</v>
      </c>
      <c r="O36" s="9">
        <f t="shared" si="18"/>
        <v>0</v>
      </c>
      <c r="P36" s="9">
        <f t="shared" si="19"/>
        <v>0</v>
      </c>
      <c r="Q36" s="9">
        <f t="shared" si="20"/>
        <v>0</v>
      </c>
      <c r="R36" s="9">
        <f t="shared" si="21"/>
        <v>0</v>
      </c>
      <c r="S36" s="7">
        <f t="shared" si="7"/>
        <v>0.20485279767585438</v>
      </c>
      <c r="T36" s="7">
        <f t="shared" si="8"/>
        <v>9.6381479069593397</v>
      </c>
      <c r="U36" s="9">
        <f t="shared" si="22"/>
        <v>0</v>
      </c>
      <c r="V36" s="9">
        <f t="shared" si="23"/>
        <v>0</v>
      </c>
      <c r="W36" s="9">
        <f t="shared" si="24"/>
        <v>0</v>
      </c>
      <c r="X36" s="9">
        <f t="shared" si="25"/>
        <v>0</v>
      </c>
      <c r="Y36" s="7">
        <f t="shared" si="9"/>
        <v>0.19561638835435863</v>
      </c>
      <c r="Z36" s="7">
        <f t="shared" si="10"/>
        <v>9.4633366075957799</v>
      </c>
      <c r="AA36" s="9">
        <f t="shared" si="26"/>
        <v>12464321.73751568</v>
      </c>
      <c r="AB36" s="9">
        <f t="shared" si="27"/>
        <v>7413979.8803159771</v>
      </c>
      <c r="AC36" s="9">
        <f t="shared" si="28"/>
        <v>1689655.6375156911</v>
      </c>
      <c r="AD36" s="9">
        <f t="shared" si="29"/>
        <v>9103635.5178316683</v>
      </c>
      <c r="AE36" s="7">
        <f t="shared" si="11"/>
        <v>0.17843088978226701</v>
      </c>
      <c r="AF36" s="7">
        <f t="shared" si="12"/>
        <v>9.1285456690859217</v>
      </c>
      <c r="AG36" s="9">
        <f t="shared" si="30"/>
        <v>35510455.118881755</v>
      </c>
      <c r="AH36" s="9">
        <f t="shared" si="31"/>
        <v>2932055.9272471173</v>
      </c>
      <c r="AI36" s="9">
        <f t="shared" si="32"/>
        <v>2932055.9272471173</v>
      </c>
      <c r="AJ36" s="9">
        <f t="shared" si="33"/>
        <v>20510455.118881758</v>
      </c>
      <c r="AK36" s="9">
        <f t="shared" si="34"/>
        <v>0</v>
      </c>
      <c r="AL36" s="9">
        <f t="shared" si="35"/>
        <v>0</v>
      </c>
      <c r="AM36" s="9">
        <f t="shared" si="36"/>
        <v>0</v>
      </c>
      <c r="AN36" s="9"/>
      <c r="AO36" s="9">
        <f t="shared" si="40"/>
        <v>741675.01213648915</v>
      </c>
    </row>
    <row r="37" spans="1:41" x14ac:dyDescent="0.2">
      <c r="A37" s="6">
        <f t="shared" si="13"/>
        <v>11</v>
      </c>
      <c r="B37" s="7">
        <f t="shared" si="2"/>
        <v>0.16350799082655793</v>
      </c>
      <c r="C37" s="7">
        <f t="shared" si="3"/>
        <v>8.3649200917344206</v>
      </c>
      <c r="D37" s="8">
        <f t="shared" si="41"/>
        <v>0.06</v>
      </c>
      <c r="E37" s="9">
        <f t="shared" si="14"/>
        <v>47758996.298331976</v>
      </c>
      <c r="F37" s="9">
        <f t="shared" si="15"/>
        <v>6104937.7871892359</v>
      </c>
      <c r="G37" s="9">
        <f t="shared" si="16"/>
        <v>3048446.5722339554</v>
      </c>
      <c r="H37" s="9">
        <f t="shared" si="17"/>
        <v>1167333.9858314814</v>
      </c>
      <c r="I37" s="9">
        <f t="shared" si="37"/>
        <v>259873.88428198706</v>
      </c>
      <c r="J37" s="9">
        <f t="shared" si="38"/>
        <v>5197477.6856397418</v>
      </c>
      <c r="K37" s="9">
        <f t="shared" si="39"/>
        <v>4937603.8013577545</v>
      </c>
      <c r="L37" s="9">
        <f t="shared" si="4"/>
        <v>43758996.298331976</v>
      </c>
      <c r="M37" s="7">
        <f t="shared" si="5"/>
        <v>0.23171206399638072</v>
      </c>
      <c r="N37" s="7">
        <f t="shared" si="6"/>
        <v>9.6035992000452399</v>
      </c>
      <c r="O37" s="9">
        <f t="shared" si="18"/>
        <v>0</v>
      </c>
      <c r="P37" s="9">
        <f t="shared" si="19"/>
        <v>0</v>
      </c>
      <c r="Q37" s="9">
        <f t="shared" si="20"/>
        <v>0</v>
      </c>
      <c r="R37" s="9">
        <f t="shared" si="21"/>
        <v>0</v>
      </c>
      <c r="S37" s="7">
        <f t="shared" si="7"/>
        <v>0.22175315348411237</v>
      </c>
      <c r="T37" s="7">
        <f t="shared" si="8"/>
        <v>9.4332951092834865</v>
      </c>
      <c r="U37" s="9">
        <f t="shared" si="22"/>
        <v>0</v>
      </c>
      <c r="V37" s="9">
        <f t="shared" si="23"/>
        <v>0</v>
      </c>
      <c r="W37" s="9">
        <f t="shared" si="24"/>
        <v>0</v>
      </c>
      <c r="X37" s="9">
        <f t="shared" si="25"/>
        <v>0</v>
      </c>
      <c r="Y37" s="7">
        <f t="shared" si="9"/>
        <v>0.21224378136447911</v>
      </c>
      <c r="Z37" s="7">
        <f t="shared" si="10"/>
        <v>9.2677202192414221</v>
      </c>
      <c r="AA37" s="9">
        <f t="shared" si="26"/>
        <v>5052600.2187508857</v>
      </c>
      <c r="AB37" s="9">
        <f t="shared" si="27"/>
        <v>7411721.5187647948</v>
      </c>
      <c r="AC37" s="9">
        <f t="shared" si="28"/>
        <v>1059467.347688833</v>
      </c>
      <c r="AD37" s="9">
        <f t="shared" si="29"/>
        <v>8471188.8664536271</v>
      </c>
      <c r="AE37" s="7">
        <f t="shared" si="11"/>
        <v>0.19448966986267105</v>
      </c>
      <c r="AF37" s="7">
        <f t="shared" si="12"/>
        <v>8.9501147793036555</v>
      </c>
      <c r="AG37" s="9">
        <f t="shared" si="30"/>
        <v>38706396.079581112</v>
      </c>
      <c r="AH37" s="9">
        <f t="shared" si="31"/>
        <v>3195940.960699358</v>
      </c>
      <c r="AI37" s="9">
        <f t="shared" si="32"/>
        <v>3195940.960699358</v>
      </c>
      <c r="AJ37" s="9">
        <f t="shared" si="33"/>
        <v>23706396.079581115</v>
      </c>
      <c r="AK37" s="9">
        <f t="shared" si="34"/>
        <v>0</v>
      </c>
      <c r="AL37" s="9">
        <f t="shared" si="35"/>
        <v>0</v>
      </c>
      <c r="AM37" s="9">
        <f t="shared" si="36"/>
        <v>0</v>
      </c>
      <c r="AN37" s="9"/>
      <c r="AO37" s="9">
        <f t="shared" si="40"/>
        <v>682195.49296956323</v>
      </c>
    </row>
    <row r="38" spans="1:41" x14ac:dyDescent="0.2">
      <c r="A38" s="6">
        <f t="shared" si="13"/>
        <v>12</v>
      </c>
      <c r="B38" s="7">
        <f t="shared" si="2"/>
        <v>0.17985878990921372</v>
      </c>
      <c r="C38" s="7">
        <f t="shared" si="3"/>
        <v>8.2014121009078629</v>
      </c>
      <c r="D38" s="8">
        <f t="shared" si="41"/>
        <v>0.06</v>
      </c>
      <c r="E38" s="9">
        <f t="shared" si="14"/>
        <v>43791462.758626759</v>
      </c>
      <c r="F38" s="9">
        <f t="shared" si="15"/>
        <v>5709438.4374961089</v>
      </c>
      <c r="G38" s="9">
        <f t="shared" si="16"/>
        <v>2795199.750550644</v>
      </c>
      <c r="H38" s="9">
        <f t="shared" si="17"/>
        <v>1172333.7891545705</v>
      </c>
      <c r="I38" s="9">
        <f t="shared" si="37"/>
        <v>238794.98149165988</v>
      </c>
      <c r="J38" s="9">
        <f t="shared" si="38"/>
        <v>4775899.6298331982</v>
      </c>
      <c r="K38" s="9">
        <f t="shared" si="39"/>
        <v>4537104.6483415384</v>
      </c>
      <c r="L38" s="9">
        <f t="shared" si="4"/>
        <v>39791462.758626759</v>
      </c>
      <c r="M38" s="7">
        <f t="shared" si="5"/>
        <v>0.2502490291160912</v>
      </c>
      <c r="N38" s="7">
        <f t="shared" si="6"/>
        <v>9.3718871360488585</v>
      </c>
      <c r="O38" s="9">
        <f t="shared" si="18"/>
        <v>0</v>
      </c>
      <c r="P38" s="9">
        <f t="shared" si="19"/>
        <v>0</v>
      </c>
      <c r="Q38" s="9">
        <f t="shared" si="20"/>
        <v>0</v>
      </c>
      <c r="R38" s="9">
        <f t="shared" si="21"/>
        <v>0</v>
      </c>
      <c r="S38" s="7">
        <f t="shared" si="7"/>
        <v>0.24004778864655166</v>
      </c>
      <c r="T38" s="7">
        <f t="shared" si="8"/>
        <v>9.2115419557993743</v>
      </c>
      <c r="U38" s="9">
        <f t="shared" si="22"/>
        <v>0</v>
      </c>
      <c r="V38" s="9">
        <f t="shared" si="23"/>
        <v>0</v>
      </c>
      <c r="W38" s="9">
        <f t="shared" si="24"/>
        <v>0</v>
      </c>
      <c r="X38" s="9">
        <f t="shared" si="25"/>
        <v>0</v>
      </c>
      <c r="Y38" s="7">
        <f t="shared" si="9"/>
        <v>0.23028450278045984</v>
      </c>
      <c r="Z38" s="7">
        <f t="shared" si="10"/>
        <v>9.0554764378769423</v>
      </c>
      <c r="AA38" s="9">
        <f t="shared" si="26"/>
        <v>0</v>
      </c>
      <c r="AB38" s="9">
        <f t="shared" si="27"/>
        <v>5052600.2187508857</v>
      </c>
      <c r="AC38" s="9">
        <f t="shared" si="28"/>
        <v>429471.01859382534</v>
      </c>
      <c r="AD38" s="9">
        <f t="shared" si="29"/>
        <v>5482071.2373447111</v>
      </c>
      <c r="AE38" s="7">
        <f t="shared" si="11"/>
        <v>0.21199374015031147</v>
      </c>
      <c r="AF38" s="7">
        <f t="shared" si="12"/>
        <v>8.7556251094409827</v>
      </c>
      <c r="AG38" s="9">
        <f t="shared" si="30"/>
        <v>39791462.758626781</v>
      </c>
      <c r="AH38" s="9">
        <f t="shared" si="31"/>
        <v>3483575.6471623001</v>
      </c>
      <c r="AI38" s="9">
        <f t="shared" si="32"/>
        <v>1085066.6790456711</v>
      </c>
      <c r="AJ38" s="9">
        <f t="shared" si="33"/>
        <v>24791462.758626785</v>
      </c>
      <c r="AK38" s="9">
        <f t="shared" si="34"/>
        <v>-1085066.6790456711</v>
      </c>
      <c r="AL38" s="9">
        <f t="shared" si="35"/>
        <v>3483575.6471623001</v>
      </c>
      <c r="AM38" s="9">
        <f t="shared" si="36"/>
        <v>2398508.9681166289</v>
      </c>
      <c r="AN38" s="9"/>
      <c r="AO38" s="9">
        <f t="shared" si="40"/>
        <v>624057.98258541338</v>
      </c>
    </row>
    <row r="39" spans="1:41" x14ac:dyDescent="0.2">
      <c r="A39" s="6">
        <f t="shared" si="13"/>
        <v>13</v>
      </c>
      <c r="B39" s="7">
        <f t="shared" si="2"/>
        <v>0.19784466890013511</v>
      </c>
      <c r="C39" s="7">
        <f t="shared" si="3"/>
        <v>8.0215533109986499</v>
      </c>
      <c r="D39" s="8">
        <f t="shared" si="41"/>
        <v>0.06</v>
      </c>
      <c r="E39" s="9">
        <f t="shared" si="14"/>
        <v>40055419.998993307</v>
      </c>
      <c r="F39" s="9">
        <f t="shared" si="15"/>
        <v>5339502.7855970347</v>
      </c>
      <c r="G39" s="9">
        <f t="shared" si="16"/>
        <v>2556728.9361059559</v>
      </c>
      <c r="H39" s="9">
        <f t="shared" si="17"/>
        <v>1179313.8235274926</v>
      </c>
      <c r="I39" s="9">
        <f t="shared" si="37"/>
        <v>218957.3137931338</v>
      </c>
      <c r="J39" s="9">
        <f t="shared" si="38"/>
        <v>4379146.2758626761</v>
      </c>
      <c r="K39" s="9">
        <f t="shared" si="39"/>
        <v>4160188.9620695421</v>
      </c>
      <c r="L39" s="9">
        <f t="shared" si="4"/>
        <v>36055419.998993307</v>
      </c>
      <c r="M39" s="7">
        <f t="shared" si="5"/>
        <v>0.27026895144537855</v>
      </c>
      <c r="N39" s="7">
        <f t="shared" si="6"/>
        <v>9.1216381069327674</v>
      </c>
      <c r="O39" s="9">
        <f t="shared" si="18"/>
        <v>0</v>
      </c>
      <c r="P39" s="9">
        <f t="shared" si="19"/>
        <v>0</v>
      </c>
      <c r="Q39" s="9">
        <f t="shared" si="20"/>
        <v>0</v>
      </c>
      <c r="R39" s="9">
        <f t="shared" si="21"/>
        <v>0</v>
      </c>
      <c r="S39" s="7">
        <f t="shared" si="7"/>
        <v>0.25985173120989219</v>
      </c>
      <c r="T39" s="7">
        <f t="shared" si="8"/>
        <v>8.9714941671528212</v>
      </c>
      <c r="U39" s="9">
        <f t="shared" si="22"/>
        <v>0</v>
      </c>
      <c r="V39" s="9">
        <f t="shared" si="23"/>
        <v>0</v>
      </c>
      <c r="W39" s="9">
        <f t="shared" si="24"/>
        <v>0</v>
      </c>
      <c r="X39" s="9">
        <f t="shared" si="25"/>
        <v>0</v>
      </c>
      <c r="Y39" s="7">
        <f t="shared" si="9"/>
        <v>0.24985868551679893</v>
      </c>
      <c r="Z39" s="7">
        <f t="shared" si="10"/>
        <v>8.8251919350964823</v>
      </c>
      <c r="AA39" s="9">
        <f t="shared" si="26"/>
        <v>0</v>
      </c>
      <c r="AB39" s="9">
        <f t="shared" si="27"/>
        <v>0</v>
      </c>
      <c r="AC39" s="9">
        <f t="shared" si="28"/>
        <v>0</v>
      </c>
      <c r="AD39" s="9">
        <f t="shared" si="29"/>
        <v>0</v>
      </c>
      <c r="AE39" s="7">
        <f t="shared" si="11"/>
        <v>0.23107317676383951</v>
      </c>
      <c r="AF39" s="7">
        <f t="shared" si="12"/>
        <v>8.5436313692906722</v>
      </c>
      <c r="AG39" s="9">
        <f t="shared" si="30"/>
        <v>36055419.99899333</v>
      </c>
      <c r="AH39" s="9">
        <f t="shared" si="31"/>
        <v>3581231.6482764101</v>
      </c>
      <c r="AI39" s="9">
        <f t="shared" si="32"/>
        <v>-3736042.7596334484</v>
      </c>
      <c r="AJ39" s="9">
        <f t="shared" si="33"/>
        <v>21055419.998993337</v>
      </c>
      <c r="AK39" s="9">
        <f t="shared" si="34"/>
        <v>3736042.7596334484</v>
      </c>
      <c r="AL39" s="9">
        <f t="shared" si="35"/>
        <v>3581231.6482764101</v>
      </c>
      <c r="AM39" s="9">
        <f t="shared" si="36"/>
        <v>7317274.407909859</v>
      </c>
      <c r="AN39" s="9"/>
      <c r="AO39" s="9">
        <f t="shared" si="40"/>
        <v>578957.31379313208</v>
      </c>
    </row>
    <row r="40" spans="1:41" x14ac:dyDescent="0.2">
      <c r="A40" s="6">
        <f t="shared" si="13"/>
        <v>14</v>
      </c>
      <c r="B40" s="7">
        <f t="shared" si="2"/>
        <v>0.21762913579014861</v>
      </c>
      <c r="C40" s="7">
        <f t="shared" si="3"/>
        <v>7.8237086420985138</v>
      </c>
      <c r="D40" s="8">
        <f t="shared" si="41"/>
        <v>0.06</v>
      </c>
      <c r="E40" s="9">
        <f t="shared" si="14"/>
        <v>36535177.998770446</v>
      </c>
      <c r="F40" s="9">
        <f t="shared" si="15"/>
        <v>4993474.2619078318</v>
      </c>
      <c r="G40" s="9">
        <f t="shared" si="16"/>
        <v>2332032.6382193901</v>
      </c>
      <c r="H40" s="9">
        <f t="shared" si="17"/>
        <v>1188209.362003467</v>
      </c>
      <c r="I40" s="9">
        <f t="shared" si="37"/>
        <v>200277.09999496653</v>
      </c>
      <c r="J40" s="9">
        <f t="shared" si="38"/>
        <v>4005541.999899331</v>
      </c>
      <c r="K40" s="9">
        <f t="shared" si="39"/>
        <v>3805264.8999043647</v>
      </c>
      <c r="L40" s="9">
        <f t="shared" si="4"/>
        <v>32535177.998770446</v>
      </c>
      <c r="M40" s="7">
        <f t="shared" si="5"/>
        <v>0.29189046756100889</v>
      </c>
      <c r="N40" s="7">
        <f t="shared" si="6"/>
        <v>8.8513691554873883</v>
      </c>
      <c r="O40" s="9">
        <f t="shared" si="18"/>
        <v>0</v>
      </c>
      <c r="P40" s="9">
        <f t="shared" si="19"/>
        <v>0</v>
      </c>
      <c r="Q40" s="9">
        <f t="shared" si="20"/>
        <v>0</v>
      </c>
      <c r="R40" s="9">
        <f t="shared" si="21"/>
        <v>0</v>
      </c>
      <c r="S40" s="7">
        <f t="shared" si="7"/>
        <v>0.28128949903470829</v>
      </c>
      <c r="T40" s="7">
        <f t="shared" si="8"/>
        <v>8.7116424359429292</v>
      </c>
      <c r="U40" s="9">
        <f t="shared" si="22"/>
        <v>0</v>
      </c>
      <c r="V40" s="9">
        <f t="shared" si="23"/>
        <v>0</v>
      </c>
      <c r="W40" s="9">
        <f t="shared" si="24"/>
        <v>0</v>
      </c>
      <c r="X40" s="9">
        <f t="shared" si="25"/>
        <v>0</v>
      </c>
      <c r="Y40" s="7">
        <f t="shared" si="9"/>
        <v>0.27109667378572683</v>
      </c>
      <c r="Z40" s="7">
        <f t="shared" si="10"/>
        <v>8.5753332495796837</v>
      </c>
      <c r="AA40" s="9">
        <f t="shared" si="26"/>
        <v>0</v>
      </c>
      <c r="AB40" s="9">
        <f t="shared" si="27"/>
        <v>0</v>
      </c>
      <c r="AC40" s="9">
        <f t="shared" si="28"/>
        <v>0</v>
      </c>
      <c r="AD40" s="9">
        <f t="shared" si="29"/>
        <v>0</v>
      </c>
      <c r="AE40" s="7">
        <f t="shared" si="11"/>
        <v>0.2518697626725851</v>
      </c>
      <c r="AF40" s="7">
        <f t="shared" si="12"/>
        <v>8.3125581925268328</v>
      </c>
      <c r="AG40" s="9">
        <f t="shared" si="30"/>
        <v>32535177.998770472</v>
      </c>
      <c r="AH40" s="9">
        <f t="shared" si="31"/>
        <v>3244987.7999093994</v>
      </c>
      <c r="AI40" s="9">
        <f t="shared" si="32"/>
        <v>-3520242.0002228571</v>
      </c>
      <c r="AJ40" s="9">
        <f t="shared" si="33"/>
        <v>17535177.998770479</v>
      </c>
      <c r="AK40" s="9">
        <f t="shared" si="34"/>
        <v>3520242.0002228571</v>
      </c>
      <c r="AL40" s="9">
        <f t="shared" si="35"/>
        <v>3244987.7999093994</v>
      </c>
      <c r="AM40" s="9">
        <f t="shared" si="36"/>
        <v>6765229.800132256</v>
      </c>
      <c r="AN40" s="9"/>
      <c r="AO40" s="9">
        <f t="shared" si="40"/>
        <v>560277.09999496583</v>
      </c>
    </row>
    <row r="41" spans="1:41" x14ac:dyDescent="0.2">
      <c r="A41" s="6">
        <f t="shared" si="13"/>
        <v>15</v>
      </c>
      <c r="B41" s="7">
        <f t="shared" si="2"/>
        <v>0.23939204936916347</v>
      </c>
      <c r="C41" s="7">
        <f t="shared" si="3"/>
        <v>7.6060795063083653</v>
      </c>
      <c r="D41" s="8">
        <f t="shared" si="41"/>
        <v>0.06</v>
      </c>
      <c r="E41" s="9">
        <f t="shared" si="14"/>
        <v>33216043.904854845</v>
      </c>
      <c r="F41" s="9">
        <f t="shared" si="15"/>
        <v>4669802.988595291</v>
      </c>
      <c r="G41" s="9">
        <f t="shared" si="16"/>
        <v>2120173.0152035006</v>
      </c>
      <c r="H41" s="9">
        <f t="shared" si="17"/>
        <v>1198961.0787120983</v>
      </c>
      <c r="I41" s="9">
        <f t="shared" si="37"/>
        <v>182675.88999385224</v>
      </c>
      <c r="J41" s="9">
        <f t="shared" si="38"/>
        <v>3653517.7998770447</v>
      </c>
      <c r="K41" s="9">
        <f t="shared" si="39"/>
        <v>3470841.9098831927</v>
      </c>
      <c r="L41" s="9">
        <f t="shared" si="4"/>
        <v>29216043.904854845</v>
      </c>
      <c r="M41" s="7">
        <f t="shared" si="5"/>
        <v>0.31524170496588966</v>
      </c>
      <c r="N41" s="7">
        <f t="shared" si="6"/>
        <v>8.5594786879263793</v>
      </c>
      <c r="O41" s="9">
        <f t="shared" si="18"/>
        <v>0</v>
      </c>
      <c r="P41" s="9">
        <f t="shared" si="19"/>
        <v>0</v>
      </c>
      <c r="Q41" s="9">
        <f t="shared" si="20"/>
        <v>0</v>
      </c>
      <c r="R41" s="9">
        <f t="shared" si="21"/>
        <v>0</v>
      </c>
      <c r="S41" s="7">
        <f t="shared" si="7"/>
        <v>0.30449588270507172</v>
      </c>
      <c r="T41" s="7">
        <f t="shared" si="8"/>
        <v>8.4303529369082231</v>
      </c>
      <c r="U41" s="9">
        <f t="shared" si="22"/>
        <v>0</v>
      </c>
      <c r="V41" s="9">
        <f t="shared" si="23"/>
        <v>0</v>
      </c>
      <c r="W41" s="9">
        <f t="shared" si="24"/>
        <v>0</v>
      </c>
      <c r="X41" s="9">
        <f t="shared" si="25"/>
        <v>0</v>
      </c>
      <c r="Y41" s="7">
        <f t="shared" si="9"/>
        <v>0.29413989105751359</v>
      </c>
      <c r="Z41" s="7">
        <f t="shared" si="10"/>
        <v>8.3042365757939578</v>
      </c>
      <c r="AA41" s="9">
        <f t="shared" si="26"/>
        <v>0</v>
      </c>
      <c r="AB41" s="9">
        <f t="shared" si="27"/>
        <v>0</v>
      </c>
      <c r="AC41" s="9">
        <f t="shared" si="28"/>
        <v>0</v>
      </c>
      <c r="AD41" s="9">
        <f t="shared" si="29"/>
        <v>0</v>
      </c>
      <c r="AE41" s="7">
        <f t="shared" si="11"/>
        <v>0.27453804131311776</v>
      </c>
      <c r="AF41" s="7">
        <f t="shared" si="12"/>
        <v>8.0606884298542472</v>
      </c>
      <c r="AG41" s="9">
        <f t="shared" si="30"/>
        <v>29216043.904854871</v>
      </c>
      <c r="AH41" s="9">
        <f t="shared" si="31"/>
        <v>2928166.0198893421</v>
      </c>
      <c r="AI41" s="9">
        <f t="shared" si="32"/>
        <v>-3319134.0939155989</v>
      </c>
      <c r="AJ41" s="9">
        <f t="shared" si="33"/>
        <v>14216043.904854881</v>
      </c>
      <c r="AK41" s="9">
        <f t="shared" si="34"/>
        <v>3319134.0939155989</v>
      </c>
      <c r="AL41" s="9">
        <f t="shared" si="35"/>
        <v>2928166.0198893421</v>
      </c>
      <c r="AM41" s="9">
        <f t="shared" si="36"/>
        <v>6247300.1138049411</v>
      </c>
      <c r="AN41" s="9"/>
      <c r="AO41" s="9">
        <f t="shared" si="40"/>
        <v>542675.88999385107</v>
      </c>
    </row>
    <row r="42" spans="1:41" x14ac:dyDescent="0.2">
      <c r="A42" s="6">
        <f t="shared" si="13"/>
        <v>16</v>
      </c>
      <c r="B42" s="7">
        <f t="shared" si="2"/>
        <v>0.26333125430607984</v>
      </c>
      <c r="C42" s="7">
        <f t="shared" si="3"/>
        <v>7.3666874569392018</v>
      </c>
      <c r="D42" s="8">
        <f t="shared" si="41"/>
        <v>0.06</v>
      </c>
      <c r="E42" s="9">
        <f t="shared" si="14"/>
        <v>30084257.570564728</v>
      </c>
      <c r="F42" s="9">
        <f t="shared" si="15"/>
        <v>4367038.7454280443</v>
      </c>
      <c r="G42" s="9">
        <f t="shared" si="16"/>
        <v>1920271.7598232804</v>
      </c>
      <c r="H42" s="9">
        <f t="shared" si="17"/>
        <v>1211514.5744668338</v>
      </c>
      <c r="I42" s="9">
        <f t="shared" si="37"/>
        <v>166080.21952427423</v>
      </c>
      <c r="J42" s="9">
        <f t="shared" si="38"/>
        <v>3321604.3904854846</v>
      </c>
      <c r="K42" s="9">
        <f t="shared" si="39"/>
        <v>3155524.1709612105</v>
      </c>
      <c r="L42" s="9">
        <f t="shared" si="4"/>
        <v>26084257.570564728</v>
      </c>
      <c r="M42" s="7">
        <f t="shared" si="5"/>
        <v>0.34046104136316085</v>
      </c>
      <c r="N42" s="7">
        <f t="shared" si="6"/>
        <v>8.2442369829604907</v>
      </c>
      <c r="O42" s="9">
        <f t="shared" si="18"/>
        <v>0</v>
      </c>
      <c r="P42" s="9">
        <f t="shared" si="19"/>
        <v>0</v>
      </c>
      <c r="Q42" s="9">
        <f t="shared" si="20"/>
        <v>0</v>
      </c>
      <c r="R42" s="9">
        <f t="shared" si="21"/>
        <v>0</v>
      </c>
      <c r="S42" s="7">
        <f t="shared" si="7"/>
        <v>0.32961679302824015</v>
      </c>
      <c r="T42" s="7">
        <f t="shared" si="8"/>
        <v>8.1258570542031503</v>
      </c>
      <c r="U42" s="9">
        <f t="shared" si="22"/>
        <v>0</v>
      </c>
      <c r="V42" s="9">
        <f t="shared" si="23"/>
        <v>0</v>
      </c>
      <c r="W42" s="9">
        <f t="shared" si="24"/>
        <v>0</v>
      </c>
      <c r="X42" s="9">
        <f t="shared" si="25"/>
        <v>0</v>
      </c>
      <c r="Y42" s="7">
        <f t="shared" si="9"/>
        <v>0.31914178179740227</v>
      </c>
      <c r="Z42" s="7">
        <f t="shared" si="10"/>
        <v>8.0100966847364425</v>
      </c>
      <c r="AA42" s="9">
        <f t="shared" si="26"/>
        <v>0</v>
      </c>
      <c r="AB42" s="9">
        <f t="shared" si="27"/>
        <v>0</v>
      </c>
      <c r="AC42" s="9">
        <f t="shared" si="28"/>
        <v>0</v>
      </c>
      <c r="AD42" s="9">
        <f t="shared" si="29"/>
        <v>0</v>
      </c>
      <c r="AE42" s="7">
        <f t="shared" si="11"/>
        <v>0.29924646503129837</v>
      </c>
      <c r="AF42" s="7">
        <f t="shared" si="12"/>
        <v>7.7861503885411292</v>
      </c>
      <c r="AG42" s="9">
        <f t="shared" si="30"/>
        <v>26084257.570564758</v>
      </c>
      <c r="AH42" s="9">
        <f t="shared" si="31"/>
        <v>2629443.9514369383</v>
      </c>
      <c r="AI42" s="9">
        <f t="shared" si="32"/>
        <v>-3131786.3342901142</v>
      </c>
      <c r="AJ42" s="9">
        <f t="shared" si="33"/>
        <v>11084257.570564765</v>
      </c>
      <c r="AK42" s="9">
        <f t="shared" si="34"/>
        <v>3131786.3342901142</v>
      </c>
      <c r="AL42" s="9">
        <f t="shared" si="35"/>
        <v>2629443.9514369383</v>
      </c>
      <c r="AM42" s="9">
        <f t="shared" si="36"/>
        <v>5761230.285727052</v>
      </c>
      <c r="AN42" s="9"/>
      <c r="AO42" s="9">
        <f t="shared" si="40"/>
        <v>526080.21952427272</v>
      </c>
    </row>
    <row r="43" spans="1:41" x14ac:dyDescent="0.2">
      <c r="A43" s="6">
        <f t="shared" si="13"/>
        <v>17</v>
      </c>
      <c r="B43" s="7">
        <f t="shared" si="2"/>
        <v>0.28966437973668785</v>
      </c>
      <c r="C43" s="7">
        <f t="shared" si="3"/>
        <v>7.1033562026331225</v>
      </c>
      <c r="D43" s="8">
        <f t="shared" si="41"/>
        <v>0.06</v>
      </c>
      <c r="E43" s="9">
        <f t="shared" si="14"/>
        <v>27126931.434114534</v>
      </c>
      <c r="F43" s="9">
        <f t="shared" si="15"/>
        <v>4083824.3439018507</v>
      </c>
      <c r="G43" s="9">
        <f t="shared" si="16"/>
        <v>1731506.2617519915</v>
      </c>
      <c r="H43" s="9">
        <f t="shared" si="17"/>
        <v>1225819.8746982017</v>
      </c>
      <c r="I43" s="9">
        <f t="shared" si="37"/>
        <v>150421.28785282365</v>
      </c>
      <c r="J43" s="9">
        <f t="shared" si="38"/>
        <v>3008425.7570564728</v>
      </c>
      <c r="K43" s="9">
        <f t="shared" si="39"/>
        <v>2858004.4692036491</v>
      </c>
      <c r="L43" s="9">
        <f t="shared" si="4"/>
        <v>23126931.434114534</v>
      </c>
      <c r="M43" s="7">
        <f t="shared" si="5"/>
        <v>0.36769792467221379</v>
      </c>
      <c r="N43" s="7">
        <f t="shared" si="6"/>
        <v>7.9037759415973268</v>
      </c>
      <c r="O43" s="9">
        <f t="shared" si="18"/>
        <v>0</v>
      </c>
      <c r="P43" s="9">
        <f t="shared" si="19"/>
        <v>0</v>
      </c>
      <c r="Q43" s="9">
        <f t="shared" si="20"/>
        <v>0</v>
      </c>
      <c r="R43" s="9">
        <f t="shared" si="21"/>
        <v>0</v>
      </c>
      <c r="S43" s="7">
        <f t="shared" si="7"/>
        <v>0.35681017845307</v>
      </c>
      <c r="T43" s="7">
        <f t="shared" si="8"/>
        <v>7.7962402611749093</v>
      </c>
      <c r="U43" s="9">
        <f t="shared" si="22"/>
        <v>0</v>
      </c>
      <c r="V43" s="9">
        <f t="shared" si="23"/>
        <v>0</v>
      </c>
      <c r="W43" s="9">
        <f t="shared" si="24"/>
        <v>0</v>
      </c>
      <c r="X43" s="9">
        <f t="shared" si="25"/>
        <v>0</v>
      </c>
      <c r="Y43" s="7">
        <f t="shared" si="9"/>
        <v>0.34626883325018148</v>
      </c>
      <c r="Z43" s="7">
        <f t="shared" si="10"/>
        <v>7.6909549029390405</v>
      </c>
      <c r="AA43" s="9">
        <f t="shared" si="26"/>
        <v>0</v>
      </c>
      <c r="AB43" s="9">
        <f t="shared" si="27"/>
        <v>0</v>
      </c>
      <c r="AC43" s="9">
        <f t="shared" si="28"/>
        <v>0</v>
      </c>
      <c r="AD43" s="9">
        <f t="shared" si="29"/>
        <v>0</v>
      </c>
      <c r="AE43" s="7">
        <f t="shared" si="11"/>
        <v>0.32617864688411524</v>
      </c>
      <c r="AF43" s="7">
        <f t="shared" si="12"/>
        <v>7.4869039235098302</v>
      </c>
      <c r="AG43" s="9">
        <f t="shared" si="30"/>
        <v>23126931.434114564</v>
      </c>
      <c r="AH43" s="9">
        <f t="shared" si="31"/>
        <v>2347583.1813508281</v>
      </c>
      <c r="AI43" s="9">
        <f t="shared" si="32"/>
        <v>-2957326.1364501929</v>
      </c>
      <c r="AJ43" s="9">
        <f t="shared" si="33"/>
        <v>8126931.4341145726</v>
      </c>
      <c r="AK43" s="9">
        <f t="shared" si="34"/>
        <v>2957326.1364501929</v>
      </c>
      <c r="AL43" s="9">
        <f t="shared" si="35"/>
        <v>2347583.1813508281</v>
      </c>
      <c r="AM43" s="9">
        <f t="shared" si="36"/>
        <v>5304909.317801021</v>
      </c>
      <c r="AN43" s="9"/>
      <c r="AO43" s="9">
        <f t="shared" si="40"/>
        <v>510421.28785282094</v>
      </c>
    </row>
    <row r="44" spans="1:41" x14ac:dyDescent="0.2">
      <c r="A44" s="6">
        <f t="shared" si="13"/>
        <v>18</v>
      </c>
      <c r="B44" s="7">
        <f t="shared" si="2"/>
        <v>0.31863081771035667</v>
      </c>
      <c r="C44" s="7">
        <f t="shared" si="3"/>
        <v>6.8136918228964323</v>
      </c>
      <c r="D44" s="8">
        <f t="shared" si="41"/>
        <v>0.06</v>
      </c>
      <c r="E44" s="9">
        <f t="shared" si="14"/>
        <v>24331994.525200512</v>
      </c>
      <c r="F44" s="9">
        <f t="shared" si="15"/>
        <v>3818889.3616314679</v>
      </c>
      <c r="G44" s="9">
        <f t="shared" si="16"/>
        <v>1553106.0335234369</v>
      </c>
      <c r="H44" s="9">
        <f t="shared" si="17"/>
        <v>1241830.8753905869</v>
      </c>
      <c r="I44" s="9">
        <f t="shared" si="37"/>
        <v>135634.65717057267</v>
      </c>
      <c r="J44" s="9">
        <f t="shared" si="38"/>
        <v>2712693.1434114538</v>
      </c>
      <c r="K44" s="9">
        <f t="shared" si="39"/>
        <v>2577058.486240881</v>
      </c>
      <c r="L44" s="9">
        <f t="shared" si="4"/>
        <v>20331994.525200512</v>
      </c>
      <c r="M44" s="7">
        <f t="shared" si="5"/>
        <v>0.39711375864599097</v>
      </c>
      <c r="N44" s="7">
        <f t="shared" si="6"/>
        <v>7.5360780169251127</v>
      </c>
      <c r="O44" s="9">
        <f t="shared" si="18"/>
        <v>0</v>
      </c>
      <c r="P44" s="9">
        <f t="shared" si="19"/>
        <v>0</v>
      </c>
      <c r="Q44" s="9">
        <f t="shared" si="20"/>
        <v>0</v>
      </c>
      <c r="R44" s="9">
        <f t="shared" si="21"/>
        <v>0</v>
      </c>
      <c r="S44" s="7">
        <f t="shared" si="7"/>
        <v>0.38624701817544832</v>
      </c>
      <c r="T44" s="7">
        <f t="shared" si="8"/>
        <v>7.4394300827218389</v>
      </c>
      <c r="U44" s="9">
        <f t="shared" si="22"/>
        <v>0</v>
      </c>
      <c r="V44" s="9">
        <f t="shared" si="23"/>
        <v>0</v>
      </c>
      <c r="W44" s="9">
        <f t="shared" si="24"/>
        <v>0</v>
      </c>
      <c r="X44" s="9">
        <f t="shared" si="25"/>
        <v>0</v>
      </c>
      <c r="Y44" s="7">
        <f t="shared" si="9"/>
        <v>0.37570168407644688</v>
      </c>
      <c r="Z44" s="7">
        <f t="shared" si="10"/>
        <v>7.3446860696888594</v>
      </c>
      <c r="AA44" s="9">
        <f t="shared" si="26"/>
        <v>0</v>
      </c>
      <c r="AB44" s="9">
        <f t="shared" si="27"/>
        <v>0</v>
      </c>
      <c r="AC44" s="9">
        <f t="shared" si="28"/>
        <v>0</v>
      </c>
      <c r="AD44" s="9">
        <f t="shared" si="29"/>
        <v>0</v>
      </c>
      <c r="AE44" s="7">
        <f t="shared" si="11"/>
        <v>0.35553472510368561</v>
      </c>
      <c r="AF44" s="7">
        <f t="shared" si="12"/>
        <v>7.1607252766257155</v>
      </c>
      <c r="AG44" s="9">
        <f t="shared" si="30"/>
        <v>20331994.525200538</v>
      </c>
      <c r="AH44" s="9">
        <f t="shared" si="31"/>
        <v>2081423.8290703108</v>
      </c>
      <c r="AI44" s="9">
        <f t="shared" si="32"/>
        <v>-2794936.908914024</v>
      </c>
      <c r="AJ44" s="9">
        <f t="shared" si="33"/>
        <v>5331994.5252005486</v>
      </c>
      <c r="AK44" s="9">
        <f t="shared" si="34"/>
        <v>2794936.908914024</v>
      </c>
      <c r="AL44" s="9">
        <f t="shared" si="35"/>
        <v>2081423.8290703108</v>
      </c>
      <c r="AM44" s="9">
        <f t="shared" si="36"/>
        <v>4876360.737984335</v>
      </c>
      <c r="AN44" s="9"/>
      <c r="AO44" s="9">
        <f t="shared" si="40"/>
        <v>495634.65717056952</v>
      </c>
    </row>
    <row r="45" spans="1:41" x14ac:dyDescent="0.2">
      <c r="A45" s="6">
        <f t="shared" si="13"/>
        <v>19</v>
      </c>
      <c r="B45" s="7">
        <f t="shared" si="2"/>
        <v>0.35049389948139237</v>
      </c>
      <c r="C45" s="7">
        <f t="shared" si="3"/>
        <v>6.4950610051860753</v>
      </c>
      <c r="D45" s="8">
        <f t="shared" si="41"/>
        <v>0.06</v>
      </c>
      <c r="E45" s="9">
        <f t="shared" si="14"/>
        <v>21688140.436039649</v>
      </c>
      <c r="F45" s="9">
        <f t="shared" si="15"/>
        <v>3571044.1795204682</v>
      </c>
      <c r="G45" s="9">
        <f t="shared" si="16"/>
        <v>1384349.3895344455</v>
      </c>
      <c r="H45" s="9">
        <f t="shared" si="17"/>
        <v>1259504.6996264192</v>
      </c>
      <c r="I45" s="9">
        <f t="shared" si="37"/>
        <v>121659.97262600256</v>
      </c>
      <c r="J45" s="9">
        <f t="shared" si="38"/>
        <v>2433199.4525200515</v>
      </c>
      <c r="K45" s="9">
        <f t="shared" si="39"/>
        <v>2311539.479894049</v>
      </c>
      <c r="L45" s="9">
        <f t="shared" si="4"/>
        <v>17688140.436039649</v>
      </c>
      <c r="M45" s="7">
        <f t="shared" si="5"/>
        <v>0.42888285933767029</v>
      </c>
      <c r="N45" s="7">
        <f t="shared" si="6"/>
        <v>7.1389642582791204</v>
      </c>
      <c r="O45" s="9">
        <f t="shared" si="18"/>
        <v>0</v>
      </c>
      <c r="P45" s="9">
        <f t="shared" si="19"/>
        <v>0</v>
      </c>
      <c r="Q45" s="9">
        <f t="shared" si="20"/>
        <v>0</v>
      </c>
      <c r="R45" s="9">
        <f t="shared" si="21"/>
        <v>0</v>
      </c>
      <c r="S45" s="7">
        <f t="shared" si="7"/>
        <v>0.41811239717492282</v>
      </c>
      <c r="T45" s="7">
        <f t="shared" si="8"/>
        <v>7.0531830645463902</v>
      </c>
      <c r="U45" s="9">
        <f t="shared" si="22"/>
        <v>0</v>
      </c>
      <c r="V45" s="9">
        <f t="shared" si="23"/>
        <v>0</v>
      </c>
      <c r="W45" s="9">
        <f t="shared" si="24"/>
        <v>0</v>
      </c>
      <c r="X45" s="9">
        <f t="shared" si="25"/>
        <v>0</v>
      </c>
      <c r="Y45" s="7">
        <f t="shared" si="9"/>
        <v>0.40763632722294485</v>
      </c>
      <c r="Z45" s="7">
        <f t="shared" si="10"/>
        <v>6.968984385612413</v>
      </c>
      <c r="AA45" s="9">
        <f t="shared" si="26"/>
        <v>0</v>
      </c>
      <c r="AB45" s="9">
        <f t="shared" si="27"/>
        <v>0</v>
      </c>
      <c r="AC45" s="9">
        <f t="shared" si="28"/>
        <v>0</v>
      </c>
      <c r="AD45" s="9">
        <f t="shared" si="29"/>
        <v>0</v>
      </c>
      <c r="AE45" s="7">
        <f t="shared" si="11"/>
        <v>0.38753285036301732</v>
      </c>
      <c r="AF45" s="7">
        <f t="shared" si="12"/>
        <v>6.8051905515220295</v>
      </c>
      <c r="AG45" s="9">
        <f t="shared" si="30"/>
        <v>17688140.436039675</v>
      </c>
      <c r="AH45" s="9">
        <f t="shared" si="31"/>
        <v>1829879.5072680484</v>
      </c>
      <c r="AI45" s="9">
        <f t="shared" si="32"/>
        <v>-2643854.0891608647</v>
      </c>
      <c r="AJ45" s="9">
        <f t="shared" si="33"/>
        <v>2688140.4360396839</v>
      </c>
      <c r="AK45" s="9">
        <f t="shared" si="34"/>
        <v>2643854.0891608647</v>
      </c>
      <c r="AL45" s="9">
        <f t="shared" si="35"/>
        <v>1829879.5072680484</v>
      </c>
      <c r="AM45" s="9">
        <f t="shared" si="36"/>
        <v>4473733.5964289131</v>
      </c>
      <c r="AN45" s="9"/>
      <c r="AO45" s="9">
        <f t="shared" si="40"/>
        <v>481659.97262600064</v>
      </c>
    </row>
    <row r="46" spans="1:41" x14ac:dyDescent="0.2">
      <c r="A46" s="6">
        <f t="shared" si="13"/>
        <v>20</v>
      </c>
      <c r="B46" s="7">
        <f t="shared" si="2"/>
        <v>0.38554328942953164</v>
      </c>
      <c r="C46" s="7">
        <f t="shared" si="3"/>
        <v>6.1445671057046836</v>
      </c>
      <c r="D46" s="8">
        <f t="shared" si="41"/>
        <v>0.06</v>
      </c>
      <c r="E46" s="9">
        <f t="shared" si="14"/>
        <v>19184779.159384076</v>
      </c>
      <c r="F46" s="9">
        <f t="shared" si="15"/>
        <v>3339174.2462037602</v>
      </c>
      <c r="G46" s="9">
        <f t="shared" si="16"/>
        <v>1224560.3718755792</v>
      </c>
      <c r="H46" s="9">
        <f t="shared" si="17"/>
        <v>1278800.9047799932</v>
      </c>
      <c r="I46" s="9">
        <f t="shared" si="37"/>
        <v>108440.70218019825</v>
      </c>
      <c r="J46" s="9">
        <f t="shared" si="38"/>
        <v>2168814.0436039651</v>
      </c>
      <c r="K46" s="9">
        <f t="shared" si="39"/>
        <v>2060373.3414237669</v>
      </c>
      <c r="L46" s="9">
        <f t="shared" si="4"/>
        <v>15184779.159384076</v>
      </c>
      <c r="M46" s="7">
        <f t="shared" si="5"/>
        <v>0.46319348808468397</v>
      </c>
      <c r="N46" s="7">
        <f t="shared" si="6"/>
        <v>6.7100813989414503</v>
      </c>
      <c r="O46" s="9">
        <f t="shared" si="18"/>
        <v>0</v>
      </c>
      <c r="P46" s="9">
        <f t="shared" si="19"/>
        <v>0</v>
      </c>
      <c r="Q46" s="9">
        <f t="shared" si="20"/>
        <v>0</v>
      </c>
      <c r="R46" s="9">
        <f t="shared" si="21"/>
        <v>0</v>
      </c>
      <c r="S46" s="7">
        <f t="shared" si="7"/>
        <v>0.452606669941854</v>
      </c>
      <c r="T46" s="7">
        <f t="shared" si="8"/>
        <v>6.6350706673714663</v>
      </c>
      <c r="U46" s="9">
        <f t="shared" si="22"/>
        <v>0</v>
      </c>
      <c r="V46" s="9">
        <f t="shared" si="23"/>
        <v>0</v>
      </c>
      <c r="W46" s="9">
        <f t="shared" si="24"/>
        <v>0</v>
      </c>
      <c r="X46" s="9">
        <f t="shared" si="25"/>
        <v>0</v>
      </c>
      <c r="Y46" s="7">
        <f t="shared" si="9"/>
        <v>0.44228541503689517</v>
      </c>
      <c r="Z46" s="7">
        <f t="shared" si="10"/>
        <v>6.561348058389469</v>
      </c>
      <c r="AA46" s="9">
        <f t="shared" si="26"/>
        <v>0</v>
      </c>
      <c r="AB46" s="9">
        <f t="shared" si="27"/>
        <v>0</v>
      </c>
      <c r="AC46" s="9">
        <f t="shared" si="28"/>
        <v>0</v>
      </c>
      <c r="AD46" s="9">
        <f t="shared" si="29"/>
        <v>0</v>
      </c>
      <c r="AE46" s="7">
        <f t="shared" si="11"/>
        <v>0.42241080689568894</v>
      </c>
      <c r="AF46" s="7">
        <f t="shared" si="12"/>
        <v>6.4176577011590119</v>
      </c>
      <c r="AG46" s="9">
        <f t="shared" si="30"/>
        <v>15184779.159384102</v>
      </c>
      <c r="AH46" s="9">
        <f t="shared" si="31"/>
        <v>1591932.6392435706</v>
      </c>
      <c r="AI46" s="9">
        <f t="shared" si="32"/>
        <v>-2503361.2766555725</v>
      </c>
      <c r="AJ46" s="9">
        <f t="shared" si="33"/>
        <v>184779.15938411141</v>
      </c>
      <c r="AK46" s="9">
        <f t="shared" si="34"/>
        <v>2503361.2766555725</v>
      </c>
      <c r="AL46" s="9">
        <f t="shared" si="35"/>
        <v>1591932.6392435706</v>
      </c>
      <c r="AM46" s="9">
        <f t="shared" si="36"/>
        <v>4095293.9158991431</v>
      </c>
      <c r="AN46" s="9"/>
      <c r="AO46" s="9">
        <f t="shared" si="40"/>
        <v>468440.70218019607</v>
      </c>
    </row>
    <row r="47" spans="1:41" x14ac:dyDescent="0.2">
      <c r="A47" s="6">
        <f t="shared" si="13"/>
        <v>21</v>
      </c>
      <c r="B47" s="7">
        <f t="shared" si="2"/>
        <v>0.42409761837248483</v>
      </c>
      <c r="C47" s="7">
        <f t="shared" si="3"/>
        <v>5.7590238162751515</v>
      </c>
      <c r="D47" s="8">
        <f t="shared" si="41"/>
        <v>0.06</v>
      </c>
      <c r="E47" s="9">
        <f t="shared" si="14"/>
        <v>16811992.796327952</v>
      </c>
      <c r="F47" s="9">
        <f t="shared" si="15"/>
        <v>3122234.4600277399</v>
      </c>
      <c r="G47" s="9">
        <f t="shared" si="16"/>
        <v>1073105.9231698692</v>
      </c>
      <c r="H47" s="9">
        <f t="shared" si="17"/>
        <v>1299680.4398862526</v>
      </c>
      <c r="I47" s="9">
        <f t="shared" si="37"/>
        <v>95923.895796920377</v>
      </c>
      <c r="J47" s="9">
        <f t="shared" si="38"/>
        <v>1918477.9159384076</v>
      </c>
      <c r="K47" s="9">
        <f t="shared" si="39"/>
        <v>1822554.0201414872</v>
      </c>
      <c r="L47" s="9">
        <f t="shared" si="4"/>
        <v>12811992.796327952</v>
      </c>
      <c r="M47" s="7">
        <f t="shared" si="5"/>
        <v>0.50024896713145872</v>
      </c>
      <c r="N47" s="7">
        <f t="shared" si="6"/>
        <v>6.2468879108567661</v>
      </c>
      <c r="O47" s="9">
        <f t="shared" si="18"/>
        <v>0</v>
      </c>
      <c r="P47" s="9">
        <f t="shared" si="19"/>
        <v>0</v>
      </c>
      <c r="Q47" s="9">
        <f t="shared" si="20"/>
        <v>0</v>
      </c>
      <c r="R47" s="9">
        <f t="shared" si="21"/>
        <v>0</v>
      </c>
      <c r="S47" s="7">
        <f t="shared" si="7"/>
        <v>0.48994672021205699</v>
      </c>
      <c r="T47" s="7">
        <f t="shared" si="8"/>
        <v>6.1824639974296121</v>
      </c>
      <c r="U47" s="9">
        <f t="shared" si="22"/>
        <v>0</v>
      </c>
      <c r="V47" s="9">
        <f t="shared" si="23"/>
        <v>0</v>
      </c>
      <c r="W47" s="9">
        <f t="shared" si="24"/>
        <v>0</v>
      </c>
      <c r="X47" s="9">
        <f t="shared" si="25"/>
        <v>0</v>
      </c>
      <c r="Y47" s="7">
        <f t="shared" si="9"/>
        <v>0.47987967531503123</v>
      </c>
      <c r="Z47" s="7">
        <f t="shared" si="10"/>
        <v>6.1190626433525743</v>
      </c>
      <c r="AA47" s="9">
        <f t="shared" si="26"/>
        <v>0</v>
      </c>
      <c r="AB47" s="9">
        <f t="shared" si="27"/>
        <v>0</v>
      </c>
      <c r="AC47" s="9">
        <f t="shared" si="28"/>
        <v>0</v>
      </c>
      <c r="AD47" s="9">
        <f t="shared" si="29"/>
        <v>0</v>
      </c>
      <c r="AE47" s="7">
        <f t="shared" si="11"/>
        <v>0.46042777951630098</v>
      </c>
      <c r="AF47" s="7">
        <f t="shared" si="12"/>
        <v>5.9952468942633219</v>
      </c>
      <c r="AG47" s="9">
        <f t="shared" si="30"/>
        <v>12811992.79632798</v>
      </c>
      <c r="AH47" s="9">
        <f t="shared" si="31"/>
        <v>1366630.1243445692</v>
      </c>
      <c r="AI47" s="9">
        <f t="shared" si="32"/>
        <v>-2372786.3630561219</v>
      </c>
      <c r="AJ47" s="9">
        <f t="shared" si="33"/>
        <v>-2188007.2036720105</v>
      </c>
      <c r="AK47" s="9">
        <f t="shared" si="34"/>
        <v>2372786.3630561219</v>
      </c>
      <c r="AL47" s="9">
        <f t="shared" si="35"/>
        <v>1366630.1243445692</v>
      </c>
      <c r="AM47" s="9">
        <f t="shared" si="36"/>
        <v>3739416.487400691</v>
      </c>
      <c r="AN47" s="9"/>
      <c r="AO47" s="9">
        <f t="shared" si="40"/>
        <v>455923.89579691831</v>
      </c>
    </row>
    <row r="48" spans="1:41" x14ac:dyDescent="0.2">
      <c r="A48" s="6">
        <f t="shared" si="13"/>
        <v>22</v>
      </c>
      <c r="B48" s="7">
        <f t="shared" si="2"/>
        <v>0.46650738020973331</v>
      </c>
      <c r="C48" s="7">
        <f t="shared" si="3"/>
        <v>5.3349261979026679</v>
      </c>
      <c r="D48" s="8">
        <f t="shared" si="41"/>
        <v>0.06</v>
      </c>
      <c r="E48" s="9">
        <f t="shared" si="14"/>
        <v>14560495.302716099</v>
      </c>
      <c r="F48" s="9">
        <f t="shared" si="15"/>
        <v>2919243.4920683643</v>
      </c>
      <c r="G48" s="9">
        <f t="shared" si="16"/>
        <v>929393.31719464459</v>
      </c>
      <c r="H48" s="9">
        <f t="shared" si="17"/>
        <v>1322104.1764172087</v>
      </c>
      <c r="I48" s="9">
        <f t="shared" si="37"/>
        <v>84059.963981639768</v>
      </c>
      <c r="J48" s="9">
        <f t="shared" si="38"/>
        <v>1681199.2796327954</v>
      </c>
      <c r="K48" s="9">
        <f t="shared" si="39"/>
        <v>1597139.3156511555</v>
      </c>
      <c r="L48" s="9">
        <f t="shared" si="4"/>
        <v>10560495.302716099</v>
      </c>
      <c r="M48" s="7">
        <f t="shared" si="5"/>
        <v>0.54026888450197552</v>
      </c>
      <c r="N48" s="7">
        <f t="shared" si="6"/>
        <v>5.7466389437253058</v>
      </c>
      <c r="O48" s="9">
        <f t="shared" si="18"/>
        <v>0</v>
      </c>
      <c r="P48" s="9">
        <f t="shared" si="19"/>
        <v>0</v>
      </c>
      <c r="Q48" s="9">
        <f t="shared" si="20"/>
        <v>0</v>
      </c>
      <c r="R48" s="9">
        <f t="shared" si="21"/>
        <v>0</v>
      </c>
      <c r="S48" s="7">
        <f t="shared" si="7"/>
        <v>0.53036732462955172</v>
      </c>
      <c r="T48" s="7">
        <f t="shared" si="8"/>
        <v>5.6925172772175552</v>
      </c>
      <c r="U48" s="9">
        <f t="shared" si="22"/>
        <v>0</v>
      </c>
      <c r="V48" s="9">
        <f t="shared" si="23"/>
        <v>0</v>
      </c>
      <c r="W48" s="9">
        <f t="shared" si="24"/>
        <v>0</v>
      </c>
      <c r="X48" s="9">
        <f t="shared" si="25"/>
        <v>0</v>
      </c>
      <c r="Y48" s="7">
        <f t="shared" si="9"/>
        <v>0.5206694477168089</v>
      </c>
      <c r="Z48" s="7">
        <f t="shared" si="10"/>
        <v>5.6391829680375416</v>
      </c>
      <c r="AA48" s="9">
        <f t="shared" si="26"/>
        <v>0</v>
      </c>
      <c r="AB48" s="9">
        <f t="shared" si="27"/>
        <v>0</v>
      </c>
      <c r="AC48" s="9">
        <f t="shared" si="28"/>
        <v>0</v>
      </c>
      <c r="AD48" s="9">
        <f t="shared" si="29"/>
        <v>0</v>
      </c>
      <c r="AE48" s="7">
        <f t="shared" si="11"/>
        <v>0.50186627967276809</v>
      </c>
      <c r="AF48" s="7">
        <f t="shared" si="12"/>
        <v>5.5348191147470214</v>
      </c>
      <c r="AG48" s="9">
        <f t="shared" si="30"/>
        <v>10560495.302716127</v>
      </c>
      <c r="AH48" s="9">
        <f t="shared" si="31"/>
        <v>1153079.3516695183</v>
      </c>
      <c r="AI48" s="9">
        <f t="shared" si="32"/>
        <v>-2251497.4936118536</v>
      </c>
      <c r="AJ48" s="9">
        <f t="shared" si="33"/>
        <v>-4439504.697283864</v>
      </c>
      <c r="AK48" s="9">
        <f t="shared" si="34"/>
        <v>2251497.4936118536</v>
      </c>
      <c r="AL48" s="9">
        <f t="shared" si="35"/>
        <v>1153079.3516695183</v>
      </c>
      <c r="AM48" s="9">
        <f t="shared" si="36"/>
        <v>3404576.8452813718</v>
      </c>
      <c r="AN48" s="9"/>
      <c r="AO48" s="9">
        <f t="shared" si="40"/>
        <v>444059.96398163727</v>
      </c>
    </row>
    <row r="49" spans="1:41" x14ac:dyDescent="0.2">
      <c r="A49" s="6">
        <f t="shared" si="13"/>
        <v>23</v>
      </c>
      <c r="B49" s="7">
        <f t="shared" si="2"/>
        <v>0.51315811823070667</v>
      </c>
      <c r="C49" s="7">
        <f t="shared" si="3"/>
        <v>4.8684188176929331</v>
      </c>
      <c r="D49" s="8">
        <f t="shared" si="41"/>
        <v>0.06</v>
      </c>
      <c r="E49" s="9">
        <f t="shared" si="14"/>
        <v>12421596.741910595</v>
      </c>
      <c r="F49" s="9">
        <f t="shared" si="15"/>
        <v>2729277.7374203042</v>
      </c>
      <c r="G49" s="9">
        <f t="shared" si="16"/>
        <v>792867.87714322936</v>
      </c>
      <c r="H49" s="9">
        <f t="shared" si="17"/>
        <v>1346030.6836622746</v>
      </c>
      <c r="I49" s="9">
        <f t="shared" si="37"/>
        <v>72802.476513580492</v>
      </c>
      <c r="J49" s="9">
        <f t="shared" si="38"/>
        <v>1456049.53027161</v>
      </c>
      <c r="K49" s="9">
        <f t="shared" si="39"/>
        <v>1383247.0537580296</v>
      </c>
      <c r="L49" s="9">
        <f t="shared" si="4"/>
        <v>8421596.7419105954</v>
      </c>
      <c r="M49" s="7">
        <f t="shared" si="5"/>
        <v>0.58349039526213364</v>
      </c>
      <c r="N49" s="7">
        <f t="shared" si="6"/>
        <v>5.2063700592233291</v>
      </c>
      <c r="O49" s="9">
        <f t="shared" si="18"/>
        <v>0</v>
      </c>
      <c r="P49" s="9">
        <f t="shared" si="19"/>
        <v>0</v>
      </c>
      <c r="Q49" s="9">
        <f t="shared" si="20"/>
        <v>0</v>
      </c>
      <c r="R49" s="9">
        <f t="shared" si="21"/>
        <v>0</v>
      </c>
      <c r="S49" s="7">
        <f t="shared" si="7"/>
        <v>0.5741226289114898</v>
      </c>
      <c r="T49" s="7">
        <f t="shared" si="8"/>
        <v>5.1621499525880026</v>
      </c>
      <c r="U49" s="9">
        <f t="shared" si="22"/>
        <v>0</v>
      </c>
      <c r="V49" s="9">
        <f t="shared" si="23"/>
        <v>0</v>
      </c>
      <c r="W49" s="9">
        <f t="shared" si="24"/>
        <v>0</v>
      </c>
      <c r="X49" s="9">
        <f t="shared" si="25"/>
        <v>0</v>
      </c>
      <c r="Y49" s="7">
        <f t="shared" si="9"/>
        <v>0.56492635077273767</v>
      </c>
      <c r="Z49" s="7">
        <f t="shared" si="10"/>
        <v>5.1185135203207333</v>
      </c>
      <c r="AA49" s="9">
        <f t="shared" si="26"/>
        <v>0</v>
      </c>
      <c r="AB49" s="9">
        <f t="shared" si="27"/>
        <v>0</v>
      </c>
      <c r="AC49" s="9">
        <f t="shared" si="28"/>
        <v>0</v>
      </c>
      <c r="AD49" s="9">
        <f t="shared" si="29"/>
        <v>0</v>
      </c>
      <c r="AE49" s="7">
        <f t="shared" si="11"/>
        <v>0.5470342448433172</v>
      </c>
      <c r="AF49" s="7">
        <f t="shared" si="12"/>
        <v>5.0329528350742532</v>
      </c>
      <c r="AG49" s="9">
        <f t="shared" si="30"/>
        <v>8421596.7419106215</v>
      </c>
      <c r="AH49" s="9">
        <f t="shared" si="31"/>
        <v>950444.57724445139</v>
      </c>
      <c r="AI49" s="9">
        <f t="shared" si="32"/>
        <v>-2138898.5608055042</v>
      </c>
      <c r="AJ49" s="9">
        <f t="shared" si="33"/>
        <v>-6578403.2580893682</v>
      </c>
      <c r="AK49" s="9">
        <f t="shared" si="34"/>
        <v>2138898.5608055042</v>
      </c>
      <c r="AL49" s="9">
        <f t="shared" si="35"/>
        <v>950444.57724445139</v>
      </c>
      <c r="AM49" s="9">
        <f t="shared" si="36"/>
        <v>3089343.1380499555</v>
      </c>
      <c r="AN49" s="9"/>
      <c r="AO49" s="9">
        <f t="shared" si="40"/>
        <v>432802.47651357856</v>
      </c>
    </row>
    <row r="50" spans="1:41" x14ac:dyDescent="0.2">
      <c r="A50" s="6">
        <f t="shared" si="13"/>
        <v>24</v>
      </c>
      <c r="B50" s="7">
        <f t="shared" si="2"/>
        <v>0.56447393005377733</v>
      </c>
      <c r="C50" s="7">
        <f t="shared" si="3"/>
        <v>4.3552606994622263</v>
      </c>
      <c r="D50" s="8">
        <f t="shared" si="41"/>
        <v>0.06</v>
      </c>
      <c r="E50" s="9">
        <f t="shared" si="14"/>
        <v>10387173.097748226</v>
      </c>
      <c r="F50" s="9">
        <f t="shared" si="15"/>
        <v>2551464.2858514367</v>
      </c>
      <c r="G50" s="9">
        <f t="shared" si="16"/>
        <v>663011.04879243998</v>
      </c>
      <c r="H50" s="9">
        <f t="shared" si="17"/>
        <v>1371412.5953699301</v>
      </c>
      <c r="I50" s="9">
        <f t="shared" si="37"/>
        <v>62107.98370955298</v>
      </c>
      <c r="J50" s="9">
        <f t="shared" si="38"/>
        <v>1242159.6741910595</v>
      </c>
      <c r="K50" s="9">
        <f t="shared" si="39"/>
        <v>1180051.6904815065</v>
      </c>
      <c r="L50" s="9">
        <f t="shared" si="4"/>
        <v>6387173.0977482256</v>
      </c>
      <c r="M50" s="7">
        <f t="shared" si="5"/>
        <v>0.63016962688310441</v>
      </c>
      <c r="N50" s="7">
        <f t="shared" si="6"/>
        <v>4.6228796639611947</v>
      </c>
      <c r="O50" s="9">
        <f t="shared" si="18"/>
        <v>0</v>
      </c>
      <c r="P50" s="9">
        <f t="shared" si="19"/>
        <v>0</v>
      </c>
      <c r="Q50" s="9">
        <f t="shared" si="20"/>
        <v>0</v>
      </c>
      <c r="R50" s="9">
        <f t="shared" si="21"/>
        <v>0</v>
      </c>
      <c r="S50" s="7">
        <f t="shared" si="7"/>
        <v>0.62148774579668775</v>
      </c>
      <c r="T50" s="7">
        <f t="shared" si="8"/>
        <v>4.5880273236765117</v>
      </c>
      <c r="U50" s="9">
        <f t="shared" si="22"/>
        <v>0</v>
      </c>
      <c r="V50" s="9">
        <f t="shared" si="23"/>
        <v>0</v>
      </c>
      <c r="W50" s="9">
        <f t="shared" si="24"/>
        <v>0</v>
      </c>
      <c r="X50" s="9">
        <f t="shared" si="25"/>
        <v>0</v>
      </c>
      <c r="Y50" s="7">
        <f t="shared" si="9"/>
        <v>0.61294509058842039</v>
      </c>
      <c r="Z50" s="7">
        <f t="shared" si="10"/>
        <v>4.5535871695479946</v>
      </c>
      <c r="AA50" s="9">
        <f t="shared" si="26"/>
        <v>0</v>
      </c>
      <c r="AB50" s="9">
        <f t="shared" si="27"/>
        <v>0</v>
      </c>
      <c r="AC50" s="9">
        <f t="shared" si="28"/>
        <v>0</v>
      </c>
      <c r="AD50" s="9">
        <f t="shared" si="29"/>
        <v>0</v>
      </c>
      <c r="AE50" s="7">
        <f t="shared" si="11"/>
        <v>0.5962673268792158</v>
      </c>
      <c r="AF50" s="7">
        <f t="shared" si="12"/>
        <v>4.4859185902309351</v>
      </c>
      <c r="AG50" s="9">
        <f t="shared" si="30"/>
        <v>6387173.0977482516</v>
      </c>
      <c r="AH50" s="9">
        <f t="shared" si="31"/>
        <v>757943.70677195594</v>
      </c>
      <c r="AI50" s="9">
        <f t="shared" si="32"/>
        <v>-2034423.6441623701</v>
      </c>
      <c r="AJ50" s="9">
        <f t="shared" si="33"/>
        <v>-8612826.9022517391</v>
      </c>
      <c r="AK50" s="9">
        <f t="shared" si="34"/>
        <v>2034423.6441623701</v>
      </c>
      <c r="AL50" s="9">
        <f t="shared" si="35"/>
        <v>757943.70677195594</v>
      </c>
      <c r="AM50" s="9">
        <f t="shared" si="36"/>
        <v>2792367.3509343262</v>
      </c>
      <c r="AN50" s="9"/>
      <c r="AO50" s="9">
        <f t="shared" si="40"/>
        <v>422107.98370955046</v>
      </c>
    </row>
    <row r="51" spans="1:41" x14ac:dyDescent="0.2">
      <c r="A51" s="6">
        <f t="shared" si="13"/>
        <v>25</v>
      </c>
      <c r="B51" s="7">
        <f t="shared" si="2"/>
        <v>0.62092132305915504</v>
      </c>
      <c r="C51" s="7">
        <f t="shared" si="3"/>
        <v>3.7907867694084496</v>
      </c>
      <c r="D51" s="8">
        <f t="shared" si="41"/>
        <v>0.06</v>
      </c>
      <c r="E51" s="9">
        <f t="shared" si="14"/>
        <v>8449643.9614255577</v>
      </c>
      <c r="F51" s="9">
        <f t="shared" si="15"/>
        <v>2384971.6043475424</v>
      </c>
      <c r="G51" s="9">
        <f t="shared" si="16"/>
        <v>539338.97626120585</v>
      </c>
      <c r="H51" s="9">
        <f t="shared" si="17"/>
        <v>1398190.1600614609</v>
      </c>
      <c r="I51" s="9">
        <f t="shared" si="37"/>
        <v>51935.865488741132</v>
      </c>
      <c r="J51" s="9">
        <f t="shared" si="38"/>
        <v>1038717.3097748226</v>
      </c>
      <c r="K51" s="9">
        <f t="shared" si="39"/>
        <v>986781.44428608147</v>
      </c>
      <c r="L51" s="9">
        <f t="shared" si="4"/>
        <v>4449643.9614255577</v>
      </c>
      <c r="M51" s="7">
        <f t="shared" si="5"/>
        <v>0.68058319703375281</v>
      </c>
      <c r="N51" s="7">
        <f t="shared" si="6"/>
        <v>3.9927100370780897</v>
      </c>
      <c r="O51" s="9">
        <f t="shared" si="18"/>
        <v>0</v>
      </c>
      <c r="P51" s="9">
        <f t="shared" si="19"/>
        <v>0</v>
      </c>
      <c r="Q51" s="9">
        <f t="shared" si="20"/>
        <v>0</v>
      </c>
      <c r="R51" s="9">
        <f t="shared" si="21"/>
        <v>0</v>
      </c>
      <c r="S51" s="7">
        <f t="shared" si="7"/>
        <v>0.67276048482491457</v>
      </c>
      <c r="T51" s="7">
        <f t="shared" si="8"/>
        <v>3.9665395778798231</v>
      </c>
      <c r="U51" s="9">
        <f t="shared" si="22"/>
        <v>0</v>
      </c>
      <c r="V51" s="9">
        <f t="shared" si="23"/>
        <v>0</v>
      </c>
      <c r="W51" s="9">
        <f t="shared" si="24"/>
        <v>0</v>
      </c>
      <c r="X51" s="9">
        <f t="shared" si="25"/>
        <v>0</v>
      </c>
      <c r="Y51" s="7">
        <f t="shared" si="9"/>
        <v>0.66504542328843608</v>
      </c>
      <c r="Z51" s="7">
        <f t="shared" si="10"/>
        <v>3.9406420789595753</v>
      </c>
      <c r="AA51" s="9">
        <f t="shared" si="26"/>
        <v>0</v>
      </c>
      <c r="AB51" s="9">
        <f t="shared" si="27"/>
        <v>0</v>
      </c>
      <c r="AC51" s="9">
        <f t="shared" si="28"/>
        <v>0</v>
      </c>
      <c r="AD51" s="9">
        <f t="shared" si="29"/>
        <v>0</v>
      </c>
      <c r="AE51" s="7">
        <f t="shared" si="11"/>
        <v>0.64993138629834524</v>
      </c>
      <c r="AF51" s="7">
        <f t="shared" si="12"/>
        <v>3.8896512633517193</v>
      </c>
      <c r="AG51" s="9">
        <f t="shared" si="30"/>
        <v>4449643.9614255847</v>
      </c>
      <c r="AH51" s="9">
        <f t="shared" si="31"/>
        <v>574845.5787973426</v>
      </c>
      <c r="AI51" s="9">
        <f t="shared" si="32"/>
        <v>-1937529.1363226669</v>
      </c>
      <c r="AJ51" s="9">
        <f t="shared" si="33"/>
        <v>-10550356.038574405</v>
      </c>
      <c r="AK51" s="9">
        <f t="shared" si="34"/>
        <v>1937529.1363226669</v>
      </c>
      <c r="AL51" s="9">
        <f t="shared" si="35"/>
        <v>574845.5787973426</v>
      </c>
      <c r="AM51" s="9">
        <f t="shared" si="36"/>
        <v>2512374.7151200096</v>
      </c>
      <c r="AN51" s="9"/>
      <c r="AO51" s="9">
        <f t="shared" si="40"/>
        <v>411935.86548873875</v>
      </c>
    </row>
    <row r="52" spans="1:41" x14ac:dyDescent="0.2">
      <c r="A52" s="6">
        <f t="shared" si="13"/>
        <v>26</v>
      </c>
      <c r="B52" s="7">
        <f t="shared" si="2"/>
        <v>0.68301345536507052</v>
      </c>
      <c r="C52" s="7">
        <f t="shared" si="3"/>
        <v>3.169865446349295</v>
      </c>
      <c r="D52" s="8">
        <f t="shared" si="41"/>
        <v>0.06</v>
      </c>
      <c r="E52" s="9">
        <f t="shared" si="14"/>
        <v>6601963.4262969289</v>
      </c>
      <c r="F52" s="9">
        <f t="shared" si="15"/>
        <v>2228994.7906365939</v>
      </c>
      <c r="G52" s="9">
        <f t="shared" si="16"/>
        <v>421401.9208274635</v>
      </c>
      <c r="H52" s="9">
        <f t="shared" si="17"/>
        <v>1426278.614301166</v>
      </c>
      <c r="I52" s="9">
        <f t="shared" si="37"/>
        <v>42248.219807127789</v>
      </c>
      <c r="J52" s="9">
        <f t="shared" si="38"/>
        <v>844964.39614255587</v>
      </c>
      <c r="K52" s="9">
        <f t="shared" si="39"/>
        <v>802716.17633542803</v>
      </c>
      <c r="L52" s="9">
        <f t="shared" si="4"/>
        <v>2601963.4262969289</v>
      </c>
      <c r="M52" s="7">
        <f t="shared" si="5"/>
        <v>0.73502985279645316</v>
      </c>
      <c r="N52" s="7">
        <f t="shared" si="6"/>
        <v>3.3121268400443356</v>
      </c>
      <c r="O52" s="9">
        <f t="shared" si="18"/>
        <v>0</v>
      </c>
      <c r="P52" s="9">
        <f t="shared" si="19"/>
        <v>0</v>
      </c>
      <c r="Q52" s="9">
        <f t="shared" si="20"/>
        <v>0</v>
      </c>
      <c r="R52" s="9">
        <f t="shared" si="21"/>
        <v>0</v>
      </c>
      <c r="S52" s="7">
        <f t="shared" si="7"/>
        <v>0.72826322482297001</v>
      </c>
      <c r="T52" s="7">
        <f t="shared" si="8"/>
        <v>3.2937790930549089</v>
      </c>
      <c r="U52" s="9">
        <f t="shared" si="22"/>
        <v>0</v>
      </c>
      <c r="V52" s="9">
        <f t="shared" si="23"/>
        <v>0</v>
      </c>
      <c r="W52" s="9">
        <f t="shared" si="24"/>
        <v>0</v>
      </c>
      <c r="X52" s="9">
        <f t="shared" si="25"/>
        <v>0</v>
      </c>
      <c r="Y52" s="7">
        <f t="shared" si="9"/>
        <v>0.72157428426795311</v>
      </c>
      <c r="Z52" s="7">
        <f t="shared" si="10"/>
        <v>3.2755966556711398</v>
      </c>
      <c r="AA52" s="9">
        <f t="shared" si="26"/>
        <v>0</v>
      </c>
      <c r="AB52" s="9">
        <f t="shared" si="27"/>
        <v>0</v>
      </c>
      <c r="AC52" s="9">
        <f t="shared" si="28"/>
        <v>0</v>
      </c>
      <c r="AD52" s="9">
        <f t="shared" si="29"/>
        <v>0</v>
      </c>
      <c r="AE52" s="7">
        <f t="shared" si="11"/>
        <v>0.7084252110651964</v>
      </c>
      <c r="AF52" s="7">
        <f t="shared" si="12"/>
        <v>3.2397198770533731</v>
      </c>
      <c r="AG52" s="9">
        <f t="shared" si="30"/>
        <v>2601963.426296955</v>
      </c>
      <c r="AH52" s="9">
        <f t="shared" si="31"/>
        <v>400467.95652830263</v>
      </c>
      <c r="AI52" s="9">
        <f t="shared" si="32"/>
        <v>-1847680.5351286295</v>
      </c>
      <c r="AJ52" s="9">
        <f t="shared" si="33"/>
        <v>-12398036.573703034</v>
      </c>
      <c r="AK52" s="9">
        <f t="shared" si="34"/>
        <v>1847680.5351286295</v>
      </c>
      <c r="AL52" s="9">
        <f t="shared" si="35"/>
        <v>400467.95652830263</v>
      </c>
      <c r="AM52" s="9">
        <f t="shared" si="36"/>
        <v>2248148.491656932</v>
      </c>
      <c r="AN52" s="9"/>
      <c r="AO52" s="9">
        <f t="shared" si="40"/>
        <v>402248.21980712563</v>
      </c>
    </row>
    <row r="53" spans="1:41" x14ac:dyDescent="0.2">
      <c r="A53" s="6">
        <f t="shared" si="13"/>
        <v>27</v>
      </c>
      <c r="B53" s="7">
        <f t="shared" si="2"/>
        <v>0.75131480090157765</v>
      </c>
      <c r="C53" s="7">
        <f t="shared" si="3"/>
        <v>2.4868519909842233</v>
      </c>
      <c r="D53" s="8">
        <f t="shared" si="41"/>
        <v>0.06</v>
      </c>
      <c r="E53" s="9">
        <f t="shared" si="14"/>
        <v>4837637.8490432044</v>
      </c>
      <c r="F53" s="9">
        <f t="shared" si="15"/>
        <v>2082726.7081321543</v>
      </c>
      <c r="G53" s="9">
        <f t="shared" si="16"/>
        <v>308785.39461977896</v>
      </c>
      <c r="H53" s="9">
        <f t="shared" si="17"/>
        <v>1455540.182633946</v>
      </c>
      <c r="I53" s="9">
        <f t="shared" si="37"/>
        <v>33009.817131484648</v>
      </c>
      <c r="J53" s="9">
        <f t="shared" si="38"/>
        <v>660196.34262969298</v>
      </c>
      <c r="K53" s="9">
        <f t="shared" si="39"/>
        <v>627186.52549820836</v>
      </c>
      <c r="L53" s="9">
        <f t="shared" si="4"/>
        <v>837637.84904320445</v>
      </c>
      <c r="M53" s="7">
        <f t="shared" si="5"/>
        <v>0.79383224102016947</v>
      </c>
      <c r="N53" s="7">
        <f t="shared" si="6"/>
        <v>2.5770969872478817</v>
      </c>
      <c r="O53" s="9">
        <f t="shared" si="18"/>
        <v>0</v>
      </c>
      <c r="P53" s="9">
        <f t="shared" si="19"/>
        <v>0</v>
      </c>
      <c r="Q53" s="9">
        <f t="shared" si="20"/>
        <v>0</v>
      </c>
      <c r="R53" s="9">
        <f t="shared" si="21"/>
        <v>0</v>
      </c>
      <c r="S53" s="7">
        <f t="shared" si="7"/>
        <v>0.78834494087086504</v>
      </c>
      <c r="T53" s="7">
        <f t="shared" si="8"/>
        <v>2.5655158682319388</v>
      </c>
      <c r="U53" s="9">
        <f t="shared" si="22"/>
        <v>0</v>
      </c>
      <c r="V53" s="9">
        <f t="shared" si="23"/>
        <v>0</v>
      </c>
      <c r="W53" s="9">
        <f t="shared" si="24"/>
        <v>0</v>
      </c>
      <c r="X53" s="9">
        <f t="shared" si="25"/>
        <v>0</v>
      </c>
      <c r="Y53" s="7">
        <f t="shared" si="9"/>
        <v>0.78290809843072917</v>
      </c>
      <c r="Z53" s="7">
        <f t="shared" si="10"/>
        <v>2.5540223714031862</v>
      </c>
      <c r="AA53" s="9">
        <f t="shared" si="26"/>
        <v>0</v>
      </c>
      <c r="AB53" s="9">
        <f t="shared" si="27"/>
        <v>0</v>
      </c>
      <c r="AC53" s="9">
        <f t="shared" si="28"/>
        <v>0</v>
      </c>
      <c r="AD53" s="9">
        <f t="shared" si="29"/>
        <v>0</v>
      </c>
      <c r="AE53" s="7">
        <f t="shared" si="11"/>
        <v>0.77218348006106408</v>
      </c>
      <c r="AF53" s="7">
        <f t="shared" si="12"/>
        <v>2.531294665988177</v>
      </c>
      <c r="AG53" s="9">
        <f t="shared" si="30"/>
        <v>837637.84904323006</v>
      </c>
      <c r="AH53" s="9">
        <f t="shared" si="31"/>
        <v>234176.70836672594</v>
      </c>
      <c r="AI53" s="9">
        <f t="shared" si="32"/>
        <v>-1764325.5772537249</v>
      </c>
      <c r="AJ53" s="9">
        <f t="shared" si="33"/>
        <v>-14162362.150956759</v>
      </c>
      <c r="AK53" s="9">
        <f t="shared" si="34"/>
        <v>1764325.5772537249</v>
      </c>
      <c r="AL53" s="9">
        <f t="shared" si="35"/>
        <v>234176.70836672594</v>
      </c>
      <c r="AM53" s="9">
        <f t="shared" si="36"/>
        <v>1998502.285620451</v>
      </c>
      <c r="AN53" s="9"/>
      <c r="AO53" s="9">
        <f t="shared" si="40"/>
        <v>393009.81713148206</v>
      </c>
    </row>
    <row r="54" spans="1:41" x14ac:dyDescent="0.2">
      <c r="A54" s="6">
        <f t="shared" si="13"/>
        <v>28</v>
      </c>
      <c r="B54" s="7">
        <f t="shared" si="2"/>
        <v>0.82644628099173545</v>
      </c>
      <c r="C54" s="7">
        <f t="shared" si="3"/>
        <v>1.7355371900826455</v>
      </c>
      <c r="D54" s="8">
        <f t="shared" si="41"/>
        <v>0.06</v>
      </c>
      <c r="E54" s="9">
        <f t="shared" si="14"/>
        <v>3150811.9919621903</v>
      </c>
      <c r="F54" s="9">
        <f t="shared" si="15"/>
        <v>1945285.7936787019</v>
      </c>
      <c r="G54" s="9">
        <f t="shared" si="16"/>
        <v>201115.6590614164</v>
      </c>
      <c r="H54" s="9">
        <f t="shared" si="17"/>
        <v>1485710.1980195974</v>
      </c>
      <c r="I54" s="9">
        <f t="shared" si="37"/>
        <v>24188.189245216021</v>
      </c>
      <c r="J54" s="9">
        <f t="shared" si="38"/>
        <v>483763.78490432049</v>
      </c>
      <c r="K54" s="9">
        <f t="shared" si="39"/>
        <v>459575.59565910447</v>
      </c>
      <c r="L54" s="9">
        <f t="shared" si="4"/>
        <v>0</v>
      </c>
      <c r="M54" s="7">
        <f t="shared" si="5"/>
        <v>0.8573388203017831</v>
      </c>
      <c r="N54" s="7">
        <f t="shared" si="6"/>
        <v>1.7832647462277111</v>
      </c>
      <c r="O54" s="9">
        <f t="shared" si="18"/>
        <v>0</v>
      </c>
      <c r="P54" s="9">
        <f t="shared" si="19"/>
        <v>0</v>
      </c>
      <c r="Q54" s="9">
        <f t="shared" si="20"/>
        <v>0</v>
      </c>
      <c r="R54" s="9">
        <f t="shared" si="21"/>
        <v>0</v>
      </c>
      <c r="S54" s="7">
        <f t="shared" si="7"/>
        <v>0.8533833984927115</v>
      </c>
      <c r="T54" s="7">
        <f t="shared" si="8"/>
        <v>1.7771709273610727</v>
      </c>
      <c r="U54" s="9">
        <f t="shared" si="22"/>
        <v>0</v>
      </c>
      <c r="V54" s="9">
        <f t="shared" si="23"/>
        <v>0</v>
      </c>
      <c r="W54" s="9">
        <f t="shared" si="24"/>
        <v>0</v>
      </c>
      <c r="X54" s="9">
        <f t="shared" si="25"/>
        <v>0</v>
      </c>
      <c r="Y54" s="7">
        <f t="shared" si="9"/>
        <v>0.84945528679734117</v>
      </c>
      <c r="Z54" s="7">
        <f t="shared" si="10"/>
        <v>1.7711142729724567</v>
      </c>
      <c r="AA54" s="9">
        <f t="shared" si="26"/>
        <v>0</v>
      </c>
      <c r="AB54" s="9">
        <f t="shared" si="27"/>
        <v>0</v>
      </c>
      <c r="AC54" s="9">
        <f t="shared" si="28"/>
        <v>0</v>
      </c>
      <c r="AD54" s="9">
        <f t="shared" si="29"/>
        <v>0</v>
      </c>
      <c r="AE54" s="7">
        <f t="shared" si="11"/>
        <v>0.84167999326655996</v>
      </c>
      <c r="AF54" s="7">
        <f t="shared" si="12"/>
        <v>1.7591111859271116</v>
      </c>
      <c r="AG54" s="9">
        <f t="shared" si="30"/>
        <v>0</v>
      </c>
      <c r="AH54" s="9">
        <f t="shared" si="31"/>
        <v>75387.406413890698</v>
      </c>
      <c r="AI54" s="9">
        <f t="shared" si="32"/>
        <v>-837637.84904323006</v>
      </c>
      <c r="AJ54" s="9">
        <f t="shared" si="33"/>
        <v>-14999999.999999989</v>
      </c>
      <c r="AK54" s="9">
        <f t="shared" si="34"/>
        <v>837637.84904323006</v>
      </c>
      <c r="AL54" s="9">
        <f t="shared" si="35"/>
        <v>75387.406413890698</v>
      </c>
      <c r="AM54" s="9">
        <f t="shared" si="36"/>
        <v>913025.25545712071</v>
      </c>
      <c r="AN54" s="9"/>
      <c r="AO54" s="9">
        <f t="shared" si="40"/>
        <v>1233376.1972829977</v>
      </c>
    </row>
    <row r="55" spans="1:41" x14ac:dyDescent="0.2">
      <c r="A55" s="6">
        <f t="shared" si="13"/>
        <v>29</v>
      </c>
      <c r="B55" s="7">
        <f t="shared" si="2"/>
        <v>0.90909090909090906</v>
      </c>
      <c r="C55" s="7">
        <f t="shared" si="3"/>
        <v>0.90909090909090939</v>
      </c>
      <c r="D55" s="8">
        <f t="shared" si="41"/>
        <v>0.06</v>
      </c>
      <c r="E55" s="9">
        <f t="shared" si="14"/>
        <v>1536590.9930134476</v>
      </c>
      <c r="F55" s="9">
        <f t="shared" si="15"/>
        <v>1815467.8620353562</v>
      </c>
      <c r="G55" s="9">
        <f t="shared" si="16"/>
        <v>98080.276149794518</v>
      </c>
      <c r="H55" s="9">
        <f t="shared" si="17"/>
        <v>1516140.7227989482</v>
      </c>
      <c r="I55" s="9">
        <f t="shared" si="37"/>
        <v>15754.059959810951</v>
      </c>
      <c r="J55" s="9">
        <f t="shared" si="38"/>
        <v>315081.19919621904</v>
      </c>
      <c r="K55" s="9">
        <f t="shared" si="39"/>
        <v>299327.13923640811</v>
      </c>
      <c r="L55" s="9">
        <f t="shared" si="4"/>
        <v>0</v>
      </c>
      <c r="M55" s="7">
        <f t="shared" si="5"/>
        <v>0.92592592592592582</v>
      </c>
      <c r="N55" s="7">
        <f t="shared" si="6"/>
        <v>0.92592592592592726</v>
      </c>
      <c r="O55" s="9">
        <f t="shared" si="18"/>
        <v>0</v>
      </c>
      <c r="P55" s="9">
        <f t="shared" si="19"/>
        <v>0</v>
      </c>
      <c r="Q55" s="9">
        <f t="shared" si="20"/>
        <v>0</v>
      </c>
      <c r="R55" s="9">
        <f t="shared" si="21"/>
        <v>0</v>
      </c>
      <c r="S55" s="7">
        <f t="shared" si="7"/>
        <v>0.92378752886836024</v>
      </c>
      <c r="T55" s="7">
        <f t="shared" si="8"/>
        <v>0.92378752886836069</v>
      </c>
      <c r="U55" s="9">
        <f t="shared" si="22"/>
        <v>0</v>
      </c>
      <c r="V55" s="9">
        <f t="shared" si="23"/>
        <v>0</v>
      </c>
      <c r="W55" s="9">
        <f t="shared" si="24"/>
        <v>0</v>
      </c>
      <c r="X55" s="9">
        <f t="shared" si="25"/>
        <v>0</v>
      </c>
      <c r="Y55" s="7">
        <f t="shared" si="9"/>
        <v>0.92165898617511521</v>
      </c>
      <c r="Z55" s="7">
        <f t="shared" si="10"/>
        <v>0.9216589861751151</v>
      </c>
      <c r="AA55" s="9">
        <f t="shared" si="26"/>
        <v>0</v>
      </c>
      <c r="AB55" s="9">
        <f t="shared" si="27"/>
        <v>0</v>
      </c>
      <c r="AC55" s="9">
        <f t="shared" si="28"/>
        <v>0</v>
      </c>
      <c r="AD55" s="9">
        <f t="shared" si="29"/>
        <v>0</v>
      </c>
      <c r="AE55" s="7">
        <f t="shared" si="11"/>
        <v>0.9174311926605504</v>
      </c>
      <c r="AF55" s="7">
        <f t="shared" si="12"/>
        <v>0.91743119266055106</v>
      </c>
      <c r="AG55" s="9">
        <f t="shared" si="30"/>
        <v>0</v>
      </c>
      <c r="AH55" s="9">
        <f t="shared" si="31"/>
        <v>0</v>
      </c>
      <c r="AI55" s="9">
        <f t="shared" si="32"/>
        <v>0</v>
      </c>
      <c r="AJ55" s="9">
        <f t="shared" si="33"/>
        <v>-14999999.999999989</v>
      </c>
      <c r="AK55" s="9">
        <f t="shared" si="34"/>
        <v>0</v>
      </c>
      <c r="AL55" s="9">
        <f t="shared" si="35"/>
        <v>0</v>
      </c>
      <c r="AM55" s="9">
        <f t="shared" si="36"/>
        <v>0</v>
      </c>
      <c r="AN55" s="9"/>
      <c r="AO55" s="9">
        <f t="shared" si="40"/>
        <v>1913548.1381851507</v>
      </c>
    </row>
    <row r="56" spans="1:41" x14ac:dyDescent="0.2">
      <c r="A56" s="6">
        <f t="shared" si="13"/>
        <v>30</v>
      </c>
      <c r="B56" s="7">
        <v>1</v>
      </c>
      <c r="C56" s="7">
        <f t="shared" si="3"/>
        <v>0</v>
      </c>
      <c r="D56" s="8">
        <f t="shared" si="41"/>
        <v>0.06</v>
      </c>
      <c r="E56" s="9">
        <f t="shared" si="14"/>
        <v>-7221.9776671626323</v>
      </c>
      <c r="F56" s="9">
        <f t="shared" si="15"/>
        <v>1690250.0923147919</v>
      </c>
      <c r="G56" s="9">
        <f t="shared" si="16"/>
        <v>-460.97729790399779</v>
      </c>
      <c r="H56" s="9">
        <f t="shared" si="17"/>
        <v>1544273.9479785142</v>
      </c>
      <c r="I56" s="9">
        <f t="shared" si="37"/>
        <v>7682.9549650672379</v>
      </c>
      <c r="J56" s="9">
        <f t="shared" si="38"/>
        <v>153659.09930134477</v>
      </c>
      <c r="K56" s="9">
        <f t="shared" si="39"/>
        <v>145976.14433627753</v>
      </c>
      <c r="L56" s="9">
        <f t="shared" si="4"/>
        <v>0</v>
      </c>
      <c r="M56" s="7">
        <v>1</v>
      </c>
      <c r="N56" s="7">
        <f t="shared" si="6"/>
        <v>0</v>
      </c>
      <c r="O56" s="9">
        <f t="shared" si="18"/>
        <v>0</v>
      </c>
      <c r="P56" s="9">
        <f t="shared" si="19"/>
        <v>0</v>
      </c>
      <c r="Q56" s="9">
        <f t="shared" si="20"/>
        <v>0</v>
      </c>
      <c r="R56" s="9">
        <f t="shared" si="21"/>
        <v>0</v>
      </c>
      <c r="S56" s="7">
        <v>1</v>
      </c>
      <c r="T56" s="7">
        <f t="shared" si="8"/>
        <v>0</v>
      </c>
      <c r="U56" s="9">
        <f t="shared" si="22"/>
        <v>0</v>
      </c>
      <c r="V56" s="9">
        <f t="shared" si="23"/>
        <v>0</v>
      </c>
      <c r="W56" s="9">
        <f t="shared" si="24"/>
        <v>0</v>
      </c>
      <c r="X56" s="9">
        <f t="shared" si="25"/>
        <v>0</v>
      </c>
      <c r="Y56" s="7">
        <v>1</v>
      </c>
      <c r="Z56" s="7">
        <f t="shared" si="10"/>
        <v>0</v>
      </c>
      <c r="AA56" s="9">
        <f t="shared" si="26"/>
        <v>0</v>
      </c>
      <c r="AB56" s="9">
        <f t="shared" si="27"/>
        <v>0</v>
      </c>
      <c r="AC56" s="9">
        <f t="shared" si="28"/>
        <v>0</v>
      </c>
      <c r="AD56" s="9">
        <f t="shared" si="29"/>
        <v>0</v>
      </c>
      <c r="AE56" s="7">
        <v>1</v>
      </c>
      <c r="AF56" s="7">
        <f t="shared" si="12"/>
        <v>0</v>
      </c>
      <c r="AG56" s="9">
        <f t="shared" si="30"/>
        <v>0</v>
      </c>
      <c r="AH56" s="9">
        <f t="shared" si="31"/>
        <v>0</v>
      </c>
      <c r="AI56" s="9">
        <f t="shared" si="32"/>
        <v>0</v>
      </c>
      <c r="AJ56" s="9">
        <f t="shared" si="33"/>
        <v>-14999999.999999989</v>
      </c>
      <c r="AK56" s="9">
        <f t="shared" si="34"/>
        <v>0</v>
      </c>
      <c r="AL56" s="9">
        <f t="shared" si="35"/>
        <v>0</v>
      </c>
      <c r="AM56" s="9">
        <f t="shared" si="36"/>
        <v>0</v>
      </c>
      <c r="AN56" s="9">
        <f>-AN26</f>
        <v>4000000</v>
      </c>
      <c r="AO56" s="9">
        <f t="shared" si="40"/>
        <v>1689789.1150168879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opLeftCell="AE24" workbookViewId="0">
      <selection activeCell="AP8" sqref="AP8"/>
    </sheetView>
  </sheetViews>
  <sheetFormatPr defaultRowHeight="12.75" x14ac:dyDescent="0.2"/>
  <cols>
    <col min="3" max="3" width="11.7109375" bestFit="1" customWidth="1"/>
    <col min="4" max="4" width="14.28515625" bestFit="1" customWidth="1"/>
    <col min="5" max="5" width="11.7109375" bestFit="1" customWidth="1"/>
    <col min="9" max="29" width="12.28515625" bestFit="1" customWidth="1"/>
  </cols>
  <sheetData>
    <row r="1" spans="1:29" x14ac:dyDescent="0.2">
      <c r="I1" s="10"/>
    </row>
    <row r="2" spans="1:29" x14ac:dyDescent="0.2">
      <c r="A2" t="s">
        <v>65</v>
      </c>
      <c r="D2" s="15">
        <v>1.4</v>
      </c>
      <c r="E2" s="16">
        <v>0.8</v>
      </c>
      <c r="F2" s="16">
        <v>1</v>
      </c>
      <c r="I2" s="16">
        <v>0</v>
      </c>
      <c r="J2" s="16">
        <v>0.25</v>
      </c>
      <c r="K2" s="16">
        <v>0.5</v>
      </c>
      <c r="L2" s="16">
        <v>0.75</v>
      </c>
      <c r="M2" s="16">
        <v>1</v>
      </c>
      <c r="N2" s="16">
        <v>1.25</v>
      </c>
      <c r="O2" s="16">
        <v>1.5</v>
      </c>
      <c r="P2" s="16">
        <v>1.75</v>
      </c>
      <c r="Q2" s="16">
        <v>2</v>
      </c>
      <c r="R2" s="16">
        <v>2.25</v>
      </c>
      <c r="S2" s="16">
        <v>2.5</v>
      </c>
      <c r="T2" s="16">
        <v>2.75</v>
      </c>
      <c r="U2" s="16">
        <v>3</v>
      </c>
      <c r="V2" s="16">
        <v>3.25</v>
      </c>
      <c r="W2" s="16">
        <v>3.5</v>
      </c>
      <c r="X2" s="16">
        <v>3.75</v>
      </c>
      <c r="Y2" s="16">
        <v>4</v>
      </c>
      <c r="Z2" s="16">
        <v>4.25</v>
      </c>
      <c r="AA2" s="16">
        <v>4.5</v>
      </c>
      <c r="AB2" s="16">
        <v>4.75</v>
      </c>
      <c r="AC2" s="16">
        <v>5</v>
      </c>
    </row>
    <row r="3" spans="1:29" x14ac:dyDescent="0.2">
      <c r="A3" t="s">
        <v>87</v>
      </c>
      <c r="C3" s="19">
        <f>Tranches!C15</f>
        <v>25000000</v>
      </c>
      <c r="D3" s="20">
        <f>C3*D2</f>
        <v>35000000</v>
      </c>
      <c r="E3" s="19">
        <f>C3*E2</f>
        <v>20000000</v>
      </c>
      <c r="F3">
        <f>+C3*F2</f>
        <v>25000000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</row>
    <row r="4" spans="1:29" x14ac:dyDescent="0.2">
      <c r="B4" t="s">
        <v>67</v>
      </c>
      <c r="D4" t="s">
        <v>68</v>
      </c>
      <c r="E4" t="s">
        <v>69</v>
      </c>
      <c r="F4" t="s">
        <v>64</v>
      </c>
      <c r="I4" s="19">
        <f>-$F$3</f>
        <v>-25000000</v>
      </c>
      <c r="J4" s="19">
        <f t="shared" ref="J4:AC4" si="0">-$F$3</f>
        <v>-25000000</v>
      </c>
      <c r="K4" s="19">
        <f t="shared" si="0"/>
        <v>-25000000</v>
      </c>
      <c r="L4" s="19">
        <f t="shared" si="0"/>
        <v>-25000000</v>
      </c>
      <c r="M4" s="19">
        <f t="shared" si="0"/>
        <v>-25000000</v>
      </c>
      <c r="N4" s="19">
        <f t="shared" si="0"/>
        <v>-25000000</v>
      </c>
      <c r="O4" s="19">
        <f t="shared" si="0"/>
        <v>-25000000</v>
      </c>
      <c r="P4" s="19">
        <f t="shared" si="0"/>
        <v>-25000000</v>
      </c>
      <c r="Q4" s="19">
        <f t="shared" si="0"/>
        <v>-25000000</v>
      </c>
      <c r="R4" s="19">
        <f t="shared" si="0"/>
        <v>-25000000</v>
      </c>
      <c r="S4" s="19">
        <f t="shared" si="0"/>
        <v>-25000000</v>
      </c>
      <c r="T4" s="19">
        <f t="shared" si="0"/>
        <v>-25000000</v>
      </c>
      <c r="U4" s="19">
        <f t="shared" si="0"/>
        <v>-25000000</v>
      </c>
      <c r="V4" s="19">
        <f t="shared" si="0"/>
        <v>-25000000</v>
      </c>
      <c r="W4" s="19">
        <f t="shared" si="0"/>
        <v>-25000000</v>
      </c>
      <c r="X4" s="19">
        <f t="shared" si="0"/>
        <v>-25000000</v>
      </c>
      <c r="Y4" s="19">
        <f t="shared" si="0"/>
        <v>-25000000</v>
      </c>
      <c r="Z4" s="19">
        <f t="shared" si="0"/>
        <v>-25000000</v>
      </c>
      <c r="AA4" s="19">
        <f t="shared" si="0"/>
        <v>-25000000</v>
      </c>
      <c r="AB4" s="19">
        <f t="shared" si="0"/>
        <v>-25000000</v>
      </c>
      <c r="AC4" s="19">
        <f t="shared" si="0"/>
        <v>-25000000</v>
      </c>
    </row>
    <row r="5" spans="1:29" x14ac:dyDescent="0.2">
      <c r="A5">
        <v>1</v>
      </c>
      <c r="B5" s="16">
        <v>0</v>
      </c>
      <c r="C5" s="15">
        <f>$I$36</f>
        <v>8.5000000000000048E-2</v>
      </c>
      <c r="D5" s="15">
        <v>4.7937613990335103E-2</v>
      </c>
      <c r="E5" s="15">
        <v>0.11287033688489297</v>
      </c>
      <c r="F5" s="15">
        <v>8.5000000000000048E-2</v>
      </c>
      <c r="H5">
        <v>1</v>
      </c>
      <c r="I5">
        <v>2125000</v>
      </c>
      <c r="J5">
        <v>2125000</v>
      </c>
      <c r="K5">
        <v>2125000</v>
      </c>
      <c r="L5">
        <v>2125000</v>
      </c>
      <c r="M5">
        <v>2125000</v>
      </c>
      <c r="N5">
        <v>2125000</v>
      </c>
      <c r="O5">
        <v>2125000</v>
      </c>
      <c r="P5">
        <v>2125000</v>
      </c>
      <c r="Q5">
        <v>2125000</v>
      </c>
      <c r="R5">
        <v>2125000</v>
      </c>
      <c r="S5">
        <v>2125000</v>
      </c>
      <c r="T5">
        <v>2125000</v>
      </c>
      <c r="U5">
        <v>2125000</v>
      </c>
      <c r="V5">
        <v>2125000</v>
      </c>
      <c r="W5">
        <v>2125000</v>
      </c>
      <c r="X5">
        <v>2125000</v>
      </c>
      <c r="Y5">
        <v>2125000</v>
      </c>
      <c r="Z5">
        <v>2125000</v>
      </c>
      <c r="AA5">
        <v>2125000</v>
      </c>
      <c r="AB5">
        <v>2125000</v>
      </c>
      <c r="AC5">
        <v>2125000</v>
      </c>
    </row>
    <row r="6" spans="1:29" x14ac:dyDescent="0.2">
      <c r="A6">
        <v>2</v>
      </c>
      <c r="B6" s="16">
        <f>B5+0.25</f>
        <v>0.25</v>
      </c>
      <c r="C6" s="15">
        <f>$J$36</f>
        <v>8.5000000000000062E-2</v>
      </c>
      <c r="D6" s="15">
        <v>4.528974295064285E-2</v>
      </c>
      <c r="E6" s="15">
        <v>0.11460149426555466</v>
      </c>
      <c r="F6" s="15">
        <v>8.5000000000000062E-2</v>
      </c>
      <c r="H6">
        <v>2</v>
      </c>
      <c r="I6">
        <v>2125000</v>
      </c>
      <c r="J6">
        <v>2125000</v>
      </c>
      <c r="K6">
        <v>2125000</v>
      </c>
      <c r="L6">
        <v>2125000</v>
      </c>
      <c r="M6">
        <v>2125000</v>
      </c>
      <c r="N6">
        <v>2125000</v>
      </c>
      <c r="O6">
        <v>2125000</v>
      </c>
      <c r="P6">
        <v>2125000</v>
      </c>
      <c r="Q6">
        <v>2125000</v>
      </c>
      <c r="R6">
        <v>2125000</v>
      </c>
      <c r="S6">
        <v>2125000</v>
      </c>
      <c r="T6">
        <v>2125000</v>
      </c>
      <c r="U6">
        <v>2125000</v>
      </c>
      <c r="V6">
        <v>2125000</v>
      </c>
      <c r="W6">
        <v>2125000</v>
      </c>
      <c r="X6">
        <v>2125000</v>
      </c>
      <c r="Y6">
        <v>2125000</v>
      </c>
      <c r="Z6">
        <v>2125000</v>
      </c>
      <c r="AA6">
        <v>2125000</v>
      </c>
      <c r="AB6">
        <v>2125000</v>
      </c>
      <c r="AC6">
        <v>2125000</v>
      </c>
    </row>
    <row r="7" spans="1:29" x14ac:dyDescent="0.2">
      <c r="A7">
        <v>3</v>
      </c>
      <c r="B7" s="16">
        <f t="shared" ref="B7:B25" si="1">B6+0.25</f>
        <v>0.5</v>
      </c>
      <c r="C7" s="15">
        <f>$K$36</f>
        <v>8.500000000000052E-2</v>
      </c>
      <c r="D7" s="15">
        <v>4.2665909303594554E-2</v>
      </c>
      <c r="E7" s="15">
        <v>0.11635480239687217</v>
      </c>
      <c r="F7" s="15">
        <v>8.500000000000052E-2</v>
      </c>
      <c r="H7">
        <v>3</v>
      </c>
      <c r="I7">
        <v>2125000</v>
      </c>
      <c r="J7">
        <v>2125000</v>
      </c>
      <c r="K7">
        <v>2125000</v>
      </c>
      <c r="L7">
        <v>2125000</v>
      </c>
      <c r="M7">
        <v>2125000</v>
      </c>
      <c r="N7">
        <v>2125000</v>
      </c>
      <c r="O7">
        <v>2125000</v>
      </c>
      <c r="P7">
        <v>2125000</v>
      </c>
      <c r="Q7">
        <v>2125000</v>
      </c>
      <c r="R7">
        <v>2125000</v>
      </c>
      <c r="S7">
        <v>2125000</v>
      </c>
      <c r="T7">
        <v>2125000</v>
      </c>
      <c r="U7">
        <v>2125000</v>
      </c>
      <c r="V7">
        <v>2125000</v>
      </c>
      <c r="W7">
        <v>2125000</v>
      </c>
      <c r="X7">
        <v>2125000</v>
      </c>
      <c r="Y7">
        <v>2125000</v>
      </c>
      <c r="Z7">
        <v>2125000</v>
      </c>
      <c r="AA7">
        <v>2125000</v>
      </c>
      <c r="AB7">
        <v>2125000</v>
      </c>
      <c r="AC7">
        <v>2125000</v>
      </c>
    </row>
    <row r="8" spans="1:29" x14ac:dyDescent="0.2">
      <c r="A8">
        <v>4</v>
      </c>
      <c r="B8" s="16">
        <f t="shared" si="1"/>
        <v>0.75</v>
      </c>
      <c r="C8" s="15">
        <f>$L$36</f>
        <v>8.5000000000000284E-2</v>
      </c>
      <c r="D8" s="15">
        <v>3.9856784035845881E-2</v>
      </c>
      <c r="E8" s="15">
        <v>0.11826252435333147</v>
      </c>
      <c r="F8" s="15">
        <v>8.5000000000000284E-2</v>
      </c>
      <c r="H8">
        <v>4</v>
      </c>
      <c r="I8">
        <v>2125000</v>
      </c>
      <c r="J8">
        <v>2125000</v>
      </c>
      <c r="K8">
        <v>2125000</v>
      </c>
      <c r="L8">
        <v>2125000</v>
      </c>
      <c r="M8">
        <v>2125000</v>
      </c>
      <c r="N8">
        <v>2125000</v>
      </c>
      <c r="O8">
        <v>2125000</v>
      </c>
      <c r="P8">
        <v>2125000</v>
      </c>
      <c r="Q8">
        <v>2125000</v>
      </c>
      <c r="R8">
        <v>2125000</v>
      </c>
      <c r="S8">
        <v>2125000</v>
      </c>
      <c r="T8">
        <v>2125000</v>
      </c>
      <c r="U8">
        <v>2125000</v>
      </c>
      <c r="V8">
        <v>2125000</v>
      </c>
      <c r="W8">
        <v>2125000</v>
      </c>
      <c r="X8">
        <v>3561166.1596370377</v>
      </c>
      <c r="Y8">
        <v>6014405.940851029</v>
      </c>
      <c r="Z8">
        <v>8381887.1157543808</v>
      </c>
      <c r="AA8">
        <v>10665354.570762038</v>
      </c>
      <c r="AB8">
        <v>12866539.631250113</v>
      </c>
      <c r="AC8">
        <v>14987160.061556008</v>
      </c>
    </row>
    <row r="9" spans="1:29" x14ac:dyDescent="0.2">
      <c r="A9">
        <v>5</v>
      </c>
      <c r="B9" s="16">
        <f t="shared" si="1"/>
        <v>1</v>
      </c>
      <c r="C9" s="15">
        <f>$M$36</f>
        <v>8.5000000000000006E-2</v>
      </c>
      <c r="D9" s="15">
        <v>3.7059285648285832E-2</v>
      </c>
      <c r="E9" s="15">
        <v>0.12018183875208964</v>
      </c>
      <c r="F9" s="15">
        <v>8.5000000000000006E-2</v>
      </c>
      <c r="H9">
        <v>5</v>
      </c>
      <c r="I9">
        <v>2125000</v>
      </c>
      <c r="J9">
        <v>2125000</v>
      </c>
      <c r="K9">
        <v>2125000</v>
      </c>
      <c r="L9">
        <v>2125000</v>
      </c>
      <c r="M9">
        <v>2125000</v>
      </c>
      <c r="N9">
        <v>2125000</v>
      </c>
      <c r="O9">
        <v>2125000</v>
      </c>
      <c r="P9">
        <v>2125000</v>
      </c>
      <c r="Q9">
        <v>2125000</v>
      </c>
      <c r="R9">
        <v>2125000</v>
      </c>
      <c r="S9">
        <v>2220442.7404693589</v>
      </c>
      <c r="T9">
        <v>5520021.9119583592</v>
      </c>
      <c r="U9">
        <v>8657857.1577983312</v>
      </c>
      <c r="V9">
        <v>11639558.993409056</v>
      </c>
      <c r="W9">
        <v>14470620.74851381</v>
      </c>
      <c r="X9">
        <v>15598179.281524917</v>
      </c>
      <c r="Y9">
        <v>15482211.947342934</v>
      </c>
      <c r="Z9">
        <v>15324439.471409826</v>
      </c>
      <c r="AA9">
        <v>15128003.214819543</v>
      </c>
      <c r="AB9">
        <v>14895947.054655032</v>
      </c>
      <c r="AC9">
        <v>13169556.333211731</v>
      </c>
    </row>
    <row r="10" spans="1:29" x14ac:dyDescent="0.2">
      <c r="A10">
        <v>6</v>
      </c>
      <c r="B10" s="16">
        <f t="shared" si="1"/>
        <v>1.25</v>
      </c>
      <c r="C10" s="15">
        <f>$N$36</f>
        <v>8.4999999999999951E-2</v>
      </c>
      <c r="D10" s="15">
        <v>3.4151182523673905E-2</v>
      </c>
      <c r="E10" s="15">
        <v>0.12221083173325743</v>
      </c>
      <c r="F10" s="15">
        <v>8.4999999999999951E-2</v>
      </c>
      <c r="H10">
        <v>6</v>
      </c>
      <c r="I10">
        <v>2125000</v>
      </c>
      <c r="J10">
        <v>2125000</v>
      </c>
      <c r="K10">
        <v>2125000</v>
      </c>
      <c r="L10">
        <v>2125000</v>
      </c>
      <c r="M10">
        <v>2125000</v>
      </c>
      <c r="N10">
        <v>2125000</v>
      </c>
      <c r="O10">
        <v>2125000</v>
      </c>
      <c r="P10">
        <v>2125000</v>
      </c>
      <c r="Q10">
        <v>5329869.2790468391</v>
      </c>
      <c r="R10">
        <v>9283777.3651668243</v>
      </c>
      <c r="S10">
        <v>12882770.268641295</v>
      </c>
      <c r="T10">
        <v>12766341.957754727</v>
      </c>
      <c r="U10">
        <v>12598459.688346704</v>
      </c>
      <c r="V10">
        <v>12384593.111520898</v>
      </c>
      <c r="W10">
        <v>12129918.473526618</v>
      </c>
      <c r="X10">
        <v>10815909.772266753</v>
      </c>
      <c r="Y10">
        <v>8053719.1284145648</v>
      </c>
      <c r="Z10">
        <v>5437844.2386763878</v>
      </c>
      <c r="AA10">
        <v>2962822.6023554546</v>
      </c>
      <c r="AB10">
        <v>623313.45330087608</v>
      </c>
      <c r="AC10">
        <v>0</v>
      </c>
    </row>
    <row r="11" spans="1:29" x14ac:dyDescent="0.2">
      <c r="A11">
        <v>7</v>
      </c>
      <c r="B11" s="16">
        <f t="shared" si="1"/>
        <v>1.5</v>
      </c>
      <c r="C11" s="15">
        <f>$O$36</f>
        <v>8.4999999999999964E-2</v>
      </c>
      <c r="D11" s="15">
        <v>3.1266122806231429E-2</v>
      </c>
      <c r="E11" s="15">
        <v>0.12423910058806593</v>
      </c>
      <c r="F11" s="15">
        <v>8.5000000000000006E-2</v>
      </c>
      <c r="H11">
        <v>7</v>
      </c>
      <c r="I11">
        <v>2125000</v>
      </c>
      <c r="J11">
        <v>2125000</v>
      </c>
      <c r="K11">
        <v>2125000</v>
      </c>
      <c r="L11">
        <v>2125000</v>
      </c>
      <c r="M11">
        <v>2125000</v>
      </c>
      <c r="N11">
        <v>2125000</v>
      </c>
      <c r="O11">
        <v>5406474.8470521457</v>
      </c>
      <c r="P11">
        <v>10220355.196592541</v>
      </c>
      <c r="Q11">
        <v>11185894.516480314</v>
      </c>
      <c r="R11">
        <v>10991182.33304747</v>
      </c>
      <c r="S11">
        <v>10743999.804502152</v>
      </c>
      <c r="T11">
        <v>10452089.5294053</v>
      </c>
      <c r="U11">
        <v>8070653.4705546852</v>
      </c>
      <c r="V11">
        <v>4792564.7629838511</v>
      </c>
      <c r="W11">
        <v>1736090.0705544502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v>8</v>
      </c>
      <c r="B12" s="16">
        <f t="shared" si="1"/>
        <v>1.75</v>
      </c>
      <c r="C12" s="15">
        <f>$P$36</f>
        <v>8.5000000000000062E-2</v>
      </c>
      <c r="D12" s="15">
        <v>2.8481352972438284E-2</v>
      </c>
      <c r="E12" s="15">
        <v>0.12618306101149851</v>
      </c>
      <c r="F12" s="15">
        <v>8.5000000000000062E-2</v>
      </c>
      <c r="H12">
        <v>8</v>
      </c>
      <c r="I12">
        <v>2125000</v>
      </c>
      <c r="J12">
        <v>2125000</v>
      </c>
      <c r="K12">
        <v>2125000</v>
      </c>
      <c r="L12">
        <v>2125000</v>
      </c>
      <c r="M12">
        <v>2229569.7154863654</v>
      </c>
      <c r="N12">
        <v>8259086.1538588507</v>
      </c>
      <c r="O12">
        <v>10187943.460810393</v>
      </c>
      <c r="P12">
        <v>9955152.2678388711</v>
      </c>
      <c r="Q12">
        <v>9664641.6609482747</v>
      </c>
      <c r="R12">
        <v>9077700.48493498</v>
      </c>
      <c r="S12">
        <v>4987161.1331522083</v>
      </c>
      <c r="T12">
        <v>1226429.5070963211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v>9</v>
      </c>
      <c r="B13" s="16">
        <f t="shared" si="1"/>
        <v>2</v>
      </c>
      <c r="C13" s="15">
        <f>$Q$36</f>
        <v>8.5000000000000048E-2</v>
      </c>
      <c r="D13" s="15">
        <v>2.5766925061299854E-2</v>
      </c>
      <c r="E13" s="15">
        <v>0.12814812479370433</v>
      </c>
      <c r="F13" s="15">
        <v>8.5000000000000048E-2</v>
      </c>
      <c r="H13">
        <v>9</v>
      </c>
      <c r="I13">
        <v>2125000</v>
      </c>
      <c r="J13">
        <v>2125000</v>
      </c>
      <c r="K13">
        <v>2125000</v>
      </c>
      <c r="L13">
        <v>2747875.7205660287</v>
      </c>
      <c r="M13">
        <v>9659547.2028570008</v>
      </c>
      <c r="N13">
        <v>9421532.4613612369</v>
      </c>
      <c r="O13">
        <v>9113321.4497702029</v>
      </c>
      <c r="P13">
        <v>8749914.1672186758</v>
      </c>
      <c r="Q13">
        <v>4184232.5735344649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v>10</v>
      </c>
      <c r="B14" s="16">
        <f t="shared" si="1"/>
        <v>2.25</v>
      </c>
      <c r="C14" s="15">
        <f>$R$36</f>
        <v>8.4999999999999923E-2</v>
      </c>
      <c r="D14" s="15">
        <v>2.2853833440475244E-2</v>
      </c>
      <c r="E14" s="15">
        <v>0.13020925988998522</v>
      </c>
      <c r="F14" s="15">
        <v>8.4999999999999923E-2</v>
      </c>
      <c r="H14">
        <v>10</v>
      </c>
      <c r="I14">
        <v>2125000</v>
      </c>
      <c r="J14">
        <v>2125000</v>
      </c>
      <c r="K14">
        <v>2125000</v>
      </c>
      <c r="L14">
        <v>9238770.4773443844</v>
      </c>
      <c r="M14">
        <v>8941816.5322399605</v>
      </c>
      <c r="N14">
        <v>8571980.5504142623</v>
      </c>
      <c r="O14">
        <v>5859380.4752460727</v>
      </c>
      <c r="P14">
        <v>379007.96944123303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v>11</v>
      </c>
      <c r="B15" s="16">
        <f t="shared" si="1"/>
        <v>2.5</v>
      </c>
      <c r="C15" s="15">
        <f>$S$36</f>
        <v>8.4999999999999923E-2</v>
      </c>
      <c r="D15" s="15">
        <v>2.078359013222416E-2</v>
      </c>
      <c r="E15" s="15">
        <v>0.13169450013081208</v>
      </c>
      <c r="F15" s="15">
        <v>8.4999999999999923E-2</v>
      </c>
      <c r="H15">
        <v>11</v>
      </c>
      <c r="I15">
        <v>2125000</v>
      </c>
      <c r="J15">
        <v>2125000</v>
      </c>
      <c r="K15">
        <v>8513399.655690236</v>
      </c>
      <c r="L15">
        <v>8698709.299634723</v>
      </c>
      <c r="M15">
        <v>8274907.7741849413</v>
      </c>
      <c r="N15">
        <v>3705364.1398375551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v>12</v>
      </c>
      <c r="B16" s="16">
        <f t="shared" si="1"/>
        <v>2.75</v>
      </c>
      <c r="C16" s="15">
        <f>$T$36</f>
        <v>8.4999999999999895E-2</v>
      </c>
      <c r="D16" s="15">
        <v>1.766666070646257E-2</v>
      </c>
      <c r="E16" s="15">
        <v>0.13397867901627256</v>
      </c>
      <c r="F16" s="15">
        <v>8.4999999999999895E-2</v>
      </c>
      <c r="H16">
        <v>12</v>
      </c>
      <c r="I16">
        <v>2125000</v>
      </c>
      <c r="J16">
        <v>5243311.724601795</v>
      </c>
      <c r="K16">
        <v>8662503.6870726626</v>
      </c>
      <c r="L16">
        <v>8188572.3950988455</v>
      </c>
      <c r="M16">
        <v>2658709.1688060756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v>13</v>
      </c>
      <c r="B17" s="16">
        <f t="shared" si="1"/>
        <v>3</v>
      </c>
      <c r="C17" s="15">
        <f>$U$36</f>
        <v>8.5000000000000089E-2</v>
      </c>
      <c r="D17" s="15">
        <v>1.5118167224203217E-2</v>
      </c>
      <c r="E17" s="15">
        <v>0.13584356638255826</v>
      </c>
      <c r="F17" s="15">
        <v>8.5000000000000089E-2</v>
      </c>
      <c r="H17">
        <v>13</v>
      </c>
      <c r="I17">
        <v>2125000</v>
      </c>
      <c r="J17">
        <v>8819055.9412905611</v>
      </c>
      <c r="K17">
        <v>8296625.8276455011</v>
      </c>
      <c r="L17">
        <v>2857729.6158427331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v>14</v>
      </c>
      <c r="B18" s="16">
        <f t="shared" si="1"/>
        <v>3.25</v>
      </c>
      <c r="C18" s="15">
        <f>$V$36</f>
        <v>8.4999999999999978E-2</v>
      </c>
      <c r="D18" s="15">
        <v>1.28938952857231E-2</v>
      </c>
      <c r="E18" s="15">
        <v>0.13746904343029753</v>
      </c>
      <c r="F18" s="15">
        <v>8.5000000000000006E-2</v>
      </c>
      <c r="H18">
        <v>14</v>
      </c>
      <c r="I18">
        <v>6408997.9432797302</v>
      </c>
      <c r="J18">
        <v>8597185.9563421216</v>
      </c>
      <c r="K18">
        <v>4572839.7926236307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v>15</v>
      </c>
      <c r="B19" s="16">
        <f t="shared" si="1"/>
        <v>3.5</v>
      </c>
      <c r="C19" s="15">
        <f>$W$36</f>
        <v>8.5000000000000089E-2</v>
      </c>
      <c r="D19" s="15">
        <v>1.0634516910507742E-2</v>
      </c>
      <c r="E19" s="15">
        <v>0.13908152900895535</v>
      </c>
      <c r="F19" s="15">
        <v>8.5000000000000089E-2</v>
      </c>
      <c r="H19">
        <v>15</v>
      </c>
      <c r="I19">
        <v>9102459.688913282</v>
      </c>
      <c r="J19">
        <v>8239282.5776891513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v>16</v>
      </c>
      <c r="B20" s="16">
        <f t="shared" si="1"/>
        <v>3.75</v>
      </c>
      <c r="C20" s="15">
        <f>$X$36</f>
        <v>8.500000000000002E-2</v>
      </c>
      <c r="D20" s="15">
        <v>8.1466714539870002E-3</v>
      </c>
      <c r="E20" s="15">
        <v>0.14091936787253054</v>
      </c>
      <c r="F20" s="15">
        <v>8.5000000000000006E-2</v>
      </c>
      <c r="H20">
        <v>16</v>
      </c>
      <c r="I20">
        <v>9040770.2040446047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v>17</v>
      </c>
      <c r="B21" s="16">
        <f t="shared" si="1"/>
        <v>4</v>
      </c>
      <c r="C21" s="15">
        <f>$Y$36</f>
        <v>8.4999999999999937E-2</v>
      </c>
      <c r="D21" s="15">
        <v>5.7912029068286595E-3</v>
      </c>
      <c r="E21" s="15">
        <v>0.14273441957289676</v>
      </c>
      <c r="F21" s="15">
        <v>8.4999999999999937E-2</v>
      </c>
      <c r="H21">
        <v>17</v>
      </c>
      <c r="I21">
        <v>5935445.3618571023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v>18</v>
      </c>
      <c r="B22" s="16">
        <f t="shared" si="1"/>
        <v>4.25</v>
      </c>
      <c r="C22" s="15">
        <f>$Z$36</f>
        <v>8.5000000000000089E-2</v>
      </c>
      <c r="D22" s="15">
        <v>3.3706991781055282E-3</v>
      </c>
      <c r="E22" s="15">
        <v>0.14456857613817806</v>
      </c>
      <c r="F22" s="15">
        <v>8.5000000000000089E-2</v>
      </c>
      <c r="H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v>19</v>
      </c>
      <c r="B23" s="16">
        <f t="shared" si="1"/>
        <v>4.5</v>
      </c>
      <c r="C23" s="15">
        <f>$AA$36</f>
        <v>8.4999999999999867E-2</v>
      </c>
      <c r="D23" s="15">
        <v>8.8360403977350726E-4</v>
      </c>
      <c r="E23" s="15">
        <v>0.14641777764411609</v>
      </c>
      <c r="F23" s="15">
        <v>8.4999999999999867E-2</v>
      </c>
      <c r="H23">
        <v>19</v>
      </c>
      <c r="I23">
        <v>0</v>
      </c>
      <c r="J23">
        <f>'Tranche Payments'!$D23</f>
        <v>0</v>
      </c>
      <c r="K23">
        <f>'Tranche Payments'!$D23</f>
        <v>0</v>
      </c>
      <c r="L23">
        <f>'Tranche Payments'!$D23</f>
        <v>0</v>
      </c>
      <c r="M23">
        <f>'Tranche Payments'!$D23</f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v>20</v>
      </c>
      <c r="B24" s="16">
        <f t="shared" si="1"/>
        <v>4.75</v>
      </c>
      <c r="C24" s="15">
        <f>$AB$36</f>
        <v>8.4999999999999923E-2</v>
      </c>
      <c r="D24" s="15">
        <v>-1.6717421926557771E-3</v>
      </c>
      <c r="E24" s="15">
        <v>0.14827772816190199</v>
      </c>
      <c r="F24" s="15">
        <v>8.4999999999999923E-2</v>
      </c>
      <c r="H24">
        <v>20</v>
      </c>
      <c r="I24">
        <v>0</v>
      </c>
      <c r="J24">
        <f>'Tranche Payments'!$D24</f>
        <v>0</v>
      </c>
      <c r="K24">
        <f>'Tranche Payments'!$D24</f>
        <v>0</v>
      </c>
      <c r="L24">
        <f>'Tranche Payments'!$D24</f>
        <v>0</v>
      </c>
      <c r="M24">
        <f>'Tranche Payments'!$D24</f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v>21</v>
      </c>
      <c r="B25" s="16">
        <f t="shared" si="1"/>
        <v>5</v>
      </c>
      <c r="C25" s="15">
        <f>$AC$36</f>
        <v>8.4999999999999895E-2</v>
      </c>
      <c r="D25" s="15">
        <v>-3.3498990685120922E-3</v>
      </c>
      <c r="E25" s="15">
        <v>0.14952414733220407</v>
      </c>
      <c r="F25" s="15">
        <v>8.4999999999999895E-2</v>
      </c>
      <c r="H25">
        <v>21</v>
      </c>
      <c r="I25">
        <v>0</v>
      </c>
      <c r="J25">
        <f>'Tranche Payments'!$D25</f>
        <v>0</v>
      </c>
      <c r="K25">
        <f>'Tranche Payments'!$D25</f>
        <v>0</v>
      </c>
      <c r="L25">
        <f>'Tranche Payments'!$D25</f>
        <v>0</v>
      </c>
      <c r="M25">
        <f>'Tranche Payments'!$D25</f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H26">
        <v>22</v>
      </c>
      <c r="I26">
        <v>0</v>
      </c>
      <c r="J26">
        <f>'Tranche Payments'!$D26</f>
        <v>0</v>
      </c>
      <c r="K26">
        <f>'Tranche Payments'!$D26</f>
        <v>0</v>
      </c>
      <c r="L26">
        <f>'Tranche Payments'!$D26</f>
        <v>0</v>
      </c>
      <c r="M26">
        <f>'Tranche Payments'!$D26</f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H27">
        <v>23</v>
      </c>
      <c r="I27">
        <v>0</v>
      </c>
      <c r="J27">
        <f>'Tranche Payments'!$D27</f>
        <v>0</v>
      </c>
      <c r="K27">
        <f>'Tranche Payments'!$D27</f>
        <v>0</v>
      </c>
      <c r="L27">
        <f>'Tranche Payments'!$D27</f>
        <v>0</v>
      </c>
      <c r="M27">
        <f>'Tranche Payments'!$D27</f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H28">
        <v>24</v>
      </c>
      <c r="I28">
        <v>0</v>
      </c>
      <c r="J28">
        <f>'Tranche Payments'!$D28</f>
        <v>0</v>
      </c>
      <c r="K28">
        <f>'Tranche Payments'!$D28</f>
        <v>0</v>
      </c>
      <c r="L28">
        <f>'Tranche Payments'!$D28</f>
        <v>0</v>
      </c>
      <c r="M28">
        <f>'Tranche Payments'!$D28</f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H29">
        <v>25</v>
      </c>
      <c r="I29">
        <v>0</v>
      </c>
      <c r="J29">
        <f>'Tranche Payments'!$D29</f>
        <v>0</v>
      </c>
      <c r="K29">
        <f>'Tranche Payments'!$D29</f>
        <v>0</v>
      </c>
      <c r="L29">
        <f>'Tranche Payments'!$D29</f>
        <v>0</v>
      </c>
      <c r="M29">
        <f>'Tranche Payments'!$D29</f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H30">
        <v>26</v>
      </c>
      <c r="I30">
        <v>0</v>
      </c>
      <c r="J30">
        <f>'Tranche Payments'!$D30</f>
        <v>0</v>
      </c>
      <c r="K30">
        <f>'Tranche Payments'!$D30</f>
        <v>0</v>
      </c>
      <c r="L30">
        <f>'Tranche Payments'!$D30</f>
        <v>0</v>
      </c>
      <c r="M30">
        <f>'Tranche Payments'!$D30</f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H31">
        <v>27</v>
      </c>
      <c r="I31">
        <v>0</v>
      </c>
      <c r="J31">
        <f>'Tranche Payments'!$D31</f>
        <v>0</v>
      </c>
      <c r="K31">
        <f>'Tranche Payments'!$D31</f>
        <v>0</v>
      </c>
      <c r="L31">
        <f>'Tranche Payments'!$D31</f>
        <v>0</v>
      </c>
      <c r="M31">
        <f>'Tranche Payments'!$D31</f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H32">
        <v>28</v>
      </c>
      <c r="I32">
        <v>0</v>
      </c>
      <c r="J32">
        <f>'Tranche Payments'!$D32</f>
        <v>0</v>
      </c>
      <c r="K32">
        <f>'Tranche Payments'!$D32</f>
        <v>0</v>
      </c>
      <c r="L32">
        <f>'Tranche Payments'!$D32</f>
        <v>0</v>
      </c>
      <c r="M32">
        <f>'Tranche Payments'!$D32</f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8:29" x14ac:dyDescent="0.2">
      <c r="H33">
        <v>29</v>
      </c>
      <c r="I33">
        <v>0</v>
      </c>
      <c r="J33">
        <f>'Tranche Payments'!$D33</f>
        <v>0</v>
      </c>
      <c r="K33">
        <f>'Tranche Payments'!$D33</f>
        <v>0</v>
      </c>
      <c r="L33">
        <f>'Tranche Payments'!$D33</f>
        <v>0</v>
      </c>
      <c r="M33">
        <f>'Tranche Payments'!$D33</f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8:29" x14ac:dyDescent="0.2">
      <c r="H34">
        <v>30</v>
      </c>
      <c r="I34">
        <v>0</v>
      </c>
      <c r="J34">
        <f>'Tranche Payments'!$D34</f>
        <v>0</v>
      </c>
      <c r="K34">
        <f>'Tranche Payments'!$D34</f>
        <v>0</v>
      </c>
      <c r="L34">
        <f>'Tranche Payments'!$D34</f>
        <v>0</v>
      </c>
      <c r="M34">
        <f>'Tranche Payments'!$D34</f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6" spans="8:29" x14ac:dyDescent="0.2">
      <c r="H36" s="10" t="s">
        <v>66</v>
      </c>
      <c r="I36" s="23">
        <f>IRR(I4:I34,0.1)</f>
        <v>8.5000000000000048E-2</v>
      </c>
      <c r="J36" s="23">
        <f t="shared" ref="J36:AC36" si="2">IRR(J4:J34,0.1)</f>
        <v>8.5000000000000062E-2</v>
      </c>
      <c r="K36" s="23">
        <f t="shared" si="2"/>
        <v>8.500000000000052E-2</v>
      </c>
      <c r="L36" s="23">
        <f t="shared" si="2"/>
        <v>8.5000000000000284E-2</v>
      </c>
      <c r="M36" s="23">
        <f t="shared" si="2"/>
        <v>8.5000000000000006E-2</v>
      </c>
      <c r="N36" s="23">
        <f t="shared" si="2"/>
        <v>8.4999999999999951E-2</v>
      </c>
      <c r="O36" s="23">
        <f t="shared" si="2"/>
        <v>8.4999999999999964E-2</v>
      </c>
      <c r="P36" s="23">
        <f t="shared" si="2"/>
        <v>8.5000000000000062E-2</v>
      </c>
      <c r="Q36" s="23">
        <f t="shared" si="2"/>
        <v>8.5000000000000048E-2</v>
      </c>
      <c r="R36" s="23">
        <f t="shared" si="2"/>
        <v>8.4999999999999923E-2</v>
      </c>
      <c r="S36" s="23">
        <f t="shared" si="2"/>
        <v>8.4999999999999923E-2</v>
      </c>
      <c r="T36" s="23">
        <f t="shared" si="2"/>
        <v>8.4999999999999895E-2</v>
      </c>
      <c r="U36" s="23">
        <f t="shared" si="2"/>
        <v>8.5000000000000089E-2</v>
      </c>
      <c r="V36" s="23">
        <f t="shared" si="2"/>
        <v>8.4999999999999978E-2</v>
      </c>
      <c r="W36" s="23">
        <f t="shared" si="2"/>
        <v>8.5000000000000089E-2</v>
      </c>
      <c r="X36" s="23">
        <f t="shared" si="2"/>
        <v>8.500000000000002E-2</v>
      </c>
      <c r="Y36" s="23">
        <f t="shared" si="2"/>
        <v>8.4999999999999937E-2</v>
      </c>
      <c r="Z36" s="23">
        <f t="shared" si="2"/>
        <v>8.5000000000000089E-2</v>
      </c>
      <c r="AA36" s="23">
        <f t="shared" si="2"/>
        <v>8.4999999999999867E-2</v>
      </c>
      <c r="AB36" s="23">
        <f t="shared" si="2"/>
        <v>8.4999999999999923E-2</v>
      </c>
      <c r="AC36" s="23">
        <f t="shared" si="2"/>
        <v>8.4999999999999895E-2</v>
      </c>
    </row>
    <row r="39" spans="8:29" x14ac:dyDescent="0.2">
      <c r="I39" s="10"/>
    </row>
    <row r="40" spans="8:29" x14ac:dyDescent="0.2"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2" spans="8:29" x14ac:dyDescent="0.2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74" spans="8:29" x14ac:dyDescent="0.2">
      <c r="H74" s="1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8" spans="8:29" x14ac:dyDescent="0.2">
      <c r="I78" s="10"/>
    </row>
    <row r="79" spans="8:29" x14ac:dyDescent="0.2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1" spans="9:29" x14ac:dyDescent="0.2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113" spans="8:29" x14ac:dyDescent="0.2">
      <c r="H113" s="1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PSA</vt:lpstr>
      <vt:lpstr>PrepayBOND</vt:lpstr>
      <vt:lpstr>Sheet1</vt:lpstr>
      <vt:lpstr>GNMA graph</vt:lpstr>
      <vt:lpstr>GNMA</vt:lpstr>
      <vt:lpstr>Total Coupon</vt:lpstr>
      <vt:lpstr>IOPO</vt:lpstr>
      <vt:lpstr>Tranches</vt:lpstr>
      <vt:lpstr>PrepayCTranche</vt:lpstr>
      <vt:lpstr>Tranche Payments</vt:lpstr>
      <vt:lpstr>Tranche Balances</vt:lpstr>
      <vt:lpstr>Sheet4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E. Wallace</dc:creator>
  <cp:lastModifiedBy>Jan Havlíček</cp:lastModifiedBy>
  <cp:lastPrinted>1999-08-16T17:37:48Z</cp:lastPrinted>
  <dcterms:created xsi:type="dcterms:W3CDTF">1999-08-11T06:17:48Z</dcterms:created>
  <dcterms:modified xsi:type="dcterms:W3CDTF">2023-09-19T16:13:51Z</dcterms:modified>
</cp:coreProperties>
</file>