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9F7EF2-3CFC-47B3-BD72-21FEF5E8F1BB}" xr6:coauthVersionLast="47" xr6:coauthVersionMax="47" xr10:uidLastSave="{00000000-0000-0000-0000-000000000000}"/>
  <bookViews>
    <workbookView xWindow="-120" yWindow="-120" windowWidth="38640" windowHeight="15720" activeTab="1"/>
  </bookViews>
  <sheets>
    <sheet name="99 Budget Report" sheetId="1" r:id="rId1"/>
    <sheet name="99 RCR Report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'99 Budget Report'!$A$1:$G$138</definedName>
    <definedName name="_xlnm.Print_Area" localSheetId="1">'99 RCR Report'!$A$1:$G$139</definedName>
  </definedNames>
  <calcPr calcId="0"/>
</workbook>
</file>

<file path=xl/calcChain.xml><?xml version="1.0" encoding="utf-8"?>
<calcChain xmlns="http://schemas.openxmlformats.org/spreadsheetml/2006/main">
  <c r="D6" i="1" l="1"/>
  <c r="E6" i="1"/>
  <c r="D7" i="1"/>
  <c r="E7" i="1"/>
  <c r="D8" i="1"/>
  <c r="E8" i="1"/>
  <c r="D9" i="1"/>
  <c r="D10" i="1"/>
  <c r="D11" i="1"/>
  <c r="D12" i="1"/>
  <c r="E12" i="1"/>
  <c r="D13" i="1"/>
  <c r="E13" i="1"/>
  <c r="D14" i="1"/>
  <c r="D15" i="1"/>
  <c r="E15" i="1"/>
  <c r="D16" i="1"/>
  <c r="E16" i="1"/>
  <c r="D17" i="1"/>
  <c r="E17" i="1"/>
  <c r="D18" i="1"/>
  <c r="E18" i="1"/>
  <c r="E19" i="1"/>
  <c r="D20" i="1"/>
  <c r="E21" i="1"/>
  <c r="D22" i="1"/>
  <c r="D23" i="1"/>
  <c r="D24" i="1"/>
  <c r="D25" i="1"/>
  <c r="D26" i="1"/>
  <c r="D27" i="1"/>
  <c r="D28" i="1"/>
  <c r="D29" i="1"/>
  <c r="D30" i="1"/>
  <c r="C31" i="1"/>
  <c r="D31" i="1"/>
  <c r="E31" i="1"/>
  <c r="F31" i="1"/>
  <c r="G31" i="1"/>
  <c r="D34" i="1"/>
  <c r="E34" i="1"/>
  <c r="D35" i="1"/>
  <c r="E36" i="1"/>
  <c r="E37" i="1"/>
  <c r="D38" i="1"/>
  <c r="E38" i="1"/>
  <c r="D39" i="1"/>
  <c r="E39" i="1"/>
  <c r="D40" i="1"/>
  <c r="E40" i="1"/>
  <c r="C41" i="1"/>
  <c r="D41" i="1"/>
  <c r="E41" i="1"/>
  <c r="F41" i="1"/>
  <c r="G41" i="1"/>
  <c r="D44" i="1"/>
  <c r="E44" i="1"/>
  <c r="D45" i="1"/>
  <c r="E45" i="1"/>
  <c r="D46" i="1"/>
  <c r="D47" i="1"/>
  <c r="E47" i="1"/>
  <c r="D48" i="1"/>
  <c r="D49" i="1"/>
  <c r="D50" i="1"/>
  <c r="E50" i="1"/>
  <c r="D51" i="1"/>
  <c r="D52" i="1"/>
  <c r="E52" i="1"/>
  <c r="D53" i="1"/>
  <c r="E53" i="1"/>
  <c r="D54" i="1"/>
  <c r="E54" i="1"/>
  <c r="D55" i="1"/>
  <c r="E55" i="1"/>
  <c r="D56" i="1"/>
  <c r="E56" i="1"/>
  <c r="C57" i="1"/>
  <c r="D57" i="1"/>
  <c r="E57" i="1"/>
  <c r="F57" i="1"/>
  <c r="G57" i="1"/>
  <c r="C59" i="1"/>
  <c r="D59" i="1"/>
  <c r="E59" i="1"/>
  <c r="F59" i="1"/>
  <c r="G59" i="1"/>
  <c r="C65" i="1"/>
  <c r="D65" i="1"/>
  <c r="E65" i="1"/>
  <c r="F65" i="1"/>
  <c r="G65" i="1"/>
  <c r="C67" i="1"/>
  <c r="D67" i="1"/>
  <c r="E67" i="1"/>
  <c r="F67" i="1"/>
  <c r="G67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E79" i="1"/>
  <c r="D80" i="1"/>
  <c r="E80" i="1"/>
  <c r="E81" i="1"/>
  <c r="D82" i="1"/>
  <c r="E82" i="1"/>
  <c r="D83" i="1"/>
  <c r="E83" i="1"/>
  <c r="C84" i="1"/>
  <c r="D84" i="1"/>
  <c r="E84" i="1"/>
  <c r="F84" i="1"/>
  <c r="G84" i="1"/>
  <c r="D87" i="1"/>
  <c r="E87" i="1"/>
  <c r="D88" i="1"/>
  <c r="E88" i="1"/>
  <c r="E89" i="1"/>
  <c r="C90" i="1"/>
  <c r="D90" i="1"/>
  <c r="E90" i="1"/>
  <c r="F90" i="1"/>
  <c r="G90" i="1"/>
  <c r="D92" i="1"/>
  <c r="E92" i="1"/>
  <c r="F92" i="1"/>
  <c r="G92" i="1"/>
  <c r="E94" i="1"/>
  <c r="F94" i="1"/>
  <c r="G94" i="1"/>
  <c r="C96" i="1"/>
  <c r="D96" i="1"/>
  <c r="E96" i="1"/>
  <c r="F96" i="1"/>
  <c r="G96" i="1"/>
  <c r="D101" i="1"/>
  <c r="E101" i="1"/>
  <c r="D102" i="1"/>
  <c r="E102" i="1"/>
  <c r="C103" i="1"/>
  <c r="D103" i="1"/>
  <c r="E103" i="1"/>
  <c r="D105" i="1"/>
  <c r="E105" i="1"/>
  <c r="E107" i="1"/>
  <c r="C109" i="1"/>
  <c r="D109" i="1"/>
  <c r="E109" i="1"/>
  <c r="F109" i="1"/>
  <c r="G109" i="1"/>
  <c r="D113" i="1"/>
  <c r="E113" i="1"/>
  <c r="F113" i="1"/>
  <c r="G113" i="1"/>
  <c r="D115" i="1"/>
  <c r="E115" i="1"/>
  <c r="F115" i="1"/>
  <c r="G115" i="1"/>
  <c r="D118" i="1"/>
  <c r="E118" i="1"/>
  <c r="D119" i="1"/>
  <c r="E119" i="1"/>
  <c r="D120" i="1"/>
  <c r="E120" i="1"/>
  <c r="D121" i="1"/>
  <c r="E121" i="1"/>
  <c r="E122" i="1"/>
  <c r="E123" i="1"/>
  <c r="D124" i="1"/>
  <c r="E124" i="1"/>
  <c r="E125" i="1"/>
  <c r="E126" i="1"/>
  <c r="C127" i="1"/>
  <c r="D127" i="1"/>
  <c r="E127" i="1"/>
  <c r="F127" i="1"/>
  <c r="G127" i="1"/>
  <c r="D130" i="1"/>
  <c r="E130" i="1"/>
  <c r="F130" i="1"/>
  <c r="G130" i="1"/>
  <c r="E131" i="1"/>
  <c r="F131" i="1"/>
  <c r="G131" i="1"/>
  <c r="C133" i="1"/>
  <c r="D133" i="1"/>
  <c r="E133" i="1"/>
  <c r="F133" i="1"/>
  <c r="G133" i="1"/>
  <c r="C137" i="1"/>
  <c r="D137" i="1"/>
  <c r="E137" i="1"/>
  <c r="F137" i="1"/>
  <c r="G137" i="1"/>
  <c r="D6" i="2"/>
  <c r="E6" i="2"/>
  <c r="G6" i="2"/>
  <c r="D7" i="2"/>
  <c r="E7" i="2"/>
  <c r="G7" i="2"/>
  <c r="D8" i="2"/>
  <c r="E8" i="2"/>
  <c r="G8" i="2"/>
  <c r="D9" i="2"/>
  <c r="D10" i="2"/>
  <c r="D11" i="2"/>
  <c r="E11" i="2"/>
  <c r="G11" i="2"/>
  <c r="D12" i="2"/>
  <c r="E12" i="2"/>
  <c r="G12" i="2"/>
  <c r="D13" i="2"/>
  <c r="E13" i="2"/>
  <c r="G13" i="2"/>
  <c r="D14" i="2"/>
  <c r="E14" i="2"/>
  <c r="G14" i="2"/>
  <c r="D15" i="2"/>
  <c r="D16" i="2"/>
  <c r="E16" i="2"/>
  <c r="G16" i="2"/>
  <c r="D17" i="2"/>
  <c r="E17" i="2"/>
  <c r="G17" i="2"/>
  <c r="D18" i="2"/>
  <c r="E18" i="2"/>
  <c r="G18" i="2"/>
  <c r="D19" i="2"/>
  <c r="E19" i="2"/>
  <c r="G19" i="2"/>
  <c r="E20" i="2"/>
  <c r="D21" i="2"/>
  <c r="G21" i="2"/>
  <c r="E22" i="2"/>
  <c r="D23" i="2"/>
  <c r="D24" i="2"/>
  <c r="D25" i="2"/>
  <c r="D26" i="2"/>
  <c r="D27" i="2"/>
  <c r="D28" i="2"/>
  <c r="D29" i="2"/>
  <c r="D30" i="2"/>
  <c r="D31" i="2"/>
  <c r="C32" i="2"/>
  <c r="D32" i="2"/>
  <c r="E32" i="2"/>
  <c r="F32" i="2"/>
  <c r="G32" i="2"/>
  <c r="D35" i="2"/>
  <c r="E35" i="2"/>
  <c r="G35" i="2"/>
  <c r="D36" i="2"/>
  <c r="E37" i="2"/>
  <c r="E38" i="2"/>
  <c r="D39" i="2"/>
  <c r="E39" i="2"/>
  <c r="D40" i="2"/>
  <c r="E40" i="2"/>
  <c r="D41" i="2"/>
  <c r="E41" i="2"/>
  <c r="C42" i="2"/>
  <c r="D42" i="2"/>
  <c r="E42" i="2"/>
  <c r="F42" i="2"/>
  <c r="G42" i="2"/>
  <c r="D45" i="2"/>
  <c r="E45" i="2"/>
  <c r="G45" i="2"/>
  <c r="D46" i="2"/>
  <c r="E46" i="2"/>
  <c r="G46" i="2"/>
  <c r="D47" i="2"/>
  <c r="D48" i="2"/>
  <c r="E48" i="2"/>
  <c r="G48" i="2"/>
  <c r="D49" i="2"/>
  <c r="D50" i="2"/>
  <c r="D51" i="2"/>
  <c r="E51" i="2"/>
  <c r="D52" i="2"/>
  <c r="D53" i="2"/>
  <c r="E53" i="2"/>
  <c r="D54" i="2"/>
  <c r="E54" i="2"/>
  <c r="D55" i="2"/>
  <c r="E55" i="2"/>
  <c r="D56" i="2"/>
  <c r="E56" i="2"/>
  <c r="D57" i="2"/>
  <c r="E57" i="2"/>
  <c r="C58" i="2"/>
  <c r="D58" i="2"/>
  <c r="E58" i="2"/>
  <c r="F58" i="2"/>
  <c r="G58" i="2"/>
  <c r="C60" i="2"/>
  <c r="D60" i="2"/>
  <c r="E60" i="2"/>
  <c r="F60" i="2"/>
  <c r="G60" i="2"/>
  <c r="C66" i="2"/>
  <c r="D66" i="2"/>
  <c r="E66" i="2"/>
  <c r="C68" i="2"/>
  <c r="D68" i="2"/>
  <c r="E68" i="2"/>
  <c r="F68" i="2"/>
  <c r="G68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E80" i="2"/>
  <c r="D81" i="2"/>
  <c r="E81" i="2"/>
  <c r="E82" i="2"/>
  <c r="D83" i="2"/>
  <c r="E83" i="2"/>
  <c r="D84" i="2"/>
  <c r="E84" i="2"/>
  <c r="C85" i="2"/>
  <c r="D85" i="2"/>
  <c r="E85" i="2"/>
  <c r="D88" i="2"/>
  <c r="E88" i="2"/>
  <c r="D89" i="2"/>
  <c r="E89" i="2"/>
  <c r="E90" i="2"/>
  <c r="C91" i="2"/>
  <c r="D91" i="2"/>
  <c r="E91" i="2"/>
  <c r="D93" i="2"/>
  <c r="E93" i="2"/>
  <c r="E95" i="2"/>
  <c r="C97" i="2"/>
  <c r="D97" i="2"/>
  <c r="E97" i="2"/>
  <c r="F97" i="2"/>
  <c r="G97" i="2"/>
  <c r="D102" i="2"/>
  <c r="E102" i="2"/>
  <c r="D103" i="2"/>
  <c r="E103" i="2"/>
  <c r="C104" i="2"/>
  <c r="D104" i="2"/>
  <c r="E104" i="2"/>
  <c r="D106" i="2"/>
  <c r="E106" i="2"/>
  <c r="E108" i="2"/>
  <c r="C110" i="2"/>
  <c r="D110" i="2"/>
  <c r="E110" i="2"/>
  <c r="D114" i="2"/>
  <c r="E114" i="2"/>
  <c r="D116" i="2"/>
  <c r="E116" i="2"/>
  <c r="D119" i="2"/>
  <c r="E119" i="2"/>
  <c r="D120" i="2"/>
  <c r="E120" i="2"/>
  <c r="D121" i="2"/>
  <c r="E121" i="2"/>
  <c r="D122" i="2"/>
  <c r="E122" i="2"/>
  <c r="E123" i="2"/>
  <c r="E124" i="2"/>
  <c r="D125" i="2"/>
  <c r="E125" i="2"/>
  <c r="E126" i="2"/>
  <c r="E127" i="2"/>
  <c r="C128" i="2"/>
  <c r="D128" i="2"/>
  <c r="E128" i="2"/>
  <c r="E131" i="2"/>
  <c r="E132" i="2"/>
  <c r="C134" i="2"/>
  <c r="D134" i="2"/>
  <c r="E134" i="2"/>
  <c r="C138" i="2"/>
  <c r="D138" i="2"/>
  <c r="E138" i="2"/>
  <c r="F138" i="2"/>
  <c r="G138" i="2"/>
</calcChain>
</file>

<file path=xl/sharedStrings.xml><?xml version="1.0" encoding="utf-8"?>
<sst xmlns="http://schemas.openxmlformats.org/spreadsheetml/2006/main" count="288" uniqueCount="139">
  <si>
    <t>FIRM</t>
  </si>
  <si>
    <t xml:space="preserve">Legal Support </t>
  </si>
  <si>
    <t>Consultant Support</t>
  </si>
  <si>
    <t>Other Outside Expenses</t>
  </si>
  <si>
    <t>Richard Eichman CPA and Others</t>
  </si>
  <si>
    <t>Temporary Admin Assistance</t>
  </si>
  <si>
    <t>To be determined</t>
  </si>
  <si>
    <t>DONATIONS AND CONTRIBUTIONS</t>
  </si>
  <si>
    <t>TOPIC</t>
  </si>
  <si>
    <t>Legislative/Other Support</t>
  </si>
  <si>
    <t>Legislative Races</t>
  </si>
  <si>
    <t>PR/Image Building</t>
  </si>
  <si>
    <t xml:space="preserve">Sponsorships, Charities </t>
  </si>
  <si>
    <t>OTHER EXPENSES</t>
  </si>
  <si>
    <t>General Business Expense, Entertainment, Training (050-099)</t>
  </si>
  <si>
    <t>AB1890 Implementation Group</t>
  </si>
  <si>
    <t>IEP</t>
  </si>
  <si>
    <t>AAMP</t>
  </si>
  <si>
    <t>CalTax</t>
  </si>
  <si>
    <t>CA Chamber</t>
  </si>
  <si>
    <t>Rents (250-299)</t>
  </si>
  <si>
    <t>TOTAL CALIFORNIA</t>
  </si>
  <si>
    <t xml:space="preserve">    --  PG&amp;E GRC Phase I</t>
  </si>
  <si>
    <t xml:space="preserve">    --  PG&amp;E GRC Phase II</t>
  </si>
  <si>
    <t xml:space="preserve">    --  Post Freeze</t>
  </si>
  <si>
    <t xml:space="preserve">    --  Asset Valuation</t>
  </si>
  <si>
    <t xml:space="preserve">    --  RAP/PX Credit</t>
  </si>
  <si>
    <t xml:space="preserve">    --  ATCP</t>
  </si>
  <si>
    <t xml:space="preserve">    --  PG&amp;E PBR for Gas and Electric</t>
  </si>
  <si>
    <t xml:space="preserve">    --  Natural Gas Strategy</t>
  </si>
  <si>
    <t xml:space="preserve">    --  Affiliate (penalties, complaints)</t>
  </si>
  <si>
    <t xml:space="preserve">    --  Rehearing SoCal ITCS Allocation</t>
  </si>
  <si>
    <t xml:space="preserve">    --  Advice Letter Protests</t>
  </si>
  <si>
    <t xml:space="preserve">  --  PG&amp;E GRC Phases I and II</t>
  </si>
  <si>
    <t xml:space="preserve">  --  PG&amp;E PBR</t>
  </si>
  <si>
    <t xml:space="preserve">  --  ATCP</t>
  </si>
  <si>
    <t xml:space="preserve">    Total Consultant</t>
  </si>
  <si>
    <t xml:space="preserve">  --  Legislative</t>
  </si>
  <si>
    <t xml:space="preserve">  --  Other Legislative</t>
  </si>
  <si>
    <t xml:space="preserve">  --  CEC</t>
  </si>
  <si>
    <t>Gubernatorial Race Debt Retirement</t>
  </si>
  <si>
    <t>CA Manufacturers Association</t>
  </si>
  <si>
    <t xml:space="preserve">    Total CPUC Legal</t>
  </si>
  <si>
    <t xml:space="preserve">    Total Electric</t>
  </si>
  <si>
    <t xml:space="preserve">    Total Gas</t>
  </si>
  <si>
    <t xml:space="preserve">  Gas</t>
  </si>
  <si>
    <t xml:space="preserve">  Electric</t>
  </si>
  <si>
    <t xml:space="preserve">    Total Combined</t>
  </si>
  <si>
    <t xml:space="preserve">  Legislative -- Legal Assistance</t>
  </si>
  <si>
    <t xml:space="preserve">    --  CPUC "Reform" Bill</t>
  </si>
  <si>
    <t xml:space="preserve">    --  Natural Gas Bill</t>
  </si>
  <si>
    <t xml:space="preserve">    --  Electric "Clean Up" Bill</t>
  </si>
  <si>
    <t xml:space="preserve">    Total Legislative</t>
  </si>
  <si>
    <t xml:space="preserve">  Total Legal</t>
  </si>
  <si>
    <t>Lobbying</t>
  </si>
  <si>
    <t>Other Memberships</t>
  </si>
  <si>
    <t>New Enron Coalitions</t>
  </si>
  <si>
    <t>Memberships and Coalitions (157)</t>
  </si>
  <si>
    <t xml:space="preserve">  Total Memberships/Coalitions</t>
  </si>
  <si>
    <t xml:space="preserve">  Total Lobbying</t>
  </si>
  <si>
    <t xml:space="preserve">           Subtotal (200-249)</t>
  </si>
  <si>
    <t>TOTAL DONATIONS/CONTRIBUTIONS</t>
  </si>
  <si>
    <t xml:space="preserve">          Subtotal (154-155)</t>
  </si>
  <si>
    <t>TOTAL OTHER EXPENSES</t>
  </si>
  <si>
    <t xml:space="preserve">  --  Retained Assets</t>
  </si>
  <si>
    <t xml:space="preserve"> AMOUNT SPENT </t>
  </si>
  <si>
    <t xml:space="preserve"> BALANCE </t>
  </si>
  <si>
    <t xml:space="preserve">    --  Socal Interstate</t>
  </si>
  <si>
    <t xml:space="preserve">    --  97 BCAP &amp; SoCal Gas/SDG&amp;E BCAP</t>
  </si>
  <si>
    <t xml:space="preserve">    --  Energy Market Place Complaint</t>
  </si>
  <si>
    <t xml:space="preserve">    --  SDG&amp;E PBR </t>
  </si>
  <si>
    <t xml:space="preserve">    --  Lobbying</t>
  </si>
  <si>
    <t xml:space="preserve">  --  CEC AHIC</t>
  </si>
  <si>
    <t>Office Supplies, Utilities, Postage (160-175)</t>
  </si>
  <si>
    <t xml:space="preserve">PROFESSIONAL SERVICES                                                              -- Case/Idem </t>
  </si>
  <si>
    <t xml:space="preserve">PROJECTED REMAINING EXPENSES </t>
  </si>
  <si>
    <t xml:space="preserve">Governmental Advocates  </t>
  </si>
  <si>
    <t xml:space="preserve">    --  SCE Flexible Price Option</t>
  </si>
  <si>
    <t xml:space="preserve">  --  Gas Restructuring Amount</t>
  </si>
  <si>
    <t xml:space="preserve">  --  376 Proceedings</t>
  </si>
  <si>
    <t xml:space="preserve">  --  Distribution OIR</t>
  </si>
  <si>
    <t xml:space="preserve">    --  Enron Gas  Misc.</t>
  </si>
  <si>
    <t>Other Contribution Expenses</t>
  </si>
  <si>
    <t xml:space="preserve">Goodin McBride and Others </t>
  </si>
  <si>
    <t xml:space="preserve">MRW and Others  </t>
  </si>
  <si>
    <t xml:space="preserve">    --  376 </t>
  </si>
  <si>
    <t xml:space="preserve">    --  Small utilities</t>
  </si>
  <si>
    <t xml:space="preserve">           WPTF Post Freeze Participation</t>
  </si>
  <si>
    <t xml:space="preserve">    --  369 Exemptions</t>
  </si>
  <si>
    <t>Subtotal (Various Accounts)</t>
  </si>
  <si>
    <t>Continued Implementation Issues</t>
  </si>
  <si>
    <t xml:space="preserve">                   Line Extension OIR</t>
  </si>
  <si>
    <t xml:space="preserve">    --  Market Structure</t>
  </si>
  <si>
    <t xml:space="preserve">    --  SDG&amp;E Post Freeze</t>
  </si>
  <si>
    <t xml:space="preserve">  --  Market Structure</t>
  </si>
  <si>
    <t xml:space="preserve">  --  SDG&amp;E Post Rate</t>
  </si>
  <si>
    <t>State Net</t>
  </si>
  <si>
    <t>REVISED BUDGET</t>
  </si>
  <si>
    <t>as of 4/28/99</t>
  </si>
  <si>
    <t xml:space="preserve">                  Consumer Protection Rules</t>
  </si>
  <si>
    <t xml:space="preserve">                  OFO issues</t>
  </si>
  <si>
    <t>TOTAL PROFESSIONAL SVCS</t>
  </si>
  <si>
    <t>Combined Gas &amp; Electric</t>
  </si>
  <si>
    <t xml:space="preserve">    --  OII on Distribution/Interconnection Rules</t>
  </si>
  <si>
    <t xml:space="preserve">    --  Electric OIR/OII (R. 94-05-031 et al)</t>
  </si>
  <si>
    <t>Arter &amp; Hadden</t>
  </si>
  <si>
    <t>WPTF</t>
  </si>
  <si>
    <t xml:space="preserve">    --  Federal Legislative Matters/FERC/WEPEX</t>
  </si>
  <si>
    <t xml:space="preserve">    --  Enron Electric  Misc. / NEV Joint Billing</t>
  </si>
  <si>
    <t xml:space="preserve">    --  Cost of Capital &amp; Cap Adds Proceedings</t>
  </si>
  <si>
    <t xml:space="preserve">  --  RCS Unbundling</t>
  </si>
  <si>
    <t xml:space="preserve">  --  Service Fees</t>
  </si>
  <si>
    <t xml:space="preserve">    --  PG&amp;E sec. 368 (a)</t>
  </si>
  <si>
    <t xml:space="preserve">    --  Direct Acess Working Groups</t>
  </si>
  <si>
    <t xml:space="preserve">    --  Fed Procurement (Edwards Air Force)</t>
  </si>
  <si>
    <t xml:space="preserve">                -- Edison Call Center</t>
  </si>
  <si>
    <t xml:space="preserve">    --  ISO /PX </t>
  </si>
  <si>
    <t xml:space="preserve">    -- SCE DMS Pilot (WPTF)</t>
  </si>
  <si>
    <t>Lang, &amp; Hanson</t>
  </si>
  <si>
    <t>Computer Systems (600-649)</t>
  </si>
  <si>
    <t>Prostaff</t>
  </si>
  <si>
    <t>Total Legislative/Other</t>
  </si>
  <si>
    <t>9 months expensed</t>
  </si>
  <si>
    <t xml:space="preserve">    --  1999 RAP</t>
  </si>
  <si>
    <t>10 months expensed</t>
  </si>
  <si>
    <t xml:space="preserve">  --  RAP '99</t>
  </si>
  <si>
    <t xml:space="preserve">  --  Post Freeze (1 &amp;2)</t>
  </si>
  <si>
    <t xml:space="preserve">           Arter &amp; Hadden Post Freeze Participation</t>
  </si>
  <si>
    <t xml:space="preserve">    --  1999 ATCP</t>
  </si>
  <si>
    <t xml:space="preserve">    --  RCS  &amp; Service Fees</t>
  </si>
  <si>
    <t>11 months expensed</t>
  </si>
  <si>
    <t>TOTAL CONTRIBUTIONS</t>
  </si>
  <si>
    <t>RCR Approved Amount</t>
  </si>
  <si>
    <t xml:space="preserve"> Remaining (from date of approval)</t>
  </si>
  <si>
    <t>TOTAL</t>
  </si>
  <si>
    <t>TTL PROFESSIONAL SVCS</t>
  </si>
  <si>
    <t>Temporary Admin Assist.</t>
  </si>
  <si>
    <t>(w/ consultants)</t>
  </si>
  <si>
    <t>Over/(under)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</si>
</sst>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70" formatCode="&quot;$&quot;#,##0"/>
    <numFmt numFmtId="171" formatCode="m/d/yy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 val="singleAccounting"/>
      <sz val="10"/>
      <name val="Arial"/>
      <family val="2"/>
    </font>
    <font>
      <b/>
      <u val="doub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7" fontId="0" fillId="0" borderId="0" xfId="1" applyNumberFormat="1" applyFont="1"/>
    <xf numFmtId="167" fontId="2" fillId="0" borderId="0" xfId="1" applyNumberFormat="1" applyFont="1"/>
    <xf numFmtId="167" fontId="2" fillId="0" borderId="0" xfId="1" applyNumberFormat="1" applyFont="1" applyBorder="1"/>
    <xf numFmtId="0" fontId="1" fillId="0" borderId="0" xfId="0" applyFont="1" applyBorder="1" applyAlignment="1">
      <alignment horizontal="center"/>
    </xf>
    <xf numFmtId="167" fontId="3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167" fontId="3" fillId="0" borderId="0" xfId="1" applyNumberFormat="1" applyFont="1" applyBorder="1"/>
    <xf numFmtId="44" fontId="2" fillId="0" borderId="0" xfId="1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5" fillId="0" borderId="0" xfId="0" applyFont="1"/>
    <xf numFmtId="0" fontId="5" fillId="0" borderId="0" xfId="0" applyFont="1" applyBorder="1"/>
    <xf numFmtId="167" fontId="6" fillId="0" borderId="0" xfId="1" applyNumberFormat="1" applyFont="1"/>
    <xf numFmtId="167" fontId="7" fillId="0" borderId="0" xfId="1" applyNumberFormat="1" applyFont="1"/>
    <xf numFmtId="167" fontId="3" fillId="0" borderId="0" xfId="0" applyNumberFormat="1" applyFont="1"/>
    <xf numFmtId="42" fontId="3" fillId="0" borderId="0" xfId="0" applyNumberFormat="1" applyFont="1"/>
    <xf numFmtId="167" fontId="1" fillId="0" borderId="0" xfId="0" applyNumberFormat="1" applyFont="1" applyBorder="1"/>
    <xf numFmtId="167" fontId="2" fillId="0" borderId="2" xfId="1" applyNumberFormat="1" applyFont="1" applyBorder="1"/>
    <xf numFmtId="167" fontId="1" fillId="0" borderId="0" xfId="1" applyNumberFormat="1" applyFont="1" applyBorder="1" applyAlignment="1">
      <alignment horizontal="center"/>
    </xf>
    <xf numFmtId="167" fontId="0" fillId="0" borderId="0" xfId="1" applyNumberFormat="1" applyFont="1" applyBorder="1"/>
    <xf numFmtId="167" fontId="0" fillId="0" borderId="0" xfId="0" applyNumberFormat="1"/>
    <xf numFmtId="167" fontId="0" fillId="0" borderId="3" xfId="1" applyNumberFormat="1" applyFont="1" applyBorder="1"/>
    <xf numFmtId="167" fontId="0" fillId="0" borderId="4" xfId="1" applyNumberFormat="1" applyFont="1" applyBorder="1"/>
    <xf numFmtId="0" fontId="1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67" fontId="1" fillId="0" borderId="2" xfId="1" applyNumberFormat="1" applyFont="1" applyBorder="1"/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167" fontId="3" fillId="0" borderId="1" xfId="1" applyNumberFormat="1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67" fontId="0" fillId="0" borderId="2" xfId="1" applyNumberFormat="1" applyFont="1" applyBorder="1"/>
    <xf numFmtId="170" fontId="3" fillId="0" borderId="0" xfId="0" applyNumberFormat="1" applyFont="1"/>
    <xf numFmtId="0" fontId="0" fillId="0" borderId="1" xfId="0" applyBorder="1"/>
    <xf numFmtId="167" fontId="0" fillId="0" borderId="1" xfId="1" applyNumberFormat="1" applyFont="1" applyBorder="1"/>
    <xf numFmtId="167" fontId="3" fillId="0" borderId="1" xfId="1" applyNumberFormat="1" applyFont="1" applyBorder="1"/>
    <xf numFmtId="165" fontId="3" fillId="0" borderId="0" xfId="1" applyNumberFormat="1" applyFont="1" applyBorder="1"/>
    <xf numFmtId="167" fontId="4" fillId="0" borderId="0" xfId="1" applyNumberFormat="1" applyFont="1" applyBorder="1"/>
    <xf numFmtId="167" fontId="1" fillId="0" borderId="0" xfId="1" applyNumberFormat="1" applyFont="1" applyBorder="1"/>
    <xf numFmtId="0" fontId="0" fillId="0" borderId="6" xfId="0" applyBorder="1"/>
    <xf numFmtId="167" fontId="0" fillId="0" borderId="6" xfId="1" applyNumberFormat="1" applyFont="1" applyBorder="1"/>
    <xf numFmtId="167" fontId="0" fillId="0" borderId="6" xfId="0" applyNumberFormat="1" applyBorder="1"/>
    <xf numFmtId="0" fontId="0" fillId="0" borderId="6" xfId="0" applyBorder="1" applyAlignment="1">
      <alignment horizontal="left"/>
    </xf>
    <xf numFmtId="0" fontId="4" fillId="0" borderId="6" xfId="0" applyFont="1" applyBorder="1"/>
    <xf numFmtId="167" fontId="4" fillId="0" borderId="6" xfId="1" applyNumberFormat="1" applyFont="1" applyBorder="1"/>
    <xf numFmtId="0" fontId="2" fillId="0" borderId="6" xfId="0" applyFont="1" applyBorder="1"/>
    <xf numFmtId="42" fontId="2" fillId="0" borderId="6" xfId="1" applyNumberFormat="1" applyFont="1" applyBorder="1"/>
    <xf numFmtId="167" fontId="2" fillId="0" borderId="6" xfId="1" applyNumberFormat="1" applyFont="1" applyBorder="1"/>
    <xf numFmtId="0" fontId="1" fillId="0" borderId="6" xfId="0" applyFont="1" applyBorder="1"/>
    <xf numFmtId="0" fontId="2" fillId="0" borderId="7" xfId="0" applyFont="1" applyBorder="1"/>
    <xf numFmtId="167" fontId="2" fillId="0" borderId="7" xfId="1" applyNumberFormat="1" applyFont="1" applyBorder="1"/>
    <xf numFmtId="167" fontId="0" fillId="0" borderId="7" xfId="0" applyNumberFormat="1" applyBorder="1"/>
    <xf numFmtId="167" fontId="3" fillId="0" borderId="6" xfId="1" applyNumberFormat="1" applyFont="1" applyBorder="1"/>
    <xf numFmtId="0" fontId="3" fillId="0" borderId="6" xfId="0" applyFont="1" applyBorder="1"/>
    <xf numFmtId="0" fontId="0" fillId="0" borderId="8" xfId="0" applyBorder="1"/>
    <xf numFmtId="167" fontId="0" fillId="0" borderId="8" xfId="1" applyNumberFormat="1" applyFont="1" applyBorder="1"/>
    <xf numFmtId="167" fontId="0" fillId="0" borderId="8" xfId="0" applyNumberFormat="1" applyBorder="1"/>
    <xf numFmtId="167" fontId="3" fillId="0" borderId="0" xfId="0" applyNumberFormat="1" applyFont="1" applyBorder="1"/>
    <xf numFmtId="0" fontId="3" fillId="0" borderId="1" xfId="0" applyFont="1" applyBorder="1"/>
    <xf numFmtId="42" fontId="3" fillId="0" borderId="1" xfId="1" applyNumberFormat="1" applyFont="1" applyBorder="1"/>
    <xf numFmtId="167" fontId="3" fillId="0" borderId="1" xfId="0" applyNumberFormat="1" applyFont="1" applyBorder="1"/>
    <xf numFmtId="0" fontId="4" fillId="0" borderId="8" xfId="0" applyFont="1" applyBorder="1"/>
    <xf numFmtId="167" fontId="4" fillId="0" borderId="8" xfId="1" applyNumberFormat="1" applyFont="1" applyBorder="1"/>
    <xf numFmtId="0" fontId="2" fillId="0" borderId="8" xfId="0" applyFont="1" applyBorder="1"/>
    <xf numFmtId="167" fontId="2" fillId="0" borderId="8" xfId="1" applyNumberFormat="1" applyFont="1" applyBorder="1"/>
    <xf numFmtId="42" fontId="2" fillId="0" borderId="8" xfId="0" applyNumberFormat="1" applyFont="1" applyBorder="1"/>
    <xf numFmtId="0" fontId="0" fillId="0" borderId="6" xfId="0" applyBorder="1" applyAlignment="1">
      <alignment horizontal="left" indent="6"/>
    </xf>
    <xf numFmtId="0" fontId="0" fillId="0" borderId="1" xfId="0" applyBorder="1" applyAlignment="1">
      <alignment horizontal="left"/>
    </xf>
    <xf numFmtId="0" fontId="4" fillId="0" borderId="0" xfId="0" applyFont="1" applyBorder="1"/>
    <xf numFmtId="0" fontId="1" fillId="0" borderId="1" xfId="0" applyFont="1" applyBorder="1"/>
    <xf numFmtId="0" fontId="1" fillId="0" borderId="0" xfId="0" applyFont="1" applyBorder="1"/>
    <xf numFmtId="42" fontId="2" fillId="0" borderId="1" xfId="1" applyNumberFormat="1" applyFont="1" applyBorder="1"/>
    <xf numFmtId="167" fontId="2" fillId="0" borderId="1" xfId="1" applyNumberFormat="1" applyFont="1" applyBorder="1"/>
    <xf numFmtId="167" fontId="0" fillId="0" borderId="1" xfId="0" applyNumberFormat="1" applyBorder="1"/>
    <xf numFmtId="0" fontId="0" fillId="0" borderId="0" xfId="0" applyAlignment="1">
      <alignment wrapText="1"/>
    </xf>
    <xf numFmtId="167" fontId="0" fillId="0" borderId="0" xfId="1" applyNumberFormat="1" applyFont="1" applyAlignment="1">
      <alignment wrapText="1"/>
    </xf>
    <xf numFmtId="171" fontId="1" fillId="0" borderId="2" xfId="1" applyNumberFormat="1" applyFont="1" applyBorder="1" applyAlignment="1">
      <alignment horizontal="center"/>
    </xf>
    <xf numFmtId="167" fontId="1" fillId="0" borderId="6" xfId="1" applyNumberFormat="1" applyFont="1" applyBorder="1"/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171" fontId="3" fillId="0" borderId="2" xfId="1" applyNumberFormat="1" applyFont="1" applyBorder="1" applyAlignment="1">
      <alignment horizontal="center"/>
    </xf>
    <xf numFmtId="0" fontId="3" fillId="0" borderId="2" xfId="0" applyFont="1" applyBorder="1"/>
    <xf numFmtId="0" fontId="4" fillId="0" borderId="0" xfId="0" applyFont="1" applyAlignment="1">
      <alignment wrapText="1"/>
    </xf>
    <xf numFmtId="167" fontId="4" fillId="0" borderId="0" xfId="1" applyNumberFormat="1" applyFont="1" applyAlignment="1">
      <alignment wrapText="1"/>
    </xf>
    <xf numFmtId="0" fontId="4" fillId="0" borderId="0" xfId="0" applyFont="1"/>
    <xf numFmtId="167" fontId="4" fillId="0" borderId="0" xfId="1" applyNumberFormat="1" applyFont="1"/>
    <xf numFmtId="167" fontId="4" fillId="0" borderId="6" xfId="0" applyNumberFormat="1" applyFont="1" applyBorder="1"/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7" fontId="4" fillId="0" borderId="1" xfId="1" applyNumberFormat="1" applyFont="1" applyBorder="1"/>
    <xf numFmtId="167" fontId="4" fillId="0" borderId="1" xfId="0" applyNumberFormat="1" applyFont="1" applyBorder="1"/>
    <xf numFmtId="0" fontId="4" fillId="0" borderId="6" xfId="0" applyFont="1" applyBorder="1" applyAlignment="1">
      <alignment horizontal="left" indent="6"/>
    </xf>
    <xf numFmtId="167" fontId="4" fillId="0" borderId="0" xfId="0" applyNumberFormat="1" applyFont="1"/>
    <xf numFmtId="42" fontId="4" fillId="0" borderId="6" xfId="1" applyNumberFormat="1" applyFont="1" applyBorder="1"/>
    <xf numFmtId="42" fontId="4" fillId="0" borderId="1" xfId="1" applyNumberFormat="1" applyFont="1" applyBorder="1"/>
    <xf numFmtId="0" fontId="4" fillId="0" borderId="7" xfId="0" applyFont="1" applyBorder="1"/>
    <xf numFmtId="167" fontId="4" fillId="0" borderId="7" xfId="1" applyNumberFormat="1" applyFont="1" applyBorder="1"/>
    <xf numFmtId="167" fontId="4" fillId="0" borderId="7" xfId="0" applyNumberFormat="1" applyFont="1" applyBorder="1"/>
    <xf numFmtId="42" fontId="4" fillId="0" borderId="8" xfId="0" applyNumberFormat="1" applyFont="1" applyBorder="1"/>
    <xf numFmtId="167" fontId="4" fillId="0" borderId="8" xfId="0" applyNumberFormat="1" applyFont="1" applyBorder="1"/>
    <xf numFmtId="0" fontId="4" fillId="0" borderId="2" xfId="0" applyFont="1" applyBorder="1"/>
    <xf numFmtId="167" fontId="4" fillId="0" borderId="2" xfId="1" applyNumberFormat="1" applyFont="1" applyBorder="1"/>
    <xf numFmtId="0" fontId="3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67" fontId="3" fillId="0" borderId="0" xfId="1" applyNumberFormat="1" applyFont="1" applyBorder="1" applyAlignment="1">
      <alignment horizontal="center"/>
    </xf>
    <xf numFmtId="44" fontId="4" fillId="0" borderId="0" xfId="1" applyFont="1" applyBorder="1"/>
    <xf numFmtId="167" fontId="3" fillId="0" borderId="2" xfId="1" applyNumberFormat="1" applyFont="1" applyBorder="1"/>
    <xf numFmtId="0" fontId="4" fillId="0" borderId="3" xfId="0" applyFont="1" applyBorder="1"/>
    <xf numFmtId="167" fontId="4" fillId="0" borderId="3" xfId="1" applyNumberFormat="1" applyFont="1" applyBorder="1"/>
    <xf numFmtId="0" fontId="4" fillId="0" borderId="4" xfId="0" applyFont="1" applyBorder="1"/>
    <xf numFmtId="167" fontId="4" fillId="0" borderId="4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egal%20Services%20Expenses%2019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nsultants%2019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ther%20Organizations%2019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onations%2019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olitical%20Contributions%20Que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ODIN, SQUERI, SCHLOTZ, &amp; RITC"/>
      <sheetName val="Arter &amp; Hadden"/>
    </sheetNames>
    <sheetDataSet>
      <sheetData sheetId="0">
        <row r="9">
          <cell r="Q9">
            <v>1345.94</v>
          </cell>
        </row>
        <row r="11">
          <cell r="Q11">
            <v>7981.2999999999984</v>
          </cell>
        </row>
        <row r="13">
          <cell r="Q13">
            <v>110888.52</v>
          </cell>
        </row>
        <row r="15">
          <cell r="Q15">
            <v>16112.590000000002</v>
          </cell>
        </row>
        <row r="17">
          <cell r="Q17">
            <v>95820.19</v>
          </cell>
          <cell r="R17">
            <v>18089.400000000001</v>
          </cell>
        </row>
        <row r="19">
          <cell r="Q19">
            <v>352.63</v>
          </cell>
        </row>
        <row r="21">
          <cell r="Q21">
            <v>2316.52</v>
          </cell>
        </row>
        <row r="23">
          <cell r="Q23">
            <v>944.13999999999987</v>
          </cell>
        </row>
        <row r="25">
          <cell r="Q25">
            <v>56036.65</v>
          </cell>
          <cell r="R25">
            <v>4199.97</v>
          </cell>
        </row>
        <row r="27">
          <cell r="Q27">
            <v>13801.69</v>
          </cell>
        </row>
        <row r="29">
          <cell r="Q29">
            <v>2344</v>
          </cell>
        </row>
        <row r="31">
          <cell r="Q31">
            <v>773.8</v>
          </cell>
          <cell r="R31">
            <v>773.8</v>
          </cell>
        </row>
        <row r="33">
          <cell r="Q33">
            <v>34.94</v>
          </cell>
        </row>
        <row r="35">
          <cell r="Q35">
            <v>881.19</v>
          </cell>
        </row>
        <row r="37">
          <cell r="Q37">
            <v>1185.72</v>
          </cell>
        </row>
        <row r="39">
          <cell r="Q39">
            <v>16</v>
          </cell>
        </row>
        <row r="41">
          <cell r="Q41">
            <v>542.91000000000008</v>
          </cell>
        </row>
        <row r="43">
          <cell r="Q43">
            <v>3322.7499999999995</v>
          </cell>
          <cell r="R43">
            <v>2418.31</v>
          </cell>
        </row>
        <row r="45">
          <cell r="Q45">
            <v>43893.920000000006</v>
          </cell>
          <cell r="R45">
            <v>3635.81</v>
          </cell>
        </row>
        <row r="47">
          <cell r="Q47">
            <v>244</v>
          </cell>
        </row>
        <row r="49">
          <cell r="Q49">
            <v>32</v>
          </cell>
        </row>
        <row r="51">
          <cell r="Q51">
            <v>4900.5200000000004</v>
          </cell>
        </row>
        <row r="53">
          <cell r="Q53">
            <v>48876.62</v>
          </cell>
          <cell r="R53">
            <v>20872.830000000002</v>
          </cell>
        </row>
        <row r="55">
          <cell r="Q55">
            <v>71024.719999999987</v>
          </cell>
          <cell r="R55">
            <v>20666.489999999998</v>
          </cell>
        </row>
        <row r="57">
          <cell r="Q57">
            <v>557.18000000000006</v>
          </cell>
        </row>
        <row r="59">
          <cell r="Q59">
            <v>24845.87</v>
          </cell>
          <cell r="R59">
            <v>5938.73</v>
          </cell>
        </row>
        <row r="61">
          <cell r="Q61">
            <v>8331.59</v>
          </cell>
          <cell r="R61">
            <v>3162.54</v>
          </cell>
        </row>
        <row r="63">
          <cell r="Q63">
            <v>387.5</v>
          </cell>
        </row>
        <row r="65">
          <cell r="Q65">
            <v>1171.72</v>
          </cell>
        </row>
        <row r="67">
          <cell r="Q67">
            <v>5673.1600000000008</v>
          </cell>
        </row>
        <row r="69">
          <cell r="Q69">
            <v>14.7</v>
          </cell>
        </row>
        <row r="71">
          <cell r="Q71">
            <v>14100</v>
          </cell>
        </row>
        <row r="73">
          <cell r="Q73">
            <v>298.48</v>
          </cell>
          <cell r="R73">
            <v>0</v>
          </cell>
        </row>
        <row r="75">
          <cell r="Q75">
            <v>7471.79</v>
          </cell>
        </row>
        <row r="77">
          <cell r="Q77">
            <v>25745.26</v>
          </cell>
          <cell r="R77">
            <v>8893.7099999999991</v>
          </cell>
        </row>
        <row r="79">
          <cell r="Q79">
            <v>1668.8</v>
          </cell>
        </row>
        <row r="81">
          <cell r="Q81">
            <v>2335.3999999999996</v>
          </cell>
          <cell r="R81">
            <v>1661.8</v>
          </cell>
        </row>
        <row r="83">
          <cell r="Q83">
            <v>5856</v>
          </cell>
          <cell r="R83">
            <v>0</v>
          </cell>
        </row>
        <row r="85">
          <cell r="Q85">
            <v>10722.910000000002</v>
          </cell>
          <cell r="R85">
            <v>5551.27</v>
          </cell>
        </row>
        <row r="87">
          <cell r="Q87">
            <v>5654.98</v>
          </cell>
          <cell r="R87">
            <v>4568.58</v>
          </cell>
        </row>
        <row r="89">
          <cell r="Q89">
            <v>18991.239999999998</v>
          </cell>
          <cell r="R89">
            <v>18271.240000000002</v>
          </cell>
        </row>
        <row r="91">
          <cell r="Q91">
            <v>1932.0500000000002</v>
          </cell>
        </row>
        <row r="93">
          <cell r="Q93">
            <v>767.97</v>
          </cell>
        </row>
        <row r="95">
          <cell r="Q95">
            <v>6129.6500000000015</v>
          </cell>
          <cell r="R95">
            <v>6129.6500000000015</v>
          </cell>
        </row>
        <row r="97">
          <cell r="Q97">
            <v>12165.669999999998</v>
          </cell>
          <cell r="R97">
            <v>12165.669999999998</v>
          </cell>
        </row>
        <row r="99">
          <cell r="Q99">
            <v>1774.87</v>
          </cell>
          <cell r="R99">
            <v>1774.87</v>
          </cell>
        </row>
        <row r="101">
          <cell r="Q101">
            <v>2602.9</v>
          </cell>
          <cell r="R101">
            <v>2602.9</v>
          </cell>
        </row>
        <row r="103">
          <cell r="Q103">
            <v>2078.89</v>
          </cell>
        </row>
        <row r="105">
          <cell r="Q105">
            <v>260.07</v>
          </cell>
        </row>
      </sheetData>
      <sheetData sheetId="1">
        <row r="9">
          <cell r="Q9">
            <v>2890.2000000000003</v>
          </cell>
          <cell r="R9">
            <v>137.51</v>
          </cell>
        </row>
        <row r="10">
          <cell r="Q10">
            <v>3744.7199999999993</v>
          </cell>
          <cell r="R10">
            <v>1.72</v>
          </cell>
        </row>
        <row r="11">
          <cell r="Q11">
            <v>2702.32</v>
          </cell>
          <cell r="R11">
            <v>4.12</v>
          </cell>
        </row>
        <row r="12">
          <cell r="Q12">
            <v>21036.829999999998</v>
          </cell>
        </row>
        <row r="13">
          <cell r="Q13">
            <v>1942.4700000000003</v>
          </cell>
          <cell r="R13">
            <v>1942.4700000000003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  <sheetName val="PG&amp;E Energy Services"/>
      <sheetName val="Lang, Hansen"/>
      <sheetName val="PR Consultants"/>
      <sheetName val="MRW"/>
      <sheetName val="Governmental Advocates"/>
      <sheetName val="Enventure"/>
      <sheetName val="Eichman"/>
    </sheetNames>
    <sheetDataSet>
      <sheetData sheetId="0"/>
      <sheetData sheetId="1">
        <row r="13">
          <cell r="L13">
            <v>8422.630000000001</v>
          </cell>
          <cell r="M13">
            <v>8422.630000000001</v>
          </cell>
        </row>
      </sheetData>
      <sheetData sheetId="2">
        <row r="15">
          <cell r="N15">
            <v>20000</v>
          </cell>
        </row>
      </sheetData>
      <sheetData sheetId="3">
        <row r="13">
          <cell r="P13">
            <v>860</v>
          </cell>
        </row>
      </sheetData>
      <sheetData sheetId="4">
        <row r="12">
          <cell r="P12">
            <v>6585.12</v>
          </cell>
          <cell r="Q12">
            <v>2050.1999999999998</v>
          </cell>
        </row>
        <row r="17">
          <cell r="P17">
            <v>17991.310000000001</v>
          </cell>
          <cell r="Q17">
            <v>11374.7</v>
          </cell>
        </row>
        <row r="22">
          <cell r="P22">
            <v>1572.38</v>
          </cell>
        </row>
        <row r="27">
          <cell r="P27">
            <v>20859.609999999997</v>
          </cell>
          <cell r="Q27">
            <v>12167</v>
          </cell>
        </row>
        <row r="32">
          <cell r="P32">
            <v>2888.1800000000003</v>
          </cell>
          <cell r="Q32">
            <v>22.5</v>
          </cell>
        </row>
        <row r="37">
          <cell r="P37">
            <v>32105.119999999999</v>
          </cell>
          <cell r="Q37">
            <v>0</v>
          </cell>
        </row>
        <row r="42">
          <cell r="P42">
            <v>2718.2</v>
          </cell>
          <cell r="Q42">
            <v>0</v>
          </cell>
        </row>
        <row r="47">
          <cell r="P47">
            <v>2260.6</v>
          </cell>
          <cell r="Q47">
            <v>0</v>
          </cell>
        </row>
        <row r="52">
          <cell r="P52">
            <v>7961.42</v>
          </cell>
          <cell r="Q52">
            <v>211.27</v>
          </cell>
        </row>
        <row r="57">
          <cell r="P57">
            <v>5111.59</v>
          </cell>
          <cell r="Q57">
            <v>0</v>
          </cell>
        </row>
        <row r="62">
          <cell r="P62">
            <v>2402.73</v>
          </cell>
        </row>
        <row r="67">
          <cell r="P67">
            <v>2831.11</v>
          </cell>
          <cell r="Q67">
            <v>2831.11</v>
          </cell>
        </row>
      </sheetData>
      <sheetData sheetId="5">
        <row r="12">
          <cell r="P12">
            <v>73303.73000000001</v>
          </cell>
        </row>
      </sheetData>
      <sheetData sheetId="6">
        <row r="12">
          <cell r="P12">
            <v>25109.94</v>
          </cell>
          <cell r="Q12">
            <v>2879</v>
          </cell>
        </row>
      </sheetData>
      <sheetData sheetId="7">
        <row r="18">
          <cell r="P18">
            <v>3065.04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PTF"/>
      <sheetName val="Membership"/>
      <sheetName val="Sheet3"/>
      <sheetName val="Subscriptions"/>
      <sheetName val="AAMP"/>
    </sheetNames>
    <sheetDataSet>
      <sheetData sheetId="0">
        <row r="12">
          <cell r="Q12">
            <v>5322</v>
          </cell>
        </row>
        <row r="18">
          <cell r="Q18">
            <v>4520</v>
          </cell>
        </row>
        <row r="24">
          <cell r="Q24">
            <v>1439</v>
          </cell>
          <cell r="R24">
            <v>0</v>
          </cell>
        </row>
      </sheetData>
      <sheetData sheetId="1">
        <row r="5">
          <cell r="F5">
            <v>6200</v>
          </cell>
        </row>
        <row r="6">
          <cell r="F6">
            <v>5000</v>
          </cell>
        </row>
        <row r="9">
          <cell r="F9">
            <v>5000</v>
          </cell>
        </row>
      </sheetData>
      <sheetData sheetId="2"/>
      <sheetData sheetId="3">
        <row r="6">
          <cell r="F6">
            <v>1500</v>
          </cell>
        </row>
        <row r="7">
          <cell r="F7">
            <v>235</v>
          </cell>
        </row>
      </sheetData>
      <sheetData sheetId="4">
        <row r="12">
          <cell r="P12">
            <v>22500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B1">
            <v>20550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tical Contributions Query"/>
    </sheetNames>
    <sheetDataSet>
      <sheetData sheetId="0">
        <row r="1">
          <cell r="E1">
            <v>133845</v>
          </cell>
        </row>
        <row r="6">
          <cell r="G6">
            <v>500</v>
          </cell>
        </row>
        <row r="69">
          <cell r="G69">
            <v>750</v>
          </cell>
        </row>
        <row r="106">
          <cell r="G106">
            <v>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view="pageBreakPreview" zoomScale="60" zoomScaleNormal="75" workbookViewId="0">
      <selection activeCell="C1" sqref="C1"/>
    </sheetView>
  </sheetViews>
  <sheetFormatPr defaultRowHeight="12.75" x14ac:dyDescent="0.2"/>
  <cols>
    <col min="1" max="1" width="34.7109375" customWidth="1"/>
    <col min="2" max="2" width="27.7109375" customWidth="1"/>
    <col min="3" max="3" width="15.5703125" customWidth="1"/>
    <col min="4" max="4" width="16.7109375" style="6" customWidth="1"/>
    <col min="5" max="5" width="14.42578125" customWidth="1"/>
    <col min="6" max="6" width="15.42578125" style="6" customWidth="1"/>
    <col min="7" max="7" width="14.28515625" customWidth="1"/>
  </cols>
  <sheetData>
    <row r="1" spans="1:7" s="35" customFormat="1" ht="13.5" thickBot="1" x14ac:dyDescent="0.25">
      <c r="A1" s="32"/>
      <c r="B1" s="32"/>
      <c r="C1" s="33" t="s">
        <v>98</v>
      </c>
      <c r="D1" s="88">
        <v>36493</v>
      </c>
      <c r="F1" s="36"/>
    </row>
    <row r="2" spans="1:7" s="37" customFormat="1" ht="70.150000000000006" customHeight="1" x14ac:dyDescent="0.2">
      <c r="A2" s="37" t="s">
        <v>74</v>
      </c>
      <c r="B2" s="37" t="s">
        <v>0</v>
      </c>
      <c r="C2" s="38" t="s">
        <v>97</v>
      </c>
      <c r="D2" s="40" t="s">
        <v>65</v>
      </c>
      <c r="E2" s="37" t="s">
        <v>66</v>
      </c>
      <c r="F2" s="40" t="s">
        <v>75</v>
      </c>
      <c r="G2" s="116" t="s">
        <v>138</v>
      </c>
    </row>
    <row r="3" spans="1:7" s="86" customFormat="1" x14ac:dyDescent="0.2">
      <c r="D3" s="87"/>
      <c r="F3" s="87"/>
    </row>
    <row r="4" spans="1:7" x14ac:dyDescent="0.2">
      <c r="A4" s="11" t="s">
        <v>1</v>
      </c>
      <c r="B4" t="s">
        <v>83</v>
      </c>
      <c r="G4" s="16"/>
    </row>
    <row r="5" spans="1:7" ht="13.5" customHeight="1" x14ac:dyDescent="0.2">
      <c r="A5" s="11" t="s">
        <v>46</v>
      </c>
      <c r="C5" s="6"/>
      <c r="F5" s="28"/>
      <c r="G5" s="16"/>
    </row>
    <row r="6" spans="1:7" s="51" customFormat="1" x14ac:dyDescent="0.2">
      <c r="A6" s="51" t="s">
        <v>22</v>
      </c>
      <c r="C6" s="52">
        <v>60000</v>
      </c>
      <c r="D6" s="52">
        <f>'[1]GOODIN, SQUERI, SCHLOTZ, &amp; RITC'!$Q$45</f>
        <v>43893.920000000006</v>
      </c>
      <c r="E6" s="53">
        <f>C6-D6</f>
        <v>16106.079999999994</v>
      </c>
      <c r="F6" s="52"/>
      <c r="G6" s="53"/>
    </row>
    <row r="7" spans="1:7" s="51" customFormat="1" x14ac:dyDescent="0.2">
      <c r="A7" s="51" t="s">
        <v>23</v>
      </c>
      <c r="C7" s="52">
        <v>100000</v>
      </c>
      <c r="D7" s="52">
        <f>'[1]GOODIN, SQUERI, SCHLOTZ, &amp; RITC'!$Q$85</f>
        <v>10722.910000000002</v>
      </c>
      <c r="E7" s="53">
        <f>C7-D7</f>
        <v>89277.09</v>
      </c>
      <c r="F7" s="52"/>
    </row>
    <row r="8" spans="1:7" s="51" customFormat="1" x14ac:dyDescent="0.2">
      <c r="A8" s="51" t="s">
        <v>24</v>
      </c>
      <c r="C8" s="52">
        <v>82000</v>
      </c>
      <c r="D8" s="52">
        <f>'[1]GOODIN, SQUERI, SCHLOTZ, &amp; RITC'!$Q$83+'[1]GOODIN, SQUERI, SCHLOTZ, &amp; RITC'!$Q$97</f>
        <v>18021.669999999998</v>
      </c>
      <c r="E8" s="53">
        <f>C8-D8-D10-D11</f>
        <v>23950.260000000002</v>
      </c>
      <c r="F8" s="52"/>
    </row>
    <row r="9" spans="1:7" s="51" customFormat="1" x14ac:dyDescent="0.2">
      <c r="A9" s="51" t="s">
        <v>87</v>
      </c>
      <c r="C9" s="52"/>
      <c r="D9" s="52">
        <f>[3]WPTF!$Q$18</f>
        <v>4520</v>
      </c>
      <c r="E9" s="53"/>
      <c r="F9" s="52"/>
    </row>
    <row r="10" spans="1:7" s="51" customFormat="1" x14ac:dyDescent="0.2">
      <c r="A10" s="51" t="s">
        <v>127</v>
      </c>
      <c r="C10" s="52"/>
      <c r="D10" s="52">
        <f>'[1]Arter &amp; Hadden'!$Q$12</f>
        <v>21036.829999999998</v>
      </c>
      <c r="E10" s="53"/>
      <c r="F10" s="52"/>
    </row>
    <row r="11" spans="1:7" s="51" customFormat="1" ht="13.5" customHeight="1" x14ac:dyDescent="0.2">
      <c r="A11" s="51" t="s">
        <v>93</v>
      </c>
      <c r="C11" s="52"/>
      <c r="D11" s="52">
        <f>'[1]GOODIN, SQUERI, SCHLOTZ, &amp; RITC'!$Q$89</f>
        <v>18991.239999999998</v>
      </c>
      <c r="E11" s="53"/>
      <c r="F11" s="52"/>
    </row>
    <row r="12" spans="1:7" s="51" customFormat="1" x14ac:dyDescent="0.2">
      <c r="A12" s="51" t="s">
        <v>25</v>
      </c>
      <c r="C12" s="52">
        <v>100000</v>
      </c>
      <c r="D12" s="52">
        <f>'[1]GOODIN, SQUERI, SCHLOTZ, &amp; RITC'!$Q$55</f>
        <v>71024.719999999987</v>
      </c>
      <c r="E12" s="53">
        <f t="shared" ref="E12:E18" si="0">C12-D12</f>
        <v>28975.280000000013</v>
      </c>
      <c r="F12" s="52"/>
    </row>
    <row r="13" spans="1:7" s="51" customFormat="1" x14ac:dyDescent="0.2">
      <c r="A13" s="51" t="s">
        <v>26</v>
      </c>
      <c r="C13" s="52">
        <v>40000</v>
      </c>
      <c r="D13" s="52">
        <f>'[1]GOODIN, SQUERI, SCHLOTZ, &amp; RITC'!$Q$59</f>
        <v>24845.87</v>
      </c>
      <c r="E13" s="53">
        <f>C13-D13-D14</f>
        <v>13075.240000000002</v>
      </c>
      <c r="F13" s="52"/>
    </row>
    <row r="14" spans="1:7" s="51" customFormat="1" x14ac:dyDescent="0.2">
      <c r="A14" s="51" t="s">
        <v>123</v>
      </c>
      <c r="C14" s="52"/>
      <c r="D14" s="52">
        <f>'[1]GOODIN, SQUERI, SCHLOTZ, &amp; RITC'!$Q$103</f>
        <v>2078.89</v>
      </c>
      <c r="E14" s="53"/>
      <c r="F14" s="52"/>
    </row>
    <row r="15" spans="1:7" s="51" customFormat="1" x14ac:dyDescent="0.2">
      <c r="A15" s="51" t="s">
        <v>27</v>
      </c>
      <c r="C15" s="52">
        <v>10000</v>
      </c>
      <c r="D15" s="52">
        <f>'[1]GOODIN, SQUERI, SCHLOTZ, &amp; RITC'!$Q$61</f>
        <v>8331.59</v>
      </c>
      <c r="E15" s="53">
        <f t="shared" si="0"/>
        <v>1668.4099999999999</v>
      </c>
      <c r="F15" s="52"/>
    </row>
    <row r="16" spans="1:7" s="51" customFormat="1" x14ac:dyDescent="0.2">
      <c r="A16" s="51" t="s">
        <v>128</v>
      </c>
      <c r="C16" s="52"/>
      <c r="D16" s="52">
        <f>'[1]GOODIN, SQUERI, SCHLOTZ, &amp; RITC'!$Q$105</f>
        <v>260.07</v>
      </c>
      <c r="E16" s="53">
        <f>C16-D16</f>
        <v>-260.07</v>
      </c>
      <c r="F16" s="52"/>
    </row>
    <row r="17" spans="1:7" s="51" customFormat="1" x14ac:dyDescent="0.2">
      <c r="A17" s="51" t="s">
        <v>85</v>
      </c>
      <c r="C17" s="52">
        <v>40000</v>
      </c>
      <c r="D17" s="52">
        <f>'[1]GOODIN, SQUERI, SCHLOTZ, &amp; RITC'!$Q$53</f>
        <v>48876.62</v>
      </c>
      <c r="E17" s="53">
        <f t="shared" si="0"/>
        <v>-8876.6200000000026</v>
      </c>
      <c r="F17" s="52"/>
    </row>
    <row r="18" spans="1:7" s="51" customFormat="1" ht="13.5" customHeight="1" x14ac:dyDescent="0.2">
      <c r="A18" s="51" t="s">
        <v>129</v>
      </c>
      <c r="C18" s="52">
        <v>50000</v>
      </c>
      <c r="D18" s="52">
        <f>'[1]GOODIN, SQUERI, SCHLOTZ, &amp; RITC'!$Q$43+'[1]GOODIN, SQUERI, SCHLOTZ, &amp; RITC'!$Q$87+'[1]GOODIN, SQUERI, SCHLOTZ, &amp; RITC'!$Q$99+'[1]GOODIN, SQUERI, SCHLOTZ, &amp; RITC'!$Q$101</f>
        <v>13355.499999999998</v>
      </c>
      <c r="E18" s="53">
        <f t="shared" si="0"/>
        <v>36644.5</v>
      </c>
      <c r="F18" s="52"/>
    </row>
    <row r="19" spans="1:7" s="51" customFormat="1" ht="13.15" customHeight="1" x14ac:dyDescent="0.2">
      <c r="A19" s="51" t="s">
        <v>92</v>
      </c>
      <c r="C19" s="52">
        <v>50000</v>
      </c>
      <c r="D19" s="52"/>
      <c r="E19" s="53">
        <f>C19-D19</f>
        <v>50000</v>
      </c>
      <c r="F19" s="52"/>
    </row>
    <row r="20" spans="1:7" s="51" customFormat="1" x14ac:dyDescent="0.2">
      <c r="A20" s="54" t="s">
        <v>114</v>
      </c>
      <c r="C20" s="52"/>
      <c r="D20" s="52">
        <f>'[1]GOODIN, SQUERI, SCHLOTZ, &amp; RITC'!$Q$95</f>
        <v>6129.6500000000015</v>
      </c>
      <c r="E20" s="53"/>
      <c r="F20" s="52"/>
    </row>
    <row r="21" spans="1:7" s="51" customFormat="1" x14ac:dyDescent="0.2">
      <c r="A21" s="51" t="s">
        <v>90</v>
      </c>
      <c r="C21" s="52">
        <v>50000</v>
      </c>
      <c r="D21" s="52"/>
      <c r="E21" s="53">
        <f>C21-D22-D23-D24-D25-D26-D20-D27-D28-D29-D30</f>
        <v>6815.7100000000037</v>
      </c>
      <c r="F21" s="52"/>
    </row>
    <row r="22" spans="1:7" s="51" customFormat="1" x14ac:dyDescent="0.2">
      <c r="A22" s="54" t="s">
        <v>108</v>
      </c>
      <c r="C22" s="52"/>
      <c r="D22" s="52">
        <f>'[1]GOODIN, SQUERI, SCHLOTZ, &amp; RITC'!$Q$11+'[1]GOODIN, SQUERI, SCHLOTZ, &amp; RITC'!$Q$33+'[1]GOODIN, SQUERI, SCHLOTZ, &amp; RITC'!$Q$79</f>
        <v>9685.0399999999972</v>
      </c>
      <c r="E22" s="53"/>
      <c r="F22" s="52"/>
    </row>
    <row r="23" spans="1:7" s="51" customFormat="1" x14ac:dyDescent="0.2">
      <c r="A23" s="54" t="s">
        <v>104</v>
      </c>
      <c r="C23" s="52"/>
      <c r="D23" s="52">
        <f>'[1]GOODIN, SQUERI, SCHLOTZ, &amp; RITC'!$Q$15+'[1]GOODIN, SQUERI, SCHLOTZ, &amp; RITC'!$Q$63</f>
        <v>16500.090000000004</v>
      </c>
      <c r="E23" s="53"/>
      <c r="F23" s="52"/>
    </row>
    <row r="24" spans="1:7" s="51" customFormat="1" x14ac:dyDescent="0.2">
      <c r="A24" s="54" t="s">
        <v>113</v>
      </c>
      <c r="C24" s="52"/>
      <c r="D24" s="52">
        <f>'[1]GOODIN, SQUERI, SCHLOTZ, &amp; RITC'!$Q$35</f>
        <v>881.19</v>
      </c>
      <c r="E24" s="53"/>
      <c r="F24" s="52"/>
    </row>
    <row r="25" spans="1:7" s="51" customFormat="1" x14ac:dyDescent="0.2">
      <c r="A25" s="54" t="s">
        <v>77</v>
      </c>
      <c r="C25" s="52"/>
      <c r="D25" s="52">
        <f>'[1]GOODIN, SQUERI, SCHLOTZ, &amp; RITC'!$Q$29</f>
        <v>2344</v>
      </c>
      <c r="E25" s="53"/>
      <c r="F25" s="52"/>
    </row>
    <row r="26" spans="1:7" s="51" customFormat="1" x14ac:dyDescent="0.2">
      <c r="A26" s="54" t="s">
        <v>86</v>
      </c>
      <c r="C26" s="52"/>
      <c r="D26" s="52">
        <f>'[1]GOODIN, SQUERI, SCHLOTZ, &amp; RITC'!$Q$39</f>
        <v>16</v>
      </c>
      <c r="E26" s="53"/>
      <c r="F26" s="52"/>
    </row>
    <row r="27" spans="1:7" s="51" customFormat="1" x14ac:dyDescent="0.2">
      <c r="A27" s="54" t="s">
        <v>116</v>
      </c>
      <c r="C27" s="52"/>
      <c r="D27" s="52">
        <f>'[1]GOODIN, SQUERI, SCHLOTZ, &amp; RITC'!$Q$19</f>
        <v>352.63</v>
      </c>
      <c r="E27" s="53"/>
      <c r="F27" s="52"/>
    </row>
    <row r="28" spans="1:7" s="51" customFormat="1" x14ac:dyDescent="0.2">
      <c r="A28" s="54" t="s">
        <v>112</v>
      </c>
      <c r="C28" s="52"/>
      <c r="D28" s="52">
        <f>'[1]GOODIN, SQUERI, SCHLOTZ, &amp; RITC'!$Q$93</f>
        <v>767.97</v>
      </c>
      <c r="E28" s="53"/>
      <c r="F28" s="52"/>
    </row>
    <row r="29" spans="1:7" s="51" customFormat="1" x14ac:dyDescent="0.2">
      <c r="A29" s="54" t="s">
        <v>117</v>
      </c>
      <c r="C29" s="52"/>
      <c r="D29" s="52">
        <f>[3]WPTF!$Q$12</f>
        <v>5322</v>
      </c>
      <c r="E29" s="53"/>
      <c r="F29" s="52"/>
    </row>
    <row r="30" spans="1:7" s="45" customFormat="1" x14ac:dyDescent="0.2">
      <c r="A30" s="79" t="s">
        <v>88</v>
      </c>
      <c r="C30" s="46"/>
      <c r="D30" s="46">
        <f>'[1]GOODIN, SQUERI, SCHLOTZ, &amp; RITC'!$Q$37</f>
        <v>1185.72</v>
      </c>
      <c r="E30" s="85"/>
      <c r="F30" s="46" t="s">
        <v>130</v>
      </c>
    </row>
    <row r="31" spans="1:7" s="11" customFormat="1" ht="12" customHeight="1" x14ac:dyDescent="0.2">
      <c r="A31" s="11" t="s">
        <v>43</v>
      </c>
      <c r="C31" s="10">
        <f>SUM(C6:C21)</f>
        <v>582000</v>
      </c>
      <c r="D31" s="10">
        <f>SUM(D6:D30)</f>
        <v>329144.12</v>
      </c>
      <c r="E31" s="23">
        <f>C31-D31</f>
        <v>252855.88</v>
      </c>
      <c r="F31" s="48">
        <f>C31/12</f>
        <v>48500</v>
      </c>
      <c r="G31" s="23">
        <f>F31-E31</f>
        <v>-204355.88</v>
      </c>
    </row>
    <row r="32" spans="1:7" x14ac:dyDescent="0.2">
      <c r="C32" s="6"/>
      <c r="F32" s="28"/>
      <c r="G32" s="16"/>
    </row>
    <row r="33" spans="1:7" x14ac:dyDescent="0.2">
      <c r="A33" s="11" t="s">
        <v>45</v>
      </c>
      <c r="C33" s="6"/>
      <c r="F33" s="28"/>
      <c r="G33" s="16"/>
    </row>
    <row r="34" spans="1:7" s="51" customFormat="1" x14ac:dyDescent="0.2">
      <c r="A34" s="51" t="s">
        <v>29</v>
      </c>
      <c r="C34" s="52">
        <v>125000</v>
      </c>
      <c r="D34" s="52">
        <f>'[1]GOODIN, SQUERI, SCHLOTZ, &amp; RITC'!$Q$31+'[1]GOODIN, SQUERI, SCHLOTZ, &amp; RITC'!$Q$17</f>
        <v>96593.99</v>
      </c>
      <c r="E34" s="53">
        <f>C34-D34-D35</f>
        <v>28107.529999999995</v>
      </c>
    </row>
    <row r="35" spans="1:7" s="51" customFormat="1" x14ac:dyDescent="0.2">
      <c r="A35" s="54" t="s">
        <v>100</v>
      </c>
      <c r="C35" s="52"/>
      <c r="D35" s="52">
        <f>'[1]GOODIN, SQUERI, SCHLOTZ, &amp; RITC'!$Q$73</f>
        <v>298.48</v>
      </c>
      <c r="E35" s="53"/>
      <c r="F35" s="52"/>
    </row>
    <row r="36" spans="1:7" s="51" customFormat="1" x14ac:dyDescent="0.2">
      <c r="A36" s="51" t="s">
        <v>99</v>
      </c>
      <c r="C36" s="52">
        <v>25000</v>
      </c>
      <c r="D36" s="52"/>
      <c r="E36" s="53">
        <f t="shared" ref="E36:E41" si="1">C36-D36</f>
        <v>25000</v>
      </c>
      <c r="F36" s="52"/>
    </row>
    <row r="37" spans="1:7" s="51" customFormat="1" x14ac:dyDescent="0.2">
      <c r="A37" s="51" t="s">
        <v>31</v>
      </c>
      <c r="C37" s="52">
        <v>5000</v>
      </c>
      <c r="D37" s="52"/>
      <c r="E37" s="53">
        <f t="shared" si="1"/>
        <v>5000</v>
      </c>
      <c r="F37" s="52"/>
    </row>
    <row r="38" spans="1:7" s="51" customFormat="1" x14ac:dyDescent="0.2">
      <c r="A38" s="51" t="s">
        <v>68</v>
      </c>
      <c r="C38" s="52">
        <v>2500</v>
      </c>
      <c r="D38" s="52">
        <f>'[1]GOODIN, SQUERI, SCHLOTZ, &amp; RITC'!$Q$47+'[1]GOODIN, SQUERI, SCHLOTZ, &amp; RITC'!$Q$65</f>
        <v>1415.72</v>
      </c>
      <c r="E38" s="53">
        <f t="shared" si="1"/>
        <v>1084.28</v>
      </c>
      <c r="F38" s="52"/>
    </row>
    <row r="39" spans="1:7" s="51" customFormat="1" x14ac:dyDescent="0.2">
      <c r="A39" s="54" t="s">
        <v>81</v>
      </c>
      <c r="C39" s="52"/>
      <c r="D39" s="52">
        <f>'[1]GOODIN, SQUERI, SCHLOTZ, &amp; RITC'!$Q$9</f>
        <v>1345.94</v>
      </c>
      <c r="E39" s="53">
        <f t="shared" si="1"/>
        <v>-1345.94</v>
      </c>
      <c r="F39" s="52"/>
    </row>
    <row r="40" spans="1:7" s="45" customFormat="1" x14ac:dyDescent="0.2">
      <c r="A40" s="79" t="s">
        <v>67</v>
      </c>
      <c r="C40" s="46"/>
      <c r="D40" s="46">
        <f>'[1]GOODIN, SQUERI, SCHLOTZ, &amp; RITC'!$Q$51</f>
        <v>4900.5200000000004</v>
      </c>
      <c r="E40" s="85">
        <f t="shared" si="1"/>
        <v>-4900.5200000000004</v>
      </c>
      <c r="F40" s="46" t="s">
        <v>130</v>
      </c>
    </row>
    <row r="41" spans="1:7" s="11" customFormat="1" x14ac:dyDescent="0.2">
      <c r="A41" s="11" t="s">
        <v>44</v>
      </c>
      <c r="C41" s="10">
        <f>SUM(C34:C38)</f>
        <v>157500</v>
      </c>
      <c r="D41" s="10">
        <f>SUM(D34:D40)</f>
        <v>104554.65000000001</v>
      </c>
      <c r="E41" s="23">
        <f t="shared" si="1"/>
        <v>52945.349999999991</v>
      </c>
      <c r="F41" s="48">
        <f>C41/12</f>
        <v>13125</v>
      </c>
      <c r="G41" s="23">
        <f>F41-E41</f>
        <v>-39820.349999999991</v>
      </c>
    </row>
    <row r="42" spans="1:7" x14ac:dyDescent="0.2">
      <c r="C42" s="6"/>
      <c r="F42" s="28"/>
      <c r="G42" s="16"/>
    </row>
    <row r="43" spans="1:7" ht="13.5" customHeight="1" x14ac:dyDescent="0.2">
      <c r="A43" s="11" t="s">
        <v>102</v>
      </c>
      <c r="C43" s="6"/>
      <c r="F43" s="28"/>
      <c r="G43" s="16"/>
    </row>
    <row r="44" spans="1:7" s="51" customFormat="1" x14ac:dyDescent="0.2">
      <c r="A44" s="51" t="s">
        <v>28</v>
      </c>
      <c r="C44" s="52">
        <v>50000</v>
      </c>
      <c r="D44" s="52">
        <f>'[1]GOODIN, SQUERI, SCHLOTZ, &amp; RITC'!$Q$75</f>
        <v>7471.79</v>
      </c>
      <c r="E44" s="53">
        <f>C44-D44</f>
        <v>42528.21</v>
      </c>
    </row>
    <row r="45" spans="1:7" s="51" customFormat="1" x14ac:dyDescent="0.2">
      <c r="A45" s="51" t="s">
        <v>103</v>
      </c>
      <c r="C45" s="52">
        <v>110000</v>
      </c>
      <c r="D45" s="52">
        <f>'[1]GOODIN, SQUERI, SCHLOTZ, &amp; RITC'!$Q$77</f>
        <v>25745.26</v>
      </c>
      <c r="E45" s="53">
        <f>C45-D45-D46</f>
        <v>81919.340000000011</v>
      </c>
    </row>
    <row r="46" spans="1:7" s="51" customFormat="1" x14ac:dyDescent="0.2">
      <c r="A46" s="54" t="s">
        <v>91</v>
      </c>
      <c r="C46" s="52"/>
      <c r="D46" s="52">
        <f>'[1]GOODIN, SQUERI, SCHLOTZ, &amp; RITC'!$Q$81</f>
        <v>2335.3999999999996</v>
      </c>
      <c r="E46" s="53"/>
    </row>
    <row r="47" spans="1:7" s="51" customFormat="1" x14ac:dyDescent="0.2">
      <c r="A47" s="51" t="s">
        <v>32</v>
      </c>
      <c r="C47" s="52">
        <v>50000</v>
      </c>
      <c r="D47" s="52">
        <f>'[1]GOODIN, SQUERI, SCHLOTZ, &amp; RITC'!$Q$25</f>
        <v>56036.65</v>
      </c>
      <c r="E47" s="53">
        <f>C47-D47-D48-D49</f>
        <v>-16812.89</v>
      </c>
    </row>
    <row r="48" spans="1:7" s="51" customFormat="1" x14ac:dyDescent="0.2">
      <c r="A48" s="78" t="s">
        <v>105</v>
      </c>
      <c r="C48" s="52"/>
      <c r="D48" s="52">
        <f>'[1]Arter &amp; Hadden'!$Q$9+'[1]Arter &amp; Hadden'!$Q$10+'[1]Arter &amp; Hadden'!$Q$11</f>
        <v>9337.24</v>
      </c>
      <c r="E48" s="53"/>
      <c r="F48" s="52"/>
    </row>
    <row r="49" spans="1:7" s="51" customFormat="1" x14ac:dyDescent="0.2">
      <c r="A49" s="78" t="s">
        <v>106</v>
      </c>
      <c r="C49" s="52"/>
      <c r="D49" s="52">
        <f>[3]WPTF!$Q$24</f>
        <v>1439</v>
      </c>
      <c r="E49" s="53"/>
      <c r="F49" s="52"/>
    </row>
    <row r="50" spans="1:7" s="51" customFormat="1" x14ac:dyDescent="0.2">
      <c r="A50" s="51" t="s">
        <v>30</v>
      </c>
      <c r="C50" s="52">
        <v>15000</v>
      </c>
      <c r="D50" s="52">
        <f>'[1]GOODIN, SQUERI, SCHLOTZ, &amp; RITC'!$Q$27</f>
        <v>13801.69</v>
      </c>
      <c r="E50" s="53">
        <f>C50-D50-D51</f>
        <v>-733.74000000000069</v>
      </c>
      <c r="F50" s="52"/>
    </row>
    <row r="51" spans="1:7" s="51" customFormat="1" x14ac:dyDescent="0.2">
      <c r="A51" s="51" t="s">
        <v>115</v>
      </c>
      <c r="C51" s="52"/>
      <c r="D51" s="52">
        <f>'[1]GOODIN, SQUERI, SCHLOTZ, &amp; RITC'!$Q$91</f>
        <v>1932.0500000000002</v>
      </c>
      <c r="E51" s="53"/>
      <c r="F51" s="52"/>
    </row>
    <row r="52" spans="1:7" s="51" customFormat="1" x14ac:dyDescent="0.2">
      <c r="A52" s="51" t="s">
        <v>71</v>
      </c>
      <c r="C52" s="52">
        <v>5000</v>
      </c>
      <c r="D52" s="52">
        <f>'[1]GOODIN, SQUERI, SCHLOTZ, &amp; RITC'!$Q$21</f>
        <v>2316.52</v>
      </c>
      <c r="E52" s="53">
        <f t="shared" ref="E52:E57" si="2">C52-D52</f>
        <v>2683.48</v>
      </c>
      <c r="F52" s="52"/>
    </row>
    <row r="53" spans="1:7" s="51" customFormat="1" x14ac:dyDescent="0.2">
      <c r="A53" s="51" t="s">
        <v>70</v>
      </c>
      <c r="C53" s="52"/>
      <c r="D53" s="52">
        <f>'[1]GOODIN, SQUERI, SCHLOTZ, &amp; RITC'!$Q$49</f>
        <v>32</v>
      </c>
      <c r="E53" s="53">
        <f t="shared" si="2"/>
        <v>-32</v>
      </c>
      <c r="F53" s="52"/>
    </row>
    <row r="54" spans="1:7" s="51" customFormat="1" x14ac:dyDescent="0.2">
      <c r="A54" s="51" t="s">
        <v>69</v>
      </c>
      <c r="C54" s="52"/>
      <c r="D54" s="52">
        <f>'[1]GOODIN, SQUERI, SCHLOTZ, &amp; RITC'!$Q$67</f>
        <v>5673.1600000000008</v>
      </c>
      <c r="E54" s="53">
        <f t="shared" si="2"/>
        <v>-5673.1600000000008</v>
      </c>
      <c r="F54" s="52"/>
    </row>
    <row r="55" spans="1:7" s="51" customFormat="1" x14ac:dyDescent="0.2">
      <c r="A55" s="51" t="s">
        <v>107</v>
      </c>
      <c r="C55" s="52"/>
      <c r="D55" s="52">
        <f>'[1]GOODIN, SQUERI, SCHLOTZ, &amp; RITC'!$Q$69+'[1]GOODIN, SQUERI, SCHLOTZ, &amp; RITC'!$Q$23</f>
        <v>958.83999999999992</v>
      </c>
      <c r="E55" s="53">
        <f t="shared" si="2"/>
        <v>-958.83999999999992</v>
      </c>
      <c r="F55" s="52"/>
    </row>
    <row r="56" spans="1:7" s="45" customFormat="1" x14ac:dyDescent="0.2">
      <c r="A56" s="45" t="s">
        <v>109</v>
      </c>
      <c r="C56" s="46"/>
      <c r="D56" s="46">
        <f>'[1]GOODIN, SQUERI, SCHLOTZ, &amp; RITC'!$Q$57+'[1]GOODIN, SQUERI, SCHLOTZ, &amp; RITC'!$Q$41</f>
        <v>1100.0900000000001</v>
      </c>
      <c r="E56" s="85">
        <f t="shared" si="2"/>
        <v>-1100.0900000000001</v>
      </c>
      <c r="F56" s="46" t="s">
        <v>130</v>
      </c>
    </row>
    <row r="57" spans="1:7" x14ac:dyDescent="0.2">
      <c r="A57" s="13" t="s">
        <v>47</v>
      </c>
      <c r="B57" s="16"/>
      <c r="C57" s="14">
        <f>SUM(C44:C56)</f>
        <v>230000</v>
      </c>
      <c r="D57" s="14">
        <f>SUM(D44:D56)</f>
        <v>128179.69000000002</v>
      </c>
      <c r="E57" s="69">
        <f t="shared" si="2"/>
        <v>101820.30999999998</v>
      </c>
      <c r="F57" s="48">
        <f>C57/12</f>
        <v>19166.666666666668</v>
      </c>
      <c r="G57" s="23">
        <f>F57-E57</f>
        <v>-82653.643333333312</v>
      </c>
    </row>
    <row r="58" spans="1:7" ht="7.5" customHeight="1" x14ac:dyDescent="0.2">
      <c r="A58" s="13"/>
      <c r="B58" s="16"/>
      <c r="C58" s="14"/>
      <c r="D58" s="28"/>
      <c r="E58" s="13"/>
      <c r="F58" s="28"/>
    </row>
    <row r="59" spans="1:7" s="45" customFormat="1" x14ac:dyDescent="0.2">
      <c r="A59" s="70" t="s">
        <v>42</v>
      </c>
      <c r="C59" s="71">
        <f>SUM(C31+C41+C57)</f>
        <v>969500</v>
      </c>
      <c r="D59" s="47">
        <f>SUM(D31+D41+D57)</f>
        <v>561878.46000000008</v>
      </c>
      <c r="E59" s="72">
        <f>C59-D59</f>
        <v>407621.53999999992</v>
      </c>
      <c r="F59" s="47">
        <f>SUM(F31+F41+F57)</f>
        <v>80791.666666666672</v>
      </c>
      <c r="G59" s="47">
        <f>SUM(G31+G41+G57)</f>
        <v>-326829.87333333329</v>
      </c>
    </row>
    <row r="60" spans="1:7" ht="9" customHeight="1" x14ac:dyDescent="0.2">
      <c r="C60" s="6"/>
      <c r="F60" s="28"/>
    </row>
    <row r="61" spans="1:7" x14ac:dyDescent="0.2">
      <c r="A61" s="11" t="s">
        <v>48</v>
      </c>
      <c r="C61" s="10"/>
      <c r="F61" s="28"/>
      <c r="G61" s="16"/>
    </row>
    <row r="62" spans="1:7" s="55" customFormat="1" x14ac:dyDescent="0.2">
      <c r="A62" s="55" t="s">
        <v>49</v>
      </c>
      <c r="C62" s="56">
        <v>60000</v>
      </c>
      <c r="D62" s="56"/>
      <c r="F62" s="49"/>
      <c r="G62" s="80"/>
    </row>
    <row r="63" spans="1:7" s="51" customFormat="1" x14ac:dyDescent="0.2">
      <c r="A63" s="55" t="s">
        <v>50</v>
      </c>
      <c r="C63" s="56">
        <v>60000</v>
      </c>
      <c r="D63" s="52"/>
      <c r="F63" s="28"/>
      <c r="G63" s="16"/>
    </row>
    <row r="64" spans="1:7" s="66" customFormat="1" x14ac:dyDescent="0.2">
      <c r="A64" s="73" t="s">
        <v>51</v>
      </c>
      <c r="C64" s="74">
        <v>60000</v>
      </c>
      <c r="D64" s="67"/>
      <c r="F64" s="46" t="s">
        <v>130</v>
      </c>
      <c r="G64" s="45"/>
    </row>
    <row r="65" spans="1:7" x14ac:dyDescent="0.2">
      <c r="A65" s="11" t="s">
        <v>52</v>
      </c>
      <c r="C65" s="10">
        <f>SUM(C62:C64)</f>
        <v>180000</v>
      </c>
      <c r="D65" s="44">
        <f>'[1]GOODIN, SQUERI, SCHLOTZ, &amp; RITC'!$Q$13+'[1]GOODIN, SQUERI, SCHLOTZ, &amp; RITC'!$Q$71</f>
        <v>124988.52</v>
      </c>
      <c r="E65" s="23">
        <f>C65-D65</f>
        <v>55011.479999999996</v>
      </c>
      <c r="F65" s="48">
        <f>C65/12</f>
        <v>15000</v>
      </c>
      <c r="G65" s="23">
        <f>F65-E65</f>
        <v>-40011.479999999996</v>
      </c>
    </row>
    <row r="66" spans="1:7" x14ac:dyDescent="0.2">
      <c r="A66" s="11"/>
      <c r="C66" s="10"/>
      <c r="D66" s="10"/>
      <c r="E66" s="23"/>
      <c r="F66" s="28"/>
    </row>
    <row r="67" spans="1:7" x14ac:dyDescent="0.2">
      <c r="A67" s="1" t="s">
        <v>53</v>
      </c>
      <c r="C67" s="10">
        <f>SUM(C59+C65)</f>
        <v>1149500</v>
      </c>
      <c r="D67" s="10">
        <f>SUM(D59+D65)</f>
        <v>686866.9800000001</v>
      </c>
      <c r="E67" s="23">
        <f>C67-D67</f>
        <v>462633.0199999999</v>
      </c>
      <c r="F67" s="10">
        <f>SUM(F59+F65)</f>
        <v>95791.666666666672</v>
      </c>
      <c r="G67" s="10">
        <f>SUM(G59+G65)</f>
        <v>-366841.35333333327</v>
      </c>
    </row>
    <row r="68" spans="1:7" ht="9.6" customHeight="1" x14ac:dyDescent="0.2">
      <c r="A68" s="1"/>
      <c r="F68" s="28"/>
    </row>
    <row r="69" spans="1:7" s="1" customFormat="1" x14ac:dyDescent="0.2">
      <c r="A69" s="11" t="s">
        <v>2</v>
      </c>
      <c r="B69" s="2" t="s">
        <v>84</v>
      </c>
      <c r="C69" s="2"/>
      <c r="D69" s="7"/>
      <c r="E69" s="29"/>
      <c r="F69" s="50"/>
      <c r="G69" s="82"/>
    </row>
    <row r="70" spans="1:7" s="60" customFormat="1" x14ac:dyDescent="0.2">
      <c r="A70" s="57" t="s">
        <v>33</v>
      </c>
      <c r="B70" s="57"/>
      <c r="C70" s="58">
        <v>50000</v>
      </c>
      <c r="D70" s="59">
        <f>[2]MRW!$P$17</f>
        <v>17991.310000000001</v>
      </c>
      <c r="E70" s="53">
        <f t="shared" ref="E70:E83" si="3">C70-D70</f>
        <v>32008.69</v>
      </c>
      <c r="F70" s="89"/>
    </row>
    <row r="71" spans="1:7" s="60" customFormat="1" x14ac:dyDescent="0.2">
      <c r="A71" s="57" t="s">
        <v>126</v>
      </c>
      <c r="B71" s="57"/>
      <c r="C71" s="58">
        <v>40000</v>
      </c>
      <c r="D71" s="59">
        <f>[2]MRW!$P$27+'[2]PG&amp;E Energy Services'!$L$13</f>
        <v>29282.239999999998</v>
      </c>
      <c r="E71" s="53">
        <f t="shared" si="3"/>
        <v>10717.760000000002</v>
      </c>
      <c r="F71" s="89"/>
    </row>
    <row r="72" spans="1:7" s="60" customFormat="1" x14ac:dyDescent="0.2">
      <c r="A72" s="57" t="s">
        <v>34</v>
      </c>
      <c r="B72" s="57"/>
      <c r="C72" s="58">
        <v>40000</v>
      </c>
      <c r="D72" s="59">
        <f>[2]MRW!$P$32</f>
        <v>2888.1800000000003</v>
      </c>
      <c r="E72" s="53">
        <f t="shared" si="3"/>
        <v>37111.82</v>
      </c>
      <c r="F72" s="89"/>
    </row>
    <row r="73" spans="1:7" s="60" customFormat="1" x14ac:dyDescent="0.2">
      <c r="A73" s="57" t="s">
        <v>79</v>
      </c>
      <c r="B73" s="57"/>
      <c r="C73" s="58">
        <v>10000</v>
      </c>
      <c r="D73" s="59">
        <f>[2]MRW!$P$47</f>
        <v>2260.6</v>
      </c>
      <c r="E73" s="53">
        <f t="shared" si="3"/>
        <v>7739.4</v>
      </c>
      <c r="F73" s="89"/>
    </row>
    <row r="74" spans="1:7" s="60" customFormat="1" x14ac:dyDescent="0.2">
      <c r="A74" s="57" t="s">
        <v>35</v>
      </c>
      <c r="B74" s="57"/>
      <c r="C74" s="58">
        <v>10000</v>
      </c>
      <c r="D74" s="59">
        <f>[2]MRW!$P$42</f>
        <v>2718.2</v>
      </c>
      <c r="E74" s="53">
        <f t="shared" si="3"/>
        <v>7281.8</v>
      </c>
      <c r="F74" s="89"/>
    </row>
    <row r="75" spans="1:7" s="60" customFormat="1" x14ac:dyDescent="0.2">
      <c r="A75" s="57" t="s">
        <v>64</v>
      </c>
      <c r="B75" s="57"/>
      <c r="C75" s="58">
        <v>40000</v>
      </c>
      <c r="D75" s="59">
        <f>[2]Enventure!$P$12+[2]MRW!$P$52</f>
        <v>33071.360000000001</v>
      </c>
      <c r="E75" s="53">
        <f t="shared" si="3"/>
        <v>6928.6399999999994</v>
      </c>
      <c r="F75" s="89"/>
    </row>
    <row r="76" spans="1:7" s="60" customFormat="1" x14ac:dyDescent="0.2">
      <c r="A76" s="57" t="s">
        <v>110</v>
      </c>
      <c r="B76" s="57"/>
      <c r="C76" s="58">
        <v>15000</v>
      </c>
      <c r="D76" s="59">
        <f>[2]MRW!$P$12</f>
        <v>6585.12</v>
      </c>
      <c r="E76" s="53">
        <f t="shared" si="3"/>
        <v>8414.880000000001</v>
      </c>
      <c r="F76" s="89"/>
    </row>
    <row r="77" spans="1:7" s="60" customFormat="1" x14ac:dyDescent="0.2">
      <c r="A77" s="57" t="s">
        <v>78</v>
      </c>
      <c r="B77" s="57"/>
      <c r="C77" s="58">
        <v>50000</v>
      </c>
      <c r="D77" s="59">
        <f>[2]MRW!$P$37</f>
        <v>32105.119999999999</v>
      </c>
      <c r="E77" s="53">
        <f t="shared" si="3"/>
        <v>17894.88</v>
      </c>
      <c r="F77" s="89"/>
    </row>
    <row r="78" spans="1:7" s="60" customFormat="1" x14ac:dyDescent="0.2">
      <c r="A78" s="57" t="s">
        <v>80</v>
      </c>
      <c r="B78" s="57"/>
      <c r="C78" s="58">
        <v>15000</v>
      </c>
      <c r="D78" s="59">
        <f>[2]MRW!$P$57</f>
        <v>5111.59</v>
      </c>
      <c r="E78" s="53">
        <f t="shared" si="3"/>
        <v>9888.41</v>
      </c>
      <c r="F78" s="52"/>
    </row>
    <row r="79" spans="1:7" s="60" customFormat="1" x14ac:dyDescent="0.2">
      <c r="A79" s="57" t="s">
        <v>94</v>
      </c>
      <c r="B79" s="57"/>
      <c r="C79" s="58">
        <v>10000</v>
      </c>
      <c r="D79" s="59"/>
      <c r="E79" s="53">
        <f t="shared" si="3"/>
        <v>10000</v>
      </c>
      <c r="F79" s="52"/>
    </row>
    <row r="80" spans="1:7" s="60" customFormat="1" x14ac:dyDescent="0.2">
      <c r="A80" s="57" t="s">
        <v>111</v>
      </c>
      <c r="B80" s="57"/>
      <c r="C80" s="58">
        <v>15000</v>
      </c>
      <c r="D80" s="59">
        <f>[2]MRW!$P$67</f>
        <v>2831.11</v>
      </c>
      <c r="E80" s="53">
        <f t="shared" si="3"/>
        <v>12168.89</v>
      </c>
      <c r="F80" s="52"/>
    </row>
    <row r="81" spans="1:13" s="60" customFormat="1" x14ac:dyDescent="0.2">
      <c r="A81" s="57" t="s">
        <v>95</v>
      </c>
      <c r="B81" s="57"/>
      <c r="C81" s="58">
        <v>3000</v>
      </c>
      <c r="D81" s="59"/>
      <c r="E81" s="53">
        <f t="shared" si="3"/>
        <v>3000</v>
      </c>
      <c r="F81" s="52"/>
    </row>
    <row r="82" spans="1:13" s="60" customFormat="1" x14ac:dyDescent="0.2">
      <c r="A82" s="57" t="s">
        <v>125</v>
      </c>
      <c r="B82" s="57"/>
      <c r="C82" s="58"/>
      <c r="D82" s="59">
        <f>[2]MRW!$P$62</f>
        <v>2402.73</v>
      </c>
      <c r="E82" s="53">
        <f t="shared" si="3"/>
        <v>-2402.73</v>
      </c>
      <c r="F82" s="52"/>
    </row>
    <row r="83" spans="1:13" s="81" customFormat="1" x14ac:dyDescent="0.2">
      <c r="A83" s="4" t="s">
        <v>72</v>
      </c>
      <c r="B83" s="4"/>
      <c r="C83" s="83"/>
      <c r="D83" s="84">
        <f>[2]MRW!$P$22</f>
        <v>1572.38</v>
      </c>
      <c r="E83" s="85">
        <f t="shared" si="3"/>
        <v>-1572.38</v>
      </c>
      <c r="F83" s="46" t="s">
        <v>130</v>
      </c>
    </row>
    <row r="84" spans="1:13" s="1" customFormat="1" x14ac:dyDescent="0.2">
      <c r="A84" s="11" t="s">
        <v>36</v>
      </c>
      <c r="B84" s="2"/>
      <c r="C84" s="24">
        <f>SUM(C70:C81)</f>
        <v>298000</v>
      </c>
      <c r="D84" s="10">
        <f>SUM(D70:D83)</f>
        <v>138819.94</v>
      </c>
      <c r="E84" s="23">
        <f>C84-D84</f>
        <v>159180.06</v>
      </c>
      <c r="F84" s="48">
        <f>C84/12</f>
        <v>24833.333333333332</v>
      </c>
      <c r="G84" s="23">
        <f>F84-E84</f>
        <v>-134346.72666666665</v>
      </c>
    </row>
    <row r="85" spans="1:13" s="1" customFormat="1" x14ac:dyDescent="0.2">
      <c r="A85" s="11"/>
      <c r="B85" s="2"/>
      <c r="C85" s="2"/>
      <c r="D85" s="10"/>
      <c r="F85" s="50"/>
      <c r="G85" s="82"/>
    </row>
    <row r="86" spans="1:13" s="3" customFormat="1" x14ac:dyDescent="0.2">
      <c r="A86" s="11" t="s">
        <v>54</v>
      </c>
      <c r="B86" s="2"/>
      <c r="C86" s="2"/>
      <c r="D86" s="7"/>
      <c r="F86" s="8"/>
    </row>
    <row r="87" spans="1:13" s="61" customFormat="1" x14ac:dyDescent="0.2">
      <c r="A87" s="61" t="s">
        <v>37</v>
      </c>
      <c r="B87" s="61" t="s">
        <v>76</v>
      </c>
      <c r="C87" s="62">
        <v>90000</v>
      </c>
      <c r="D87" s="62">
        <f>'[2]Governmental Advocates'!$P$12</f>
        <v>73303.73000000001</v>
      </c>
      <c r="E87" s="63">
        <f>C87-D87</f>
        <v>16696.26999999999</v>
      </c>
      <c r="F87" s="8"/>
      <c r="G87" s="3"/>
    </row>
    <row r="88" spans="1:13" s="57" customFormat="1" x14ac:dyDescent="0.2">
      <c r="A88" s="57" t="s">
        <v>38</v>
      </c>
      <c r="B88" s="57" t="s">
        <v>118</v>
      </c>
      <c r="C88" s="59">
        <v>60000</v>
      </c>
      <c r="D88" s="59">
        <f>'[2]Lang, Hansen'!$N$15</f>
        <v>20000</v>
      </c>
      <c r="E88" s="53">
        <f>C88-D88</f>
        <v>40000</v>
      </c>
      <c r="F88" s="8"/>
      <c r="G88" s="3"/>
    </row>
    <row r="89" spans="1:13" s="75" customFormat="1" x14ac:dyDescent="0.2">
      <c r="A89" s="75" t="s">
        <v>39</v>
      </c>
      <c r="B89" s="75" t="s">
        <v>6</v>
      </c>
      <c r="C89" s="77">
        <v>10000</v>
      </c>
      <c r="D89" s="76"/>
      <c r="E89" s="68">
        <f>C89-D89</f>
        <v>10000</v>
      </c>
      <c r="F89" s="46" t="s">
        <v>130</v>
      </c>
      <c r="G89" s="4"/>
    </row>
    <row r="90" spans="1:13" s="3" customFormat="1" x14ac:dyDescent="0.2">
      <c r="A90" s="11" t="s">
        <v>59</v>
      </c>
      <c r="B90" s="2"/>
      <c r="C90" s="23">
        <f>SUM(C87:C89)</f>
        <v>160000</v>
      </c>
      <c r="D90" s="23">
        <f>SUM(D87:D89)</f>
        <v>93303.73000000001</v>
      </c>
      <c r="E90" s="23">
        <f>C90-D90</f>
        <v>66696.26999999999</v>
      </c>
      <c r="F90" s="48">
        <f>C90/12</f>
        <v>13333.333333333334</v>
      </c>
      <c r="G90" s="23">
        <f>F90-E90</f>
        <v>-53362.936666666654</v>
      </c>
    </row>
    <row r="91" spans="1:13" s="2" customFormat="1" x14ac:dyDescent="0.2">
      <c r="D91" s="7"/>
      <c r="F91" s="28" t="s">
        <v>130</v>
      </c>
    </row>
    <row r="92" spans="1:13" s="3" customFormat="1" x14ac:dyDescent="0.2">
      <c r="A92" s="13" t="s">
        <v>3</v>
      </c>
      <c r="B92" s="3" t="s">
        <v>4</v>
      </c>
      <c r="C92" s="14">
        <v>10000</v>
      </c>
      <c r="D92" s="14">
        <f>[2]Eichman!$P$18</f>
        <v>3065.04</v>
      </c>
      <c r="E92" s="23">
        <f>C92-D92</f>
        <v>6934.96</v>
      </c>
      <c r="F92" s="48">
        <f>C92/12</f>
        <v>833.33333333333337</v>
      </c>
      <c r="G92" s="23">
        <f>F92-E92</f>
        <v>-6101.626666666667</v>
      </c>
    </row>
    <row r="93" spans="1:13" s="3" customFormat="1" x14ac:dyDescent="0.2">
      <c r="D93" s="8"/>
      <c r="F93" s="28" t="s">
        <v>130</v>
      </c>
    </row>
    <row r="94" spans="1:13" s="4" customFormat="1" x14ac:dyDescent="0.2">
      <c r="A94" s="11" t="s">
        <v>5</v>
      </c>
      <c r="B94" s="2" t="s">
        <v>120</v>
      </c>
      <c r="C94" s="10">
        <v>15000</v>
      </c>
      <c r="D94" s="10">
        <v>9872</v>
      </c>
      <c r="E94" s="23">
        <f>C94-D94</f>
        <v>5128</v>
      </c>
      <c r="F94" s="48">
        <f>C94/12</f>
        <v>1250</v>
      </c>
      <c r="G94" s="23">
        <f>F94-E94</f>
        <v>-3878</v>
      </c>
      <c r="H94" s="3"/>
      <c r="I94" s="3"/>
      <c r="J94" s="3"/>
      <c r="K94" s="3"/>
      <c r="L94" s="3"/>
      <c r="M94" s="3"/>
    </row>
    <row r="95" spans="1:13" s="3" customFormat="1" x14ac:dyDescent="0.2">
      <c r="A95" s="2"/>
      <c r="B95" s="2"/>
      <c r="C95" s="2"/>
      <c r="D95" s="7"/>
      <c r="F95" s="8"/>
    </row>
    <row r="96" spans="1:13" s="2" customFormat="1" ht="15" x14ac:dyDescent="0.35">
      <c r="A96" s="19" t="s">
        <v>101</v>
      </c>
      <c r="B96" s="19" t="s">
        <v>60</v>
      </c>
      <c r="C96" s="21">
        <f>SUM(C67+C84+C90+C92+C94)</f>
        <v>1632500</v>
      </c>
      <c r="D96" s="21">
        <f>SUM(D67+D84+D90+D92+D94)</f>
        <v>931927.69000000018</v>
      </c>
      <c r="E96" s="21">
        <f>SUM(E67+E84+E90+E92+E94)</f>
        <v>700572.30999999982</v>
      </c>
      <c r="F96" s="21">
        <f>SUM(F67+F84+F90+F92+F94)</f>
        <v>136041.66666666669</v>
      </c>
      <c r="G96" s="21">
        <f>SUM(G67+G84+G90+G92+G94)</f>
        <v>-564530.64333333331</v>
      </c>
    </row>
    <row r="97" spans="1:7" s="5" customFormat="1" ht="13.5" thickBot="1" x14ac:dyDescent="0.25">
      <c r="D97" s="26"/>
      <c r="F97" s="26"/>
    </row>
    <row r="98" spans="1:7" s="42" customFormat="1" ht="39" customHeight="1" x14ac:dyDescent="0.2">
      <c r="A98" s="39" t="s">
        <v>7</v>
      </c>
      <c r="B98" s="39" t="s">
        <v>8</v>
      </c>
      <c r="C98" s="38" t="s">
        <v>97</v>
      </c>
      <c r="D98" s="40" t="s">
        <v>65</v>
      </c>
      <c r="E98" s="37" t="s">
        <v>66</v>
      </c>
      <c r="F98" s="40" t="s">
        <v>75</v>
      </c>
      <c r="G98" s="116" t="s">
        <v>138</v>
      </c>
    </row>
    <row r="99" spans="1:7" s="2" customFormat="1" x14ac:dyDescent="0.2">
      <c r="A99" s="9"/>
      <c r="B99" s="9"/>
      <c r="C99" s="9"/>
      <c r="D99" s="27"/>
      <c r="F99" s="7"/>
    </row>
    <row r="100" spans="1:7" x14ac:dyDescent="0.2">
      <c r="A100" s="11" t="s">
        <v>9</v>
      </c>
      <c r="F100" s="28"/>
      <c r="G100" s="16"/>
    </row>
    <row r="101" spans="1:7" s="51" customFormat="1" x14ac:dyDescent="0.2">
      <c r="B101" s="51" t="s">
        <v>40</v>
      </c>
      <c r="C101" s="52">
        <v>25000</v>
      </c>
      <c r="D101" s="52">
        <f>'[5]Political Contributions Query'!$G$69+'[5]Political Contributions Query'!$G$6+'[5]Political Contributions Query'!$G$106</f>
        <v>2750</v>
      </c>
      <c r="E101" s="53">
        <f>C101-D101</f>
        <v>22250</v>
      </c>
      <c r="F101" s="28"/>
      <c r="G101" s="16"/>
    </row>
    <row r="102" spans="1:7" s="57" customFormat="1" x14ac:dyDescent="0.2">
      <c r="B102" s="57" t="s">
        <v>10</v>
      </c>
      <c r="C102" s="59">
        <v>150000</v>
      </c>
      <c r="D102" s="59">
        <f>'[5]Political Contributions Query'!$E$1-D101</f>
        <v>131095</v>
      </c>
      <c r="E102" s="53">
        <f>C102-D102</f>
        <v>18905</v>
      </c>
      <c r="F102" s="8"/>
      <c r="G102" s="3"/>
    </row>
    <row r="103" spans="1:7" s="2" customFormat="1" x14ac:dyDescent="0.2">
      <c r="A103" s="1" t="s">
        <v>121</v>
      </c>
      <c r="C103" s="10">
        <f>SUM(C101:C102)</f>
        <v>175000</v>
      </c>
      <c r="D103" s="10">
        <f>SUM(D101:D102)</f>
        <v>133845</v>
      </c>
      <c r="E103" s="23">
        <f>C103-D103</f>
        <v>41155</v>
      </c>
      <c r="F103" s="14"/>
      <c r="G103" s="3"/>
    </row>
    <row r="104" spans="1:7" s="2" customFormat="1" x14ac:dyDescent="0.2">
      <c r="A104" s="3"/>
      <c r="B104" s="3"/>
      <c r="C104" s="15"/>
      <c r="D104" s="8"/>
      <c r="F104" s="7"/>
      <c r="G104" s="3"/>
    </row>
    <row r="105" spans="1:7" s="2" customFormat="1" x14ac:dyDescent="0.2">
      <c r="A105" s="13" t="s">
        <v>11</v>
      </c>
      <c r="B105" s="3" t="s">
        <v>12</v>
      </c>
      <c r="C105" s="14">
        <v>75000</v>
      </c>
      <c r="D105" s="14">
        <f>[4]Sheet1!$B$1+'[2]PR Consultants'!$P$13</f>
        <v>21410</v>
      </c>
      <c r="E105" s="23">
        <f>C105-D105</f>
        <v>53590</v>
      </c>
      <c r="F105" s="7"/>
      <c r="G105" s="3"/>
    </row>
    <row r="106" spans="1:7" s="16" customFormat="1" x14ac:dyDescent="0.2">
      <c r="D106" s="28"/>
      <c r="F106" s="28"/>
    </row>
    <row r="107" spans="1:7" s="16" customFormat="1" x14ac:dyDescent="0.2">
      <c r="A107" s="13" t="s">
        <v>82</v>
      </c>
      <c r="D107" s="14">
        <v>2332.54</v>
      </c>
      <c r="E107" s="23">
        <f>C107-D107</f>
        <v>-2332.54</v>
      </c>
      <c r="F107" s="28"/>
    </row>
    <row r="108" spans="1:7" s="45" customFormat="1" x14ac:dyDescent="0.2">
      <c r="D108" s="46"/>
      <c r="F108" s="46" t="s">
        <v>130</v>
      </c>
    </row>
    <row r="109" spans="1:7" s="16" customFormat="1" x14ac:dyDescent="0.2">
      <c r="A109" s="20" t="s">
        <v>61</v>
      </c>
      <c r="B109" s="20" t="s">
        <v>62</v>
      </c>
      <c r="C109" s="25">
        <f>SUM(C103:C105)</f>
        <v>250000</v>
      </c>
      <c r="D109" s="25">
        <f>SUM(D103:D108)</f>
        <v>157587.54</v>
      </c>
      <c r="E109" s="25">
        <f>SUM(E103:E108)</f>
        <v>92412.46</v>
      </c>
      <c r="F109" s="48">
        <f>SUM(E109)</f>
        <v>92412.46</v>
      </c>
      <c r="G109" s="69">
        <f>F109-E109</f>
        <v>0</v>
      </c>
    </row>
    <row r="110" spans="1:7" s="34" customFormat="1" ht="20.25" customHeight="1" thickBot="1" x14ac:dyDescent="0.25">
      <c r="A110" s="35"/>
      <c r="B110" s="35"/>
      <c r="C110" s="35"/>
      <c r="D110" s="36"/>
      <c r="F110" s="43"/>
    </row>
    <row r="111" spans="1:7" s="41" customFormat="1" ht="42" customHeight="1" x14ac:dyDescent="0.2">
      <c r="A111" s="39" t="s">
        <v>13</v>
      </c>
      <c r="C111" s="38" t="s">
        <v>97</v>
      </c>
      <c r="D111" s="40" t="s">
        <v>65</v>
      </c>
      <c r="E111" s="37" t="s">
        <v>66</v>
      </c>
      <c r="F111" s="40" t="s">
        <v>75</v>
      </c>
      <c r="G111" s="116" t="s">
        <v>138</v>
      </c>
    </row>
    <row r="112" spans="1:7" x14ac:dyDescent="0.2">
      <c r="F112" s="28" t="s">
        <v>124</v>
      </c>
    </row>
    <row r="113" spans="1:7" x14ac:dyDescent="0.2">
      <c r="A113" s="11" t="s">
        <v>14</v>
      </c>
      <c r="C113" s="10">
        <v>130500</v>
      </c>
      <c r="D113" s="10">
        <f>4596.19+6187.66+35197-19-230-1218-4493-1376-649-1078-241-9221.23-279.7+4173.36-172-205-348+608+4503.0545+182+5073-503-2020-364+706-309+13118.96-1490.95-1767.82-60-497.55+67+67+76+912.02+51+95.5+376.29+1008.2+62+62+1225.17+441.9+641.63+1900+487+153.36+8.5+71+275.3+412.75+92.7+30+350+850+2148.3-183.08-276.99-35.07-16.02+4+160+1385.53+82.04+1282.16-262.14+10992.71-3933.16+501.16+3572.67+929.18+487.79+1220+2986.72-110.45-5.58-133.78-34.53-565.84-180.51+20864.97-1885.61-1040.9-4950.47-1083.86-2590.3+200+600+42+206+4061.47-391.72-1155.58-51.94-338.06+6286.92-137-1134.97-1692.7-142.12-1100.84+13872.93</f>
        <v>105972.62450000001</v>
      </c>
      <c r="E113" s="23">
        <f>C113-D113</f>
        <v>24527.375499999995</v>
      </c>
      <c r="F113" s="14">
        <f>C113/12*2</f>
        <v>21750</v>
      </c>
      <c r="G113" s="23">
        <f>F113-E113</f>
        <v>-2777.3754999999946</v>
      </c>
    </row>
    <row r="114" spans="1:7" x14ac:dyDescent="0.2">
      <c r="C114" s="10"/>
      <c r="F114" s="28"/>
    </row>
    <row r="115" spans="1:7" x14ac:dyDescent="0.2">
      <c r="A115" s="12" t="s">
        <v>73</v>
      </c>
      <c r="C115" s="10">
        <v>65000</v>
      </c>
      <c r="D115" s="10">
        <f>8+3032+2446+1255+8+3880+4096+2530+9820-3000-2132-761-339-33-14-11-9-8-3-1.1+3528-1517.71-342-101-82+386-2088-1127-129-121+3500-1173+2580.34+95.05-235-84-5.46+514.44-137.18+903.96-2.96-46.35-109.14-23.78-408.36+808.3+149.06-7.75-18.1-26.4-53+3367.68+1973.09-189.97+1794.17-229.15-8-69.99+930.67-49.46+64.04+812.78+557.02+1325+452.82+41.16+138.56-105.46-237.99-483.88-172.81-172.81+60.53+277.47+80.01+122.89+375.63+2787.66+20+13.12+205.97+737.62+1105.1+139.64+558.56+102.05+8668.22+237.18</f>
        <v>50619.98000000001</v>
      </c>
      <c r="E115" s="23">
        <f>C115-D115</f>
        <v>14380.01999999999</v>
      </c>
      <c r="F115" s="48">
        <f>C115/12*2</f>
        <v>10833.333333333334</v>
      </c>
      <c r="G115" s="23">
        <f>F115-E115</f>
        <v>-3546.6866666666556</v>
      </c>
    </row>
    <row r="116" spans="1:7" x14ac:dyDescent="0.2">
      <c r="F116" s="28"/>
    </row>
    <row r="117" spans="1:7" x14ac:dyDescent="0.2">
      <c r="A117" s="11" t="s">
        <v>57</v>
      </c>
      <c r="D117" s="29"/>
      <c r="F117" s="28"/>
      <c r="G117" s="16"/>
    </row>
    <row r="118" spans="1:7" s="52" customFormat="1" x14ac:dyDescent="0.2">
      <c r="A118" s="64"/>
      <c r="B118" s="52" t="s">
        <v>96</v>
      </c>
      <c r="C118" s="52">
        <v>1500</v>
      </c>
      <c r="D118" s="52">
        <f>[3]Subscriptions!$F$6+[3]Subscriptions!$F$7</f>
        <v>1735</v>
      </c>
      <c r="E118" s="53">
        <f>C118-D118</f>
        <v>-235</v>
      </c>
    </row>
    <row r="119" spans="1:7" s="51" customFormat="1" x14ac:dyDescent="0.2">
      <c r="A119" s="65"/>
      <c r="B119" s="57" t="s">
        <v>15</v>
      </c>
      <c r="C119" s="59">
        <v>5000</v>
      </c>
      <c r="D119" s="53">
        <f>[3]Membership!$F$6</f>
        <v>5000</v>
      </c>
      <c r="E119" s="53">
        <f>C119-D119</f>
        <v>0</v>
      </c>
      <c r="F119" s="52"/>
    </row>
    <row r="120" spans="1:7" s="51" customFormat="1" x14ac:dyDescent="0.2">
      <c r="A120" s="57"/>
      <c r="B120" s="57" t="s">
        <v>16</v>
      </c>
      <c r="C120" s="59">
        <v>5000</v>
      </c>
      <c r="D120" s="53">
        <f>[3]Membership!$F$9</f>
        <v>5000</v>
      </c>
      <c r="E120" s="53">
        <f>C120-D120</f>
        <v>0</v>
      </c>
      <c r="F120" s="52"/>
    </row>
    <row r="121" spans="1:7" s="51" customFormat="1" x14ac:dyDescent="0.2">
      <c r="A121" s="57"/>
      <c r="B121" s="57" t="s">
        <v>17</v>
      </c>
      <c r="C121" s="59">
        <v>25000</v>
      </c>
      <c r="D121" s="53">
        <f>[3]AAMP!$P$12</f>
        <v>22500</v>
      </c>
      <c r="E121" s="53">
        <f>C121-D121</f>
        <v>2500</v>
      </c>
      <c r="F121" s="52"/>
    </row>
    <row r="122" spans="1:7" s="51" customFormat="1" x14ac:dyDescent="0.2">
      <c r="A122" s="57"/>
      <c r="B122" s="51" t="s">
        <v>18</v>
      </c>
      <c r="C122" s="52">
        <v>5000</v>
      </c>
      <c r="D122" s="59"/>
      <c r="E122" s="53">
        <f t="shared" ref="E122:E127" si="4">C122-D122</f>
        <v>5000</v>
      </c>
      <c r="F122" s="52"/>
    </row>
    <row r="123" spans="1:7" s="51" customFormat="1" x14ac:dyDescent="0.2">
      <c r="A123" s="57"/>
      <c r="B123" s="57" t="s">
        <v>19</v>
      </c>
      <c r="C123" s="59">
        <v>5000</v>
      </c>
      <c r="D123" s="59"/>
      <c r="E123" s="53">
        <f t="shared" si="4"/>
        <v>5000</v>
      </c>
      <c r="F123" s="52"/>
    </row>
    <row r="124" spans="1:7" s="51" customFormat="1" x14ac:dyDescent="0.2">
      <c r="A124" s="57"/>
      <c r="B124" s="57" t="s">
        <v>41</v>
      </c>
      <c r="C124" s="59">
        <v>6500</v>
      </c>
      <c r="D124" s="59">
        <f>[3]Membership!$F$5</f>
        <v>6200</v>
      </c>
      <c r="E124" s="53">
        <f t="shared" si="4"/>
        <v>300</v>
      </c>
      <c r="F124" s="52"/>
    </row>
    <row r="125" spans="1:7" s="51" customFormat="1" x14ac:dyDescent="0.2">
      <c r="A125" s="57"/>
      <c r="B125" s="57" t="s">
        <v>56</v>
      </c>
      <c r="C125" s="59">
        <v>50000</v>
      </c>
      <c r="D125" s="59"/>
      <c r="E125" s="53">
        <f t="shared" si="4"/>
        <v>50000</v>
      </c>
      <c r="F125" s="52"/>
    </row>
    <row r="126" spans="1:7" s="45" customFormat="1" x14ac:dyDescent="0.2">
      <c r="A126" s="4"/>
      <c r="B126" s="4" t="s">
        <v>55</v>
      </c>
      <c r="C126" s="84">
        <v>10000</v>
      </c>
      <c r="D126" s="84"/>
      <c r="E126" s="85">
        <f t="shared" si="4"/>
        <v>10000</v>
      </c>
      <c r="F126" s="4" t="s">
        <v>122</v>
      </c>
    </row>
    <row r="127" spans="1:7" x14ac:dyDescent="0.2">
      <c r="A127" s="1" t="s">
        <v>58</v>
      </c>
      <c r="B127" s="2"/>
      <c r="C127" s="23">
        <f>SUM(C118:C126)</f>
        <v>113000</v>
      </c>
      <c r="D127" s="23">
        <f>SUM(D118:D126)</f>
        <v>40435</v>
      </c>
      <c r="E127" s="23">
        <f t="shared" si="4"/>
        <v>72565</v>
      </c>
      <c r="F127" s="14">
        <f>E127</f>
        <v>72565</v>
      </c>
      <c r="G127" s="23">
        <f>F127-E127</f>
        <v>0</v>
      </c>
    </row>
    <row r="128" spans="1:7" x14ac:dyDescent="0.2">
      <c r="F128" s="28"/>
      <c r="G128" s="16"/>
    </row>
    <row r="129" spans="1:7" x14ac:dyDescent="0.2">
      <c r="F129" s="28" t="s">
        <v>124</v>
      </c>
      <c r="G129" s="16"/>
    </row>
    <row r="130" spans="1:7" x14ac:dyDescent="0.2">
      <c r="A130" s="11" t="s">
        <v>20</v>
      </c>
      <c r="C130" s="10">
        <v>96000</v>
      </c>
      <c r="D130" s="10">
        <f>31.7+50737+1047.93+8668.22</f>
        <v>60484.85</v>
      </c>
      <c r="E130" s="23">
        <f>C130-D130</f>
        <v>35515.15</v>
      </c>
      <c r="F130" s="14">
        <f>C130/12*2</f>
        <v>16000</v>
      </c>
      <c r="G130" s="69">
        <f>F130-E130</f>
        <v>-19515.150000000001</v>
      </c>
    </row>
    <row r="131" spans="1:7" x14ac:dyDescent="0.2">
      <c r="A131" s="11" t="s">
        <v>119</v>
      </c>
      <c r="D131" s="10">
        <v>1331</v>
      </c>
      <c r="E131" s="23">
        <f>C131-D131</f>
        <v>-1331</v>
      </c>
      <c r="F131" s="14">
        <f>C131/12*6</f>
        <v>0</v>
      </c>
      <c r="G131" s="69">
        <f>F131-E131</f>
        <v>1331</v>
      </c>
    </row>
    <row r="132" spans="1:7" ht="11.25" customHeight="1" x14ac:dyDescent="0.2">
      <c r="F132" s="28"/>
      <c r="G132" s="16"/>
    </row>
    <row r="133" spans="1:7" ht="15" x14ac:dyDescent="0.35">
      <c r="A133" s="19" t="s">
        <v>63</v>
      </c>
      <c r="B133" s="19" t="s">
        <v>89</v>
      </c>
      <c r="C133" s="21">
        <f>SUM(C113+C115+C127+C130+C131)</f>
        <v>404500</v>
      </c>
      <c r="D133" s="21">
        <f>SUM(D113+D115+D127+D130+D131)</f>
        <v>258843.45450000002</v>
      </c>
      <c r="E133" s="21">
        <f>SUM(E113+E115+E127+E130+E131)</f>
        <v>145656.54549999998</v>
      </c>
      <c r="F133" s="21">
        <f>SUM(F113+F115+F127+F130+F131)</f>
        <v>121148.33333333334</v>
      </c>
      <c r="G133" s="21">
        <f>SUM(G113+G115+G127+G130+G131)</f>
        <v>-24508.21216666665</v>
      </c>
    </row>
    <row r="134" spans="1:7" x14ac:dyDescent="0.2">
      <c r="F134" s="28"/>
    </row>
    <row r="135" spans="1:7" ht="13.5" thickBot="1" x14ac:dyDescent="0.25"/>
    <row r="136" spans="1:7" s="17" customFormat="1" ht="13.5" thickTop="1" x14ac:dyDescent="0.2">
      <c r="D136" s="30"/>
      <c r="F136" s="30"/>
    </row>
    <row r="137" spans="1:7" ht="15" x14ac:dyDescent="0.35">
      <c r="B137" s="1" t="s">
        <v>21</v>
      </c>
      <c r="C137" s="22">
        <f>SUM(C96+C109+C133)</f>
        <v>2287000</v>
      </c>
      <c r="D137" s="22">
        <f>SUM(D96+D109+D133)</f>
        <v>1348358.6845000002</v>
      </c>
      <c r="E137" s="22">
        <f>SUM(E96+E109+E133)</f>
        <v>938641.31549999979</v>
      </c>
      <c r="F137" s="22">
        <f>SUM(F96+F109+F133)</f>
        <v>349602.46000000008</v>
      </c>
      <c r="G137" s="22">
        <f>SUM(G96+G109+G133)</f>
        <v>-589038.85549999995</v>
      </c>
    </row>
    <row r="138" spans="1:7" s="18" customFormat="1" ht="13.5" thickBot="1" x14ac:dyDescent="0.25">
      <c r="D138" s="31"/>
      <c r="F138" s="31"/>
    </row>
    <row r="139" spans="1:7" ht="13.5" thickTop="1" x14ac:dyDescent="0.2"/>
  </sheetData>
  <pageMargins left="0.62" right="0.25" top="0.65" bottom="0.35" header="0.17" footer="0.23"/>
  <pageSetup scale="70" orientation="portrait" r:id="rId1"/>
  <headerFooter alignWithMargins="0">
    <oddHeader xml:space="preserve">&amp;C&amp;"Arial,Bold"&amp;18 1999 BUDGET ANALYSIS FOR CALIFORNIA 
&amp;R&amp;"Arial,Bold Italic"&amp;11 revised: &amp;D
</oddHeader>
    <oddFooter>&amp;C
&amp;R
Page &amp;P</oddFooter>
  </headerFooter>
  <rowBreaks count="1" manualBreakCount="1">
    <brk id="6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tabSelected="1" topLeftCell="A5" zoomScale="75" zoomScaleNormal="75" workbookViewId="0">
      <selection activeCell="G14" sqref="G14"/>
    </sheetView>
  </sheetViews>
  <sheetFormatPr defaultRowHeight="12.75" x14ac:dyDescent="0.2"/>
  <cols>
    <col min="1" max="1" width="31.140625" style="97" customWidth="1"/>
    <col min="2" max="2" width="26.28515625" style="97" customWidth="1"/>
    <col min="3" max="3" width="19.42578125" style="97" customWidth="1"/>
    <col min="4" max="4" width="19.28515625" style="98" bestFit="1" customWidth="1"/>
    <col min="5" max="5" width="12.85546875" style="97" bestFit="1" customWidth="1"/>
    <col min="6" max="6" width="12.7109375" style="97" customWidth="1"/>
    <col min="7" max="7" width="16" style="97" customWidth="1"/>
  </cols>
  <sheetData>
    <row r="1" spans="1:7" s="35" customFormat="1" ht="13.5" thickBot="1" x14ac:dyDescent="0.25">
      <c r="A1" s="91"/>
      <c r="B1" s="91"/>
      <c r="C1" s="92" t="s">
        <v>98</v>
      </c>
      <c r="D1" s="93">
        <v>36493</v>
      </c>
      <c r="E1" s="94"/>
      <c r="F1" s="94"/>
      <c r="G1" s="94"/>
    </row>
    <row r="2" spans="1:7" s="37" customFormat="1" ht="43.9" customHeight="1" x14ac:dyDescent="0.2">
      <c r="A2" s="37" t="s">
        <v>74</v>
      </c>
      <c r="B2" s="37" t="s">
        <v>0</v>
      </c>
      <c r="C2" s="38" t="s">
        <v>97</v>
      </c>
      <c r="D2" s="40" t="s">
        <v>65</v>
      </c>
      <c r="E2" s="37" t="s">
        <v>66</v>
      </c>
      <c r="F2" s="40" t="s">
        <v>132</v>
      </c>
      <c r="G2" s="37" t="s">
        <v>133</v>
      </c>
    </row>
    <row r="3" spans="1:7" s="86" customFormat="1" x14ac:dyDescent="0.2">
      <c r="A3" s="95"/>
      <c r="B3" s="95"/>
      <c r="C3" s="95"/>
      <c r="D3" s="96"/>
      <c r="E3" s="95"/>
      <c r="F3" s="96"/>
      <c r="G3" s="95" t="s">
        <v>137</v>
      </c>
    </row>
    <row r="4" spans="1:7" x14ac:dyDescent="0.2">
      <c r="A4" s="11" t="s">
        <v>1</v>
      </c>
      <c r="B4" s="97" t="s">
        <v>83</v>
      </c>
      <c r="F4" s="98"/>
      <c r="G4" s="80"/>
    </row>
    <row r="5" spans="1:7" ht="13.5" customHeight="1" x14ac:dyDescent="0.2">
      <c r="A5" s="11" t="s">
        <v>46</v>
      </c>
      <c r="C5" s="98"/>
      <c r="F5" s="49"/>
      <c r="G5" s="80"/>
    </row>
    <row r="6" spans="1:7" s="51" customFormat="1" x14ac:dyDescent="0.2">
      <c r="A6" s="55" t="s">
        <v>22</v>
      </c>
      <c r="B6" s="55"/>
      <c r="C6" s="56">
        <v>60000</v>
      </c>
      <c r="D6" s="56">
        <f>'[1]GOODIN, SQUERI, SCHLOTZ, &amp; RITC'!$Q$45</f>
        <v>43893.920000000006</v>
      </c>
      <c r="E6" s="99">
        <f>C6-D6</f>
        <v>16106.079999999994</v>
      </c>
      <c r="F6" s="56">
        <v>80000</v>
      </c>
      <c r="G6" s="99">
        <f>F6-'[1]GOODIN, SQUERI, SCHLOTZ, &amp; RITC'!$R$45-[2]MRW!$Q$17</f>
        <v>64989.490000000005</v>
      </c>
    </row>
    <row r="7" spans="1:7" s="51" customFormat="1" x14ac:dyDescent="0.2">
      <c r="A7" s="55" t="s">
        <v>23</v>
      </c>
      <c r="B7" s="55"/>
      <c r="C7" s="56">
        <v>100000</v>
      </c>
      <c r="D7" s="56">
        <f>'[1]GOODIN, SQUERI, SCHLOTZ, &amp; RITC'!$Q$85</f>
        <v>10722.910000000002</v>
      </c>
      <c r="E7" s="99">
        <f>C7-D7</f>
        <v>89277.09</v>
      </c>
      <c r="F7" s="56">
        <v>7500</v>
      </c>
      <c r="G7" s="99">
        <f>F7-'[1]GOODIN, SQUERI, SCHLOTZ, &amp; RITC'!$R$85</f>
        <v>1948.7299999999996</v>
      </c>
    </row>
    <row r="8" spans="1:7" s="51" customFormat="1" x14ac:dyDescent="0.2">
      <c r="A8" s="55" t="s">
        <v>24</v>
      </c>
      <c r="B8" s="55"/>
      <c r="C8" s="56">
        <v>82000</v>
      </c>
      <c r="D8" s="56">
        <f>'[1]GOODIN, SQUERI, SCHLOTZ, &amp; RITC'!$Q$83+'[1]GOODIN, SQUERI, SCHLOTZ, &amp; RITC'!$Q$97</f>
        <v>18021.669999999998</v>
      </c>
      <c r="E8" s="99">
        <f>C8-D8-D10-D11</f>
        <v>23950.260000000002</v>
      </c>
      <c r="F8" s="56">
        <v>40000</v>
      </c>
      <c r="G8" s="99">
        <f>F8-'[1]GOODIN, SQUERI, SCHLOTZ, &amp; RITC'!$R$83-'[1]GOODIN, SQUERI, SCHLOTZ, &amp; RITC'!$R$97-[2]MRW!$Q$27+'[2]PG&amp;E Energy Services'!$M$13</f>
        <v>24089.960000000003</v>
      </c>
    </row>
    <row r="9" spans="1:7" s="51" customFormat="1" x14ac:dyDescent="0.2">
      <c r="A9" s="55" t="s">
        <v>87</v>
      </c>
      <c r="B9" s="55"/>
      <c r="C9" s="56"/>
      <c r="D9" s="56">
        <f>[3]WPTF!$Q$18</f>
        <v>4520</v>
      </c>
      <c r="E9" s="99"/>
      <c r="F9" s="56"/>
      <c r="G9" s="55"/>
    </row>
    <row r="10" spans="1:7" s="51" customFormat="1" x14ac:dyDescent="0.2">
      <c r="A10" s="55" t="s">
        <v>127</v>
      </c>
      <c r="B10" s="55"/>
      <c r="C10" s="56"/>
      <c r="D10" s="56">
        <f>'[1]Arter &amp; Hadden'!$Q$12</f>
        <v>21036.829999999998</v>
      </c>
      <c r="E10" s="99"/>
      <c r="F10" s="56"/>
      <c r="G10" s="55"/>
    </row>
    <row r="11" spans="1:7" s="51" customFormat="1" ht="13.5" customHeight="1" x14ac:dyDescent="0.2">
      <c r="A11" s="55" t="s">
        <v>93</v>
      </c>
      <c r="B11" s="55"/>
      <c r="C11" s="56"/>
      <c r="D11" s="56">
        <f>'[1]GOODIN, SQUERI, SCHLOTZ, &amp; RITC'!$Q$89</f>
        <v>18991.239999999998</v>
      </c>
      <c r="E11" s="99">
        <f>C11-D11-D12</f>
        <v>-90015.959999999992</v>
      </c>
      <c r="F11" s="56">
        <v>10000</v>
      </c>
      <c r="G11" s="99">
        <f>F11-'[1]GOODIN, SQUERI, SCHLOTZ, &amp; RITC'!$R$89</f>
        <v>-8271.2400000000016</v>
      </c>
    </row>
    <row r="12" spans="1:7" s="51" customFormat="1" x14ac:dyDescent="0.2">
      <c r="A12" s="55" t="s">
        <v>25</v>
      </c>
      <c r="B12" s="55"/>
      <c r="C12" s="56">
        <v>100000</v>
      </c>
      <c r="D12" s="56">
        <f>'[1]GOODIN, SQUERI, SCHLOTZ, &amp; RITC'!$Q$55</f>
        <v>71024.719999999987</v>
      </c>
      <c r="E12" s="99">
        <f>C12-D12</f>
        <v>28975.280000000013</v>
      </c>
      <c r="F12" s="56">
        <v>120000</v>
      </c>
      <c r="G12" s="99">
        <f>F12-'[1]GOODIN, SQUERI, SCHLOTZ, &amp; RITC'!$R$55-[2]Enventure!$Q$12-[2]MRW!$Q$52</f>
        <v>96243.24</v>
      </c>
    </row>
    <row r="13" spans="1:7" s="51" customFormat="1" x14ac:dyDescent="0.2">
      <c r="A13" s="55" t="s">
        <v>26</v>
      </c>
      <c r="B13" s="55"/>
      <c r="C13" s="56">
        <v>40000</v>
      </c>
      <c r="D13" s="56">
        <f>'[1]GOODIN, SQUERI, SCHLOTZ, &amp; RITC'!$Q$59</f>
        <v>24845.87</v>
      </c>
      <c r="E13" s="99">
        <f>C13-D13-D14</f>
        <v>13075.240000000002</v>
      </c>
      <c r="F13" s="56">
        <v>15000</v>
      </c>
      <c r="G13" s="99">
        <f>F13-'[1]GOODIN, SQUERI, SCHLOTZ, &amp; RITC'!$R$59</f>
        <v>9061.27</v>
      </c>
    </row>
    <row r="14" spans="1:7" s="51" customFormat="1" x14ac:dyDescent="0.2">
      <c r="A14" s="55" t="s">
        <v>123</v>
      </c>
      <c r="B14" s="55"/>
      <c r="C14" s="56"/>
      <c r="D14" s="56">
        <f>'[1]GOODIN, SQUERI, SCHLOTZ, &amp; RITC'!$Q$103</f>
        <v>2078.89</v>
      </c>
      <c r="E14" s="99">
        <f>C14-D14-D15</f>
        <v>-4021.36</v>
      </c>
      <c r="F14" s="56">
        <v>14000</v>
      </c>
      <c r="G14" s="99">
        <f>F14-'[1]GOODIN, SQUERI, SCHLOTZ, &amp; RITC'!$Q$103-'[1]Arter &amp; Hadden'!$R$13</f>
        <v>9978.64</v>
      </c>
    </row>
    <row r="15" spans="1:7" s="51" customFormat="1" x14ac:dyDescent="0.2">
      <c r="A15" s="55" t="s">
        <v>127</v>
      </c>
      <c r="B15" s="55"/>
      <c r="C15" s="56"/>
      <c r="D15" s="56">
        <f>'[1]Arter &amp; Hadden'!$Q$13</f>
        <v>1942.4700000000003</v>
      </c>
      <c r="E15" s="99"/>
      <c r="F15" s="56"/>
      <c r="G15" s="99"/>
    </row>
    <row r="16" spans="1:7" s="51" customFormat="1" x14ac:dyDescent="0.2">
      <c r="A16" s="55" t="s">
        <v>27</v>
      </c>
      <c r="B16" s="55"/>
      <c r="C16" s="56">
        <v>10000</v>
      </c>
      <c r="D16" s="56">
        <f>'[1]GOODIN, SQUERI, SCHLOTZ, &amp; RITC'!$Q$61</f>
        <v>8331.59</v>
      </c>
      <c r="E16" s="99">
        <f>C16-D16-D17</f>
        <v>1408.34</v>
      </c>
      <c r="F16" s="56">
        <v>10000</v>
      </c>
      <c r="G16" s="99">
        <f>F16-'[1]GOODIN, SQUERI, SCHLOTZ, &amp; RITC'!$R$61-[2]MRW!$Q$42</f>
        <v>6837.46</v>
      </c>
    </row>
    <row r="17" spans="1:7" s="51" customFormat="1" x14ac:dyDescent="0.2">
      <c r="A17" s="55" t="s">
        <v>128</v>
      </c>
      <c r="B17" s="55"/>
      <c r="C17" s="56"/>
      <c r="D17" s="56">
        <f>'[1]GOODIN, SQUERI, SCHLOTZ, &amp; RITC'!$Q$105</f>
        <v>260.07</v>
      </c>
      <c r="E17" s="99">
        <f>C17-D17</f>
        <v>-260.07</v>
      </c>
      <c r="F17" s="56">
        <v>3000</v>
      </c>
      <c r="G17" s="99">
        <f>F17-D17</f>
        <v>2739.93</v>
      </c>
    </row>
    <row r="18" spans="1:7" s="51" customFormat="1" x14ac:dyDescent="0.2">
      <c r="A18" s="55" t="s">
        <v>85</v>
      </c>
      <c r="B18" s="55"/>
      <c r="C18" s="56">
        <v>40000</v>
      </c>
      <c r="D18" s="56">
        <f>'[1]GOODIN, SQUERI, SCHLOTZ, &amp; RITC'!$Q$53</f>
        <v>48876.62</v>
      </c>
      <c r="E18" s="99">
        <f>C18-D18</f>
        <v>-8876.6200000000026</v>
      </c>
      <c r="F18" s="56">
        <v>25000</v>
      </c>
      <c r="G18" s="99">
        <f>F18-'[1]GOODIN, SQUERI, SCHLOTZ, &amp; RITC'!$R$53-[2]MRW!$Q$47</f>
        <v>4127.1699999999983</v>
      </c>
    </row>
    <row r="19" spans="1:7" s="51" customFormat="1" ht="13.5" customHeight="1" x14ac:dyDescent="0.2">
      <c r="A19" s="55" t="s">
        <v>129</v>
      </c>
      <c r="B19" s="55"/>
      <c r="C19" s="56">
        <v>50000</v>
      </c>
      <c r="D19" s="56">
        <f>'[1]GOODIN, SQUERI, SCHLOTZ, &amp; RITC'!$Q$43+'[1]GOODIN, SQUERI, SCHLOTZ, &amp; RITC'!$Q$87+'[1]GOODIN, SQUERI, SCHLOTZ, &amp; RITC'!$Q$99+'[1]GOODIN, SQUERI, SCHLOTZ, &amp; RITC'!$Q$101</f>
        <v>13355.499999999998</v>
      </c>
      <c r="E19" s="99">
        <f>C19-D19</f>
        <v>36644.5</v>
      </c>
      <c r="F19" s="56">
        <v>35500</v>
      </c>
      <c r="G19" s="99">
        <f>F19-'[1]GOODIN, SQUERI, SCHLOTZ, &amp; RITC'!$R$43-'[1]GOODIN, SQUERI, SCHLOTZ, &amp; RITC'!$R$87-'[1]GOODIN, SQUERI, SCHLOTZ, &amp; RITC'!$R$99-'[1]GOODIN, SQUERI, SCHLOTZ, &amp; RITC'!$R$101-[2]MRW!$Q$12-[2]MRW!$Q$67</f>
        <v>19254.03</v>
      </c>
    </row>
    <row r="20" spans="1:7" s="51" customFormat="1" ht="13.15" customHeight="1" x14ac:dyDescent="0.2">
      <c r="A20" s="55" t="s">
        <v>92</v>
      </c>
      <c r="B20" s="55"/>
      <c r="C20" s="56">
        <v>50000</v>
      </c>
      <c r="D20" s="56"/>
      <c r="E20" s="99">
        <f>C20-D20</f>
        <v>50000</v>
      </c>
      <c r="F20" s="56"/>
      <c r="G20" s="55"/>
    </row>
    <row r="21" spans="1:7" s="51" customFormat="1" x14ac:dyDescent="0.2">
      <c r="A21" s="100" t="s">
        <v>114</v>
      </c>
      <c r="B21" s="55"/>
      <c r="C21" s="56"/>
      <c r="D21" s="56">
        <f>'[1]GOODIN, SQUERI, SCHLOTZ, &amp; RITC'!$Q$95</f>
        <v>6129.6500000000015</v>
      </c>
      <c r="E21" s="99"/>
      <c r="F21" s="56">
        <v>15000</v>
      </c>
      <c r="G21" s="99">
        <f>F21-'[1]GOODIN, SQUERI, SCHLOTZ, &amp; RITC'!$R$95</f>
        <v>8870.3499999999985</v>
      </c>
    </row>
    <row r="22" spans="1:7" s="51" customFormat="1" x14ac:dyDescent="0.2">
      <c r="A22" s="55" t="s">
        <v>90</v>
      </c>
      <c r="B22" s="55"/>
      <c r="C22" s="56">
        <v>50000</v>
      </c>
      <c r="D22" s="56"/>
      <c r="E22" s="99">
        <f>C22-D23-D24-D25-D26-D27-D21-D28-D29-D30-D31</f>
        <v>6815.7100000000037</v>
      </c>
      <c r="F22" s="55"/>
      <c r="G22" s="55"/>
    </row>
    <row r="23" spans="1:7" s="51" customFormat="1" x14ac:dyDescent="0.2">
      <c r="A23" s="100" t="s">
        <v>108</v>
      </c>
      <c r="B23" s="55"/>
      <c r="C23" s="56"/>
      <c r="D23" s="56">
        <f>'[1]GOODIN, SQUERI, SCHLOTZ, &amp; RITC'!$Q$11+'[1]GOODIN, SQUERI, SCHLOTZ, &amp; RITC'!$Q$33+'[1]GOODIN, SQUERI, SCHLOTZ, &amp; RITC'!$Q$79</f>
        <v>9685.0399999999972</v>
      </c>
      <c r="E23" s="99"/>
      <c r="F23" s="55"/>
      <c r="G23" s="55"/>
    </row>
    <row r="24" spans="1:7" s="51" customFormat="1" x14ac:dyDescent="0.2">
      <c r="A24" s="100" t="s">
        <v>104</v>
      </c>
      <c r="B24" s="55"/>
      <c r="C24" s="56"/>
      <c r="D24" s="56">
        <f>'[1]GOODIN, SQUERI, SCHLOTZ, &amp; RITC'!$Q$15+'[1]GOODIN, SQUERI, SCHLOTZ, &amp; RITC'!$Q$63</f>
        <v>16500.090000000004</v>
      </c>
      <c r="E24" s="99"/>
      <c r="F24" s="55"/>
      <c r="G24" s="55"/>
    </row>
    <row r="25" spans="1:7" s="51" customFormat="1" x14ac:dyDescent="0.2">
      <c r="A25" s="100" t="s">
        <v>113</v>
      </c>
      <c r="B25" s="55"/>
      <c r="C25" s="56"/>
      <c r="D25" s="56">
        <f>'[1]GOODIN, SQUERI, SCHLOTZ, &amp; RITC'!$Q$35</f>
        <v>881.19</v>
      </c>
      <c r="E25" s="99"/>
      <c r="F25" s="55"/>
      <c r="G25" s="55"/>
    </row>
    <row r="26" spans="1:7" s="51" customFormat="1" x14ac:dyDescent="0.2">
      <c r="A26" s="100" t="s">
        <v>77</v>
      </c>
      <c r="B26" s="55"/>
      <c r="C26" s="56"/>
      <c r="D26" s="56">
        <f>'[1]GOODIN, SQUERI, SCHLOTZ, &amp; RITC'!$Q$29</f>
        <v>2344</v>
      </c>
      <c r="E26" s="99"/>
      <c r="F26" s="55"/>
      <c r="G26" s="55"/>
    </row>
    <row r="27" spans="1:7" s="51" customFormat="1" x14ac:dyDescent="0.2">
      <c r="A27" s="100" t="s">
        <v>86</v>
      </c>
      <c r="B27" s="55"/>
      <c r="C27" s="56"/>
      <c r="D27" s="56">
        <f>'[1]GOODIN, SQUERI, SCHLOTZ, &amp; RITC'!$Q$39</f>
        <v>16</v>
      </c>
      <c r="E27" s="99"/>
      <c r="F27" s="55"/>
      <c r="G27" s="55"/>
    </row>
    <row r="28" spans="1:7" s="51" customFormat="1" x14ac:dyDescent="0.2">
      <c r="A28" s="100" t="s">
        <v>116</v>
      </c>
      <c r="B28" s="55"/>
      <c r="C28" s="56"/>
      <c r="D28" s="56">
        <f>'[1]GOODIN, SQUERI, SCHLOTZ, &amp; RITC'!$Q$19</f>
        <v>352.63</v>
      </c>
      <c r="E28" s="99"/>
      <c r="F28" s="55"/>
      <c r="G28" s="55"/>
    </row>
    <row r="29" spans="1:7" s="51" customFormat="1" x14ac:dyDescent="0.2">
      <c r="A29" s="100" t="s">
        <v>112</v>
      </c>
      <c r="B29" s="55"/>
      <c r="C29" s="56"/>
      <c r="D29" s="56">
        <f>'[1]GOODIN, SQUERI, SCHLOTZ, &amp; RITC'!$Q$93</f>
        <v>767.97</v>
      </c>
      <c r="E29" s="99"/>
      <c r="F29" s="55"/>
      <c r="G29" s="55"/>
    </row>
    <row r="30" spans="1:7" s="51" customFormat="1" x14ac:dyDescent="0.2">
      <c r="A30" s="100" t="s">
        <v>117</v>
      </c>
      <c r="B30" s="55"/>
      <c r="C30" s="56"/>
      <c r="D30" s="56">
        <f>[3]WPTF!$Q$12</f>
        <v>5322</v>
      </c>
      <c r="E30" s="99"/>
      <c r="F30" s="55"/>
      <c r="G30" s="55"/>
    </row>
    <row r="31" spans="1:7" s="45" customFormat="1" x14ac:dyDescent="0.2">
      <c r="A31" s="101" t="s">
        <v>88</v>
      </c>
      <c r="B31" s="102"/>
      <c r="C31" s="103"/>
      <c r="D31" s="103">
        <f>'[1]GOODIN, SQUERI, SCHLOTZ, &amp; RITC'!$Q$37</f>
        <v>1185.72</v>
      </c>
      <c r="E31" s="104"/>
      <c r="F31" s="102"/>
      <c r="G31" s="102"/>
    </row>
    <row r="32" spans="1:7" s="11" customFormat="1" ht="12" customHeight="1" x14ac:dyDescent="0.2">
      <c r="A32" s="11" t="s">
        <v>43</v>
      </c>
      <c r="C32" s="10">
        <f>SUM(C6:C22)</f>
        <v>582000</v>
      </c>
      <c r="D32" s="10">
        <f>SUM(D6:D31)</f>
        <v>331086.58999999997</v>
      </c>
      <c r="E32" s="23">
        <f>C32-D32</f>
        <v>250913.41000000003</v>
      </c>
      <c r="F32" s="10">
        <f>SUM(F6:F31)</f>
        <v>375000</v>
      </c>
      <c r="G32" s="10">
        <f>SUM(G6:G31)</f>
        <v>239869.02999999997</v>
      </c>
    </row>
    <row r="33" spans="1:7" x14ac:dyDescent="0.2">
      <c r="C33" s="98"/>
    </row>
    <row r="34" spans="1:7" x14ac:dyDescent="0.2">
      <c r="A34" s="11" t="s">
        <v>45</v>
      </c>
      <c r="C34" s="98"/>
    </row>
    <row r="35" spans="1:7" s="51" customFormat="1" x14ac:dyDescent="0.2">
      <c r="A35" s="55" t="s">
        <v>29</v>
      </c>
      <c r="B35" s="55"/>
      <c r="C35" s="56">
        <v>125000</v>
      </c>
      <c r="D35" s="56">
        <f>'[1]GOODIN, SQUERI, SCHLOTZ, &amp; RITC'!$Q$31+'[1]GOODIN, SQUERI, SCHLOTZ, &amp; RITC'!$Q$17</f>
        <v>96593.99</v>
      </c>
      <c r="E35" s="99">
        <f>C35-D35-D36</f>
        <v>28107.529999999995</v>
      </c>
      <c r="F35" s="56">
        <v>50000</v>
      </c>
      <c r="G35" s="99">
        <f>F35-'[1]GOODIN, SQUERI, SCHLOTZ, &amp; RITC'!$R$31-'[1]GOODIN, SQUERI, SCHLOTZ, &amp; RITC'!$R$17-'[1]GOODIN, SQUERI, SCHLOTZ, &amp; RITC'!$R$73-[2]MRW!$Q$37</f>
        <v>31136.799999999996</v>
      </c>
    </row>
    <row r="36" spans="1:7" s="51" customFormat="1" x14ac:dyDescent="0.2">
      <c r="A36" s="100" t="s">
        <v>100</v>
      </c>
      <c r="B36" s="55"/>
      <c r="C36" s="56"/>
      <c r="D36" s="56">
        <f>'[1]GOODIN, SQUERI, SCHLOTZ, &amp; RITC'!$Q$73</f>
        <v>298.48</v>
      </c>
      <c r="E36" s="99"/>
      <c r="F36" s="55"/>
      <c r="G36" s="55"/>
    </row>
    <row r="37" spans="1:7" s="51" customFormat="1" x14ac:dyDescent="0.2">
      <c r="A37" s="55" t="s">
        <v>99</v>
      </c>
      <c r="B37" s="55"/>
      <c r="C37" s="56">
        <v>25000</v>
      </c>
      <c r="D37" s="56"/>
      <c r="E37" s="99">
        <f t="shared" ref="E37:E42" si="0">C37-D37</f>
        <v>25000</v>
      </c>
      <c r="F37" s="55"/>
      <c r="G37" s="55"/>
    </row>
    <row r="38" spans="1:7" s="51" customFormat="1" x14ac:dyDescent="0.2">
      <c r="A38" s="55" t="s">
        <v>31</v>
      </c>
      <c r="B38" s="55"/>
      <c r="C38" s="56">
        <v>5000</v>
      </c>
      <c r="D38" s="56"/>
      <c r="E38" s="99">
        <f t="shared" si="0"/>
        <v>5000</v>
      </c>
      <c r="F38" s="55"/>
      <c r="G38" s="55"/>
    </row>
    <row r="39" spans="1:7" s="51" customFormat="1" x14ac:dyDescent="0.2">
      <c r="A39" s="55" t="s">
        <v>68</v>
      </c>
      <c r="B39" s="55"/>
      <c r="C39" s="56">
        <v>2500</v>
      </c>
      <c r="D39" s="56">
        <f>'[1]GOODIN, SQUERI, SCHLOTZ, &amp; RITC'!$Q$47+'[1]GOODIN, SQUERI, SCHLOTZ, &amp; RITC'!$Q$65</f>
        <v>1415.72</v>
      </c>
      <c r="E39" s="99">
        <f t="shared" si="0"/>
        <v>1084.28</v>
      </c>
      <c r="F39" s="55"/>
      <c r="G39" s="55"/>
    </row>
    <row r="40" spans="1:7" s="51" customFormat="1" x14ac:dyDescent="0.2">
      <c r="A40" s="100" t="s">
        <v>81</v>
      </c>
      <c r="B40" s="55"/>
      <c r="C40" s="56"/>
      <c r="D40" s="56">
        <f>'[1]GOODIN, SQUERI, SCHLOTZ, &amp; RITC'!$Q$9</f>
        <v>1345.94</v>
      </c>
      <c r="E40" s="99">
        <f t="shared" si="0"/>
        <v>-1345.94</v>
      </c>
      <c r="F40" s="55"/>
      <c r="G40" s="55"/>
    </row>
    <row r="41" spans="1:7" s="45" customFormat="1" x14ac:dyDescent="0.2">
      <c r="A41" s="101" t="s">
        <v>67</v>
      </c>
      <c r="B41" s="102"/>
      <c r="C41" s="103"/>
      <c r="D41" s="103">
        <f>'[1]GOODIN, SQUERI, SCHLOTZ, &amp; RITC'!$Q$51</f>
        <v>4900.5200000000004</v>
      </c>
      <c r="E41" s="104">
        <f t="shared" si="0"/>
        <v>-4900.5200000000004</v>
      </c>
      <c r="F41" s="102"/>
      <c r="G41" s="102"/>
    </row>
    <row r="42" spans="1:7" s="11" customFormat="1" x14ac:dyDescent="0.2">
      <c r="A42" s="11" t="s">
        <v>44</v>
      </c>
      <c r="C42" s="10">
        <f>SUM(C35:C39)</f>
        <v>157500</v>
      </c>
      <c r="D42" s="10">
        <f>SUM(D35:D41)</f>
        <v>104554.65000000001</v>
      </c>
      <c r="E42" s="23">
        <f t="shared" si="0"/>
        <v>52945.349999999991</v>
      </c>
      <c r="F42" s="10">
        <f>SUM(F35:F41)</f>
        <v>50000</v>
      </c>
      <c r="G42" s="10">
        <f>SUM(G35:G41)</f>
        <v>31136.799999999996</v>
      </c>
    </row>
    <row r="43" spans="1:7" x14ac:dyDescent="0.2">
      <c r="C43" s="98"/>
    </row>
    <row r="44" spans="1:7" ht="13.5" customHeight="1" x14ac:dyDescent="0.2">
      <c r="A44" s="11" t="s">
        <v>102</v>
      </c>
      <c r="C44" s="98"/>
    </row>
    <row r="45" spans="1:7" s="51" customFormat="1" x14ac:dyDescent="0.2">
      <c r="A45" s="55" t="s">
        <v>28</v>
      </c>
      <c r="B45" s="55"/>
      <c r="C45" s="56">
        <v>50000</v>
      </c>
      <c r="D45" s="56">
        <f>'[1]GOODIN, SQUERI, SCHLOTZ, &amp; RITC'!$Q$75</f>
        <v>7471.79</v>
      </c>
      <c r="E45" s="99">
        <f>C45-D45</f>
        <v>42528.21</v>
      </c>
      <c r="F45" s="56">
        <v>50000</v>
      </c>
      <c r="G45" s="99">
        <f>F45-'[1]GOODIN, SQUERI, SCHLOTZ, &amp; RITC'!$Q$75-[2]MRW!$Q$32</f>
        <v>42505.71</v>
      </c>
    </row>
    <row r="46" spans="1:7" s="51" customFormat="1" x14ac:dyDescent="0.2">
      <c r="A46" s="55" t="s">
        <v>103</v>
      </c>
      <c r="B46" s="55"/>
      <c r="C46" s="56">
        <v>110000</v>
      </c>
      <c r="D46" s="56">
        <f>'[1]GOODIN, SQUERI, SCHLOTZ, &amp; RITC'!$Q$77</f>
        <v>25745.26</v>
      </c>
      <c r="E46" s="99">
        <f>C46-D46-D47</f>
        <v>81919.340000000011</v>
      </c>
      <c r="F46" s="56">
        <v>50000</v>
      </c>
      <c r="G46" s="99">
        <f>F46-'[1]GOODIN, SQUERI, SCHLOTZ, &amp; RITC'!$R$77-'[1]GOODIN, SQUERI, SCHLOTZ, &amp; RITC'!$R$81-[2]MRW!$Q$57</f>
        <v>39444.49</v>
      </c>
    </row>
    <row r="47" spans="1:7" s="51" customFormat="1" x14ac:dyDescent="0.2">
      <c r="A47" s="100" t="s">
        <v>91</v>
      </c>
      <c r="B47" s="55"/>
      <c r="C47" s="56"/>
      <c r="D47" s="56">
        <f>'[1]GOODIN, SQUERI, SCHLOTZ, &amp; RITC'!$Q$81</f>
        <v>2335.3999999999996</v>
      </c>
      <c r="E47" s="99"/>
      <c r="F47" s="56"/>
      <c r="G47" s="55"/>
    </row>
    <row r="48" spans="1:7" s="51" customFormat="1" x14ac:dyDescent="0.2">
      <c r="A48" s="55" t="s">
        <v>32</v>
      </c>
      <c r="B48" s="55"/>
      <c r="C48" s="56">
        <v>50000</v>
      </c>
      <c r="D48" s="56">
        <f>'[1]GOODIN, SQUERI, SCHLOTZ, &amp; RITC'!$Q$25</f>
        <v>56036.65</v>
      </c>
      <c r="E48" s="99">
        <f>C48-D48-D49-D50</f>
        <v>-16812.89</v>
      </c>
      <c r="F48" s="56">
        <v>20000</v>
      </c>
      <c r="G48" s="99">
        <f>F48-'[1]Arter &amp; Hadden'!$R$9-'[1]Arter &amp; Hadden'!$R$10-'[1]Arter &amp; Hadden'!$R$11-[3]WPTF!$R$24-'[1]GOODIN, SQUERI, SCHLOTZ, &amp; RITC'!$R$25</f>
        <v>15656.68</v>
      </c>
    </row>
    <row r="49" spans="1:7" s="51" customFormat="1" x14ac:dyDescent="0.2">
      <c r="A49" s="105" t="s">
        <v>105</v>
      </c>
      <c r="B49" s="55"/>
      <c r="C49" s="56"/>
      <c r="D49" s="56">
        <f>'[1]Arter &amp; Hadden'!$Q$9+'[1]Arter &amp; Hadden'!$Q$10+'[1]Arter &amp; Hadden'!$Q$11</f>
        <v>9337.24</v>
      </c>
      <c r="E49" s="99"/>
      <c r="F49" s="55"/>
      <c r="G49" s="55"/>
    </row>
    <row r="50" spans="1:7" s="51" customFormat="1" x14ac:dyDescent="0.2">
      <c r="A50" s="105" t="s">
        <v>106</v>
      </c>
      <c r="B50" s="55"/>
      <c r="C50" s="56"/>
      <c r="D50" s="56">
        <f>[3]WPTF!$Q$24</f>
        <v>1439</v>
      </c>
      <c r="E50" s="99"/>
      <c r="F50" s="55"/>
      <c r="G50" s="55"/>
    </row>
    <row r="51" spans="1:7" s="51" customFormat="1" x14ac:dyDescent="0.2">
      <c r="A51" s="55" t="s">
        <v>30</v>
      </c>
      <c r="B51" s="55"/>
      <c r="C51" s="56">
        <v>15000</v>
      </c>
      <c r="D51" s="56">
        <f>'[1]GOODIN, SQUERI, SCHLOTZ, &amp; RITC'!$Q$27</f>
        <v>13801.69</v>
      </c>
      <c r="E51" s="99">
        <f>C51-D51-D52</f>
        <v>-733.74000000000069</v>
      </c>
      <c r="F51" s="55"/>
      <c r="G51" s="55"/>
    </row>
    <row r="52" spans="1:7" s="51" customFormat="1" x14ac:dyDescent="0.2">
      <c r="A52" s="55" t="s">
        <v>115</v>
      </c>
      <c r="B52" s="55"/>
      <c r="C52" s="56"/>
      <c r="D52" s="56">
        <f>'[1]GOODIN, SQUERI, SCHLOTZ, &amp; RITC'!$Q$91</f>
        <v>1932.0500000000002</v>
      </c>
      <c r="E52" s="99"/>
      <c r="F52" s="55"/>
      <c r="G52" s="55"/>
    </row>
    <row r="53" spans="1:7" s="51" customFormat="1" x14ac:dyDescent="0.2">
      <c r="A53" s="55" t="s">
        <v>71</v>
      </c>
      <c r="B53" s="55"/>
      <c r="C53" s="56">
        <v>5000</v>
      </c>
      <c r="D53" s="56">
        <f>'[1]GOODIN, SQUERI, SCHLOTZ, &amp; RITC'!$Q$21</f>
        <v>2316.52</v>
      </c>
      <c r="E53" s="99">
        <f t="shared" ref="E53:E58" si="1">C53-D53</f>
        <v>2683.48</v>
      </c>
      <c r="F53" s="55"/>
      <c r="G53" s="55"/>
    </row>
    <row r="54" spans="1:7" s="51" customFormat="1" x14ac:dyDescent="0.2">
      <c r="A54" s="55" t="s">
        <v>70</v>
      </c>
      <c r="B54" s="55"/>
      <c r="C54" s="56"/>
      <c r="D54" s="56">
        <f>'[1]GOODIN, SQUERI, SCHLOTZ, &amp; RITC'!$Q$49</f>
        <v>32</v>
      </c>
      <c r="E54" s="99">
        <f t="shared" si="1"/>
        <v>-32</v>
      </c>
      <c r="F54" s="55"/>
      <c r="G54" s="55"/>
    </row>
    <row r="55" spans="1:7" s="51" customFormat="1" x14ac:dyDescent="0.2">
      <c r="A55" s="55" t="s">
        <v>69</v>
      </c>
      <c r="B55" s="55"/>
      <c r="C55" s="56"/>
      <c r="D55" s="56">
        <f>'[1]GOODIN, SQUERI, SCHLOTZ, &amp; RITC'!$Q$67</f>
        <v>5673.1600000000008</v>
      </c>
      <c r="E55" s="99">
        <f t="shared" si="1"/>
        <v>-5673.1600000000008</v>
      </c>
      <c r="F55" s="55"/>
      <c r="G55" s="55"/>
    </row>
    <row r="56" spans="1:7" s="51" customFormat="1" x14ac:dyDescent="0.2">
      <c r="A56" s="55" t="s">
        <v>107</v>
      </c>
      <c r="B56" s="55"/>
      <c r="C56" s="56"/>
      <c r="D56" s="56">
        <f>'[1]GOODIN, SQUERI, SCHLOTZ, &amp; RITC'!$Q$69+'[1]GOODIN, SQUERI, SCHLOTZ, &amp; RITC'!$Q$23</f>
        <v>958.83999999999992</v>
      </c>
      <c r="E56" s="99">
        <f t="shared" si="1"/>
        <v>-958.83999999999992</v>
      </c>
      <c r="F56" s="55"/>
      <c r="G56" s="55"/>
    </row>
    <row r="57" spans="1:7" s="45" customFormat="1" x14ac:dyDescent="0.2">
      <c r="A57" s="102" t="s">
        <v>109</v>
      </c>
      <c r="B57" s="102"/>
      <c r="C57" s="103"/>
      <c r="D57" s="103">
        <f>'[1]GOODIN, SQUERI, SCHLOTZ, &amp; RITC'!$Q$57+'[1]GOODIN, SQUERI, SCHLOTZ, &amp; RITC'!$Q$41</f>
        <v>1100.0900000000001</v>
      </c>
      <c r="E57" s="104">
        <f t="shared" si="1"/>
        <v>-1100.0900000000001</v>
      </c>
      <c r="F57" s="102"/>
      <c r="G57" s="102"/>
    </row>
    <row r="58" spans="1:7" x14ac:dyDescent="0.2">
      <c r="A58" s="13" t="s">
        <v>47</v>
      </c>
      <c r="B58" s="80"/>
      <c r="C58" s="14">
        <f>SUM(C45:C57)</f>
        <v>230000</v>
      </c>
      <c r="D58" s="14">
        <f>SUM(D45:D57)</f>
        <v>128179.69000000002</v>
      </c>
      <c r="E58" s="69">
        <f t="shared" si="1"/>
        <v>101820.30999999998</v>
      </c>
      <c r="F58" s="14">
        <f>SUM(F45:F57)</f>
        <v>120000</v>
      </c>
      <c r="G58" s="14">
        <f>SUM(G45:G57)</f>
        <v>97606.88</v>
      </c>
    </row>
    <row r="59" spans="1:7" ht="7.5" customHeight="1" x14ac:dyDescent="0.2">
      <c r="A59" s="13"/>
      <c r="B59" s="80"/>
      <c r="C59" s="14"/>
      <c r="D59" s="49"/>
      <c r="E59" s="13"/>
    </row>
    <row r="60" spans="1:7" s="45" customFormat="1" x14ac:dyDescent="0.2">
      <c r="A60" s="70" t="s">
        <v>42</v>
      </c>
      <c r="B60" s="102"/>
      <c r="C60" s="71">
        <f>SUM(C32+C42+C58)</f>
        <v>969500</v>
      </c>
      <c r="D60" s="47">
        <f>SUM(D32+D42+D58)</f>
        <v>563820.93000000005</v>
      </c>
      <c r="E60" s="72">
        <f>C60-D60</f>
        <v>405679.06999999995</v>
      </c>
      <c r="F60" s="72">
        <f>D60-E60</f>
        <v>158141.8600000001</v>
      </c>
      <c r="G60" s="72">
        <f>E60-F60</f>
        <v>247537.20999999985</v>
      </c>
    </row>
    <row r="61" spans="1:7" ht="9" customHeight="1" x14ac:dyDescent="0.2">
      <c r="C61" s="98"/>
    </row>
    <row r="62" spans="1:7" x14ac:dyDescent="0.2">
      <c r="A62" s="11" t="s">
        <v>48</v>
      </c>
      <c r="C62" s="10"/>
    </row>
    <row r="63" spans="1:7" s="55" customFormat="1" x14ac:dyDescent="0.2">
      <c r="A63" s="55" t="s">
        <v>49</v>
      </c>
      <c r="C63" s="56">
        <v>60000</v>
      </c>
      <c r="D63" s="56"/>
    </row>
    <row r="64" spans="1:7" s="51" customFormat="1" x14ac:dyDescent="0.2">
      <c r="A64" s="55" t="s">
        <v>50</v>
      </c>
      <c r="B64" s="55"/>
      <c r="C64" s="56">
        <v>60000</v>
      </c>
      <c r="D64" s="56"/>
      <c r="E64" s="55"/>
      <c r="F64" s="55"/>
      <c r="G64" s="55"/>
    </row>
    <row r="65" spans="1:7" s="66" customFormat="1" x14ac:dyDescent="0.2">
      <c r="A65" s="73" t="s">
        <v>51</v>
      </c>
      <c r="B65" s="73"/>
      <c r="C65" s="74">
        <v>60000</v>
      </c>
      <c r="D65" s="74"/>
      <c r="E65" s="73"/>
      <c r="F65" s="73"/>
      <c r="G65" s="73"/>
    </row>
    <row r="66" spans="1:7" x14ac:dyDescent="0.2">
      <c r="A66" s="11" t="s">
        <v>52</v>
      </c>
      <c r="C66" s="10">
        <f>SUM(C63:C65)</f>
        <v>180000</v>
      </c>
      <c r="D66" s="44">
        <f>'[1]GOODIN, SQUERI, SCHLOTZ, &amp; RITC'!$Q$13+'[1]GOODIN, SQUERI, SCHLOTZ, &amp; RITC'!$Q$71</f>
        <v>124988.52</v>
      </c>
      <c r="E66" s="23">
        <f>C66-D66</f>
        <v>55011.479999999996</v>
      </c>
    </row>
    <row r="67" spans="1:7" x14ac:dyDescent="0.2">
      <c r="A67" s="11"/>
      <c r="C67" s="10"/>
      <c r="D67" s="10"/>
      <c r="E67" s="23"/>
    </row>
    <row r="68" spans="1:7" x14ac:dyDescent="0.2">
      <c r="A68" s="11" t="s">
        <v>53</v>
      </c>
      <c r="C68" s="10">
        <f>SUM(C60+C66)</f>
        <v>1149500</v>
      </c>
      <c r="D68" s="10">
        <f>SUM(D60+D66)</f>
        <v>688809.45000000007</v>
      </c>
      <c r="E68" s="23">
        <f>C68-D68</f>
        <v>460690.54999999993</v>
      </c>
      <c r="F68" s="10">
        <f>SUM(F60+F66)</f>
        <v>158141.8600000001</v>
      </c>
      <c r="G68" s="10">
        <f>SUM(G60+G66)</f>
        <v>247537.20999999985</v>
      </c>
    </row>
    <row r="69" spans="1:7" ht="9.75" customHeight="1" x14ac:dyDescent="0.2">
      <c r="A69" s="11"/>
    </row>
    <row r="70" spans="1:7" s="1" customFormat="1" x14ac:dyDescent="0.2">
      <c r="A70" s="11" t="s">
        <v>2</v>
      </c>
      <c r="B70" s="97" t="s">
        <v>84</v>
      </c>
      <c r="C70" s="97"/>
      <c r="D70" s="98"/>
      <c r="E70" s="106"/>
      <c r="F70" s="11"/>
      <c r="G70" s="11"/>
    </row>
    <row r="71" spans="1:7" s="60" customFormat="1" x14ac:dyDescent="0.2">
      <c r="A71" s="55" t="s">
        <v>33</v>
      </c>
      <c r="B71" s="55"/>
      <c r="C71" s="107">
        <v>50000</v>
      </c>
      <c r="D71" s="56">
        <f>[2]MRW!$P$17</f>
        <v>17991.310000000001</v>
      </c>
      <c r="E71" s="99">
        <f t="shared" ref="E71:E84" si="2">C71-D71</f>
        <v>32008.69</v>
      </c>
      <c r="F71" s="65"/>
      <c r="G71" s="65"/>
    </row>
    <row r="72" spans="1:7" s="60" customFormat="1" x14ac:dyDescent="0.2">
      <c r="A72" s="55" t="s">
        <v>126</v>
      </c>
      <c r="B72" s="55"/>
      <c r="C72" s="107">
        <v>40000</v>
      </c>
      <c r="D72" s="56">
        <f>[2]MRW!$P$27+'[2]PG&amp;E Energy Services'!$L$13</f>
        <v>29282.239999999998</v>
      </c>
      <c r="E72" s="99">
        <f t="shared" si="2"/>
        <v>10717.760000000002</v>
      </c>
      <c r="F72" s="65"/>
      <c r="G72" s="65"/>
    </row>
    <row r="73" spans="1:7" s="60" customFormat="1" x14ac:dyDescent="0.2">
      <c r="A73" s="55" t="s">
        <v>34</v>
      </c>
      <c r="B73" s="55"/>
      <c r="C73" s="107">
        <v>40000</v>
      </c>
      <c r="D73" s="56">
        <f>[2]MRW!$P$32</f>
        <v>2888.1800000000003</v>
      </c>
      <c r="E73" s="99">
        <f t="shared" si="2"/>
        <v>37111.82</v>
      </c>
      <c r="F73" s="65"/>
      <c r="G73" s="65"/>
    </row>
    <row r="74" spans="1:7" s="60" customFormat="1" x14ac:dyDescent="0.2">
      <c r="A74" s="55" t="s">
        <v>79</v>
      </c>
      <c r="B74" s="55"/>
      <c r="C74" s="107">
        <v>10000</v>
      </c>
      <c r="D74" s="56">
        <f>[2]MRW!$P$47</f>
        <v>2260.6</v>
      </c>
      <c r="E74" s="99">
        <f t="shared" si="2"/>
        <v>7739.4</v>
      </c>
      <c r="F74" s="65"/>
      <c r="G74" s="65"/>
    </row>
    <row r="75" spans="1:7" s="60" customFormat="1" x14ac:dyDescent="0.2">
      <c r="A75" s="55" t="s">
        <v>35</v>
      </c>
      <c r="B75" s="55"/>
      <c r="C75" s="107">
        <v>10000</v>
      </c>
      <c r="D75" s="56">
        <f>[2]MRW!$P$42</f>
        <v>2718.2</v>
      </c>
      <c r="E75" s="99">
        <f t="shared" si="2"/>
        <v>7281.8</v>
      </c>
      <c r="F75" s="65"/>
      <c r="G75" s="65"/>
    </row>
    <row r="76" spans="1:7" s="60" customFormat="1" x14ac:dyDescent="0.2">
      <c r="A76" s="55" t="s">
        <v>64</v>
      </c>
      <c r="B76" s="55"/>
      <c r="C76" s="107">
        <v>40000</v>
      </c>
      <c r="D76" s="56">
        <f>[2]Enventure!$P$12+[2]MRW!$P$52</f>
        <v>33071.360000000001</v>
      </c>
      <c r="E76" s="99">
        <f t="shared" si="2"/>
        <v>6928.6399999999994</v>
      </c>
      <c r="F76" s="65"/>
      <c r="G76" s="65"/>
    </row>
    <row r="77" spans="1:7" s="60" customFormat="1" x14ac:dyDescent="0.2">
      <c r="A77" s="55" t="s">
        <v>110</v>
      </c>
      <c r="B77" s="55"/>
      <c r="C77" s="107">
        <v>15000</v>
      </c>
      <c r="D77" s="56">
        <f>[2]MRW!$P$12</f>
        <v>6585.12</v>
      </c>
      <c r="E77" s="99">
        <f t="shared" si="2"/>
        <v>8414.880000000001</v>
      </c>
      <c r="F77" s="65"/>
      <c r="G77" s="65"/>
    </row>
    <row r="78" spans="1:7" s="60" customFormat="1" x14ac:dyDescent="0.2">
      <c r="A78" s="55" t="s">
        <v>78</v>
      </c>
      <c r="B78" s="55"/>
      <c r="C78" s="107">
        <v>50000</v>
      </c>
      <c r="D78" s="56">
        <f>[2]MRW!$P$37</f>
        <v>32105.119999999999</v>
      </c>
      <c r="E78" s="99">
        <f t="shared" si="2"/>
        <v>17894.88</v>
      </c>
      <c r="F78" s="65"/>
      <c r="G78" s="65"/>
    </row>
    <row r="79" spans="1:7" s="60" customFormat="1" x14ac:dyDescent="0.2">
      <c r="A79" s="55" t="s">
        <v>80</v>
      </c>
      <c r="B79" s="55"/>
      <c r="C79" s="107">
        <v>15000</v>
      </c>
      <c r="D79" s="56">
        <f>[2]MRW!$P$57</f>
        <v>5111.59</v>
      </c>
      <c r="E79" s="99">
        <f t="shared" si="2"/>
        <v>9888.41</v>
      </c>
      <c r="F79" s="65"/>
      <c r="G79" s="65"/>
    </row>
    <row r="80" spans="1:7" s="60" customFormat="1" x14ac:dyDescent="0.2">
      <c r="A80" s="55" t="s">
        <v>94</v>
      </c>
      <c r="B80" s="55"/>
      <c r="C80" s="107">
        <v>10000</v>
      </c>
      <c r="D80" s="56"/>
      <c r="E80" s="99">
        <f t="shared" si="2"/>
        <v>10000</v>
      </c>
      <c r="F80" s="65"/>
      <c r="G80" s="65"/>
    </row>
    <row r="81" spans="1:13" s="60" customFormat="1" x14ac:dyDescent="0.2">
      <c r="A81" s="55" t="s">
        <v>111</v>
      </c>
      <c r="B81" s="55"/>
      <c r="C81" s="107">
        <v>15000</v>
      </c>
      <c r="D81" s="56">
        <f>[2]MRW!$P$67</f>
        <v>2831.11</v>
      </c>
      <c r="E81" s="99">
        <f t="shared" si="2"/>
        <v>12168.89</v>
      </c>
      <c r="F81" s="65"/>
      <c r="G81" s="65"/>
    </row>
    <row r="82" spans="1:13" s="60" customFormat="1" x14ac:dyDescent="0.2">
      <c r="A82" s="55" t="s">
        <v>95</v>
      </c>
      <c r="B82" s="55"/>
      <c r="C82" s="107">
        <v>3000</v>
      </c>
      <c r="D82" s="56"/>
      <c r="E82" s="99">
        <f t="shared" si="2"/>
        <v>3000</v>
      </c>
      <c r="F82" s="65"/>
      <c r="G82" s="65"/>
    </row>
    <row r="83" spans="1:13" s="60" customFormat="1" x14ac:dyDescent="0.2">
      <c r="A83" s="55" t="s">
        <v>125</v>
      </c>
      <c r="B83" s="55"/>
      <c r="C83" s="107"/>
      <c r="D83" s="56">
        <f>[2]MRW!$P$62</f>
        <v>2402.73</v>
      </c>
      <c r="E83" s="99">
        <f t="shared" si="2"/>
        <v>-2402.73</v>
      </c>
      <c r="F83" s="65"/>
      <c r="G83" s="65"/>
    </row>
    <row r="84" spans="1:13" s="81" customFormat="1" x14ac:dyDescent="0.2">
      <c r="A84" s="102" t="s">
        <v>72</v>
      </c>
      <c r="B84" s="102"/>
      <c r="C84" s="108"/>
      <c r="D84" s="103">
        <f>[2]MRW!$P$22</f>
        <v>1572.38</v>
      </c>
      <c r="E84" s="104">
        <f t="shared" si="2"/>
        <v>-1572.38</v>
      </c>
      <c r="F84" s="70"/>
      <c r="G84" s="70"/>
    </row>
    <row r="85" spans="1:13" s="1" customFormat="1" x14ac:dyDescent="0.2">
      <c r="A85" s="11" t="s">
        <v>36</v>
      </c>
      <c r="B85" s="97"/>
      <c r="C85" s="24">
        <f>SUM(C71:C82)</f>
        <v>298000</v>
      </c>
      <c r="D85" s="10">
        <f>SUM(D71:D84)</f>
        <v>138819.94</v>
      </c>
      <c r="E85" s="23">
        <f>C85-D85</f>
        <v>159180.06</v>
      </c>
      <c r="F85" s="11"/>
      <c r="G85" s="11"/>
    </row>
    <row r="86" spans="1:13" s="1" customFormat="1" x14ac:dyDescent="0.2">
      <c r="A86" s="11"/>
      <c r="B86" s="97"/>
      <c r="C86" s="97"/>
      <c r="D86" s="10"/>
      <c r="E86" s="11"/>
      <c r="F86" s="11"/>
      <c r="G86" s="11"/>
    </row>
    <row r="87" spans="1:13" s="3" customFormat="1" x14ac:dyDescent="0.2">
      <c r="A87" s="11" t="s">
        <v>54</v>
      </c>
      <c r="B87" s="97"/>
      <c r="C87" s="97"/>
      <c r="D87" s="98"/>
      <c r="E87" s="80"/>
      <c r="F87" s="80"/>
      <c r="G87" s="80"/>
    </row>
    <row r="88" spans="1:13" s="61" customFormat="1" x14ac:dyDescent="0.2">
      <c r="A88" s="109" t="s">
        <v>37</v>
      </c>
      <c r="B88" s="109" t="s">
        <v>76</v>
      </c>
      <c r="C88" s="110">
        <v>90000</v>
      </c>
      <c r="D88" s="110">
        <f>'[2]Governmental Advocates'!$P$12</f>
        <v>73303.73000000001</v>
      </c>
      <c r="E88" s="111">
        <f>C88-D88</f>
        <v>16696.26999999999</v>
      </c>
      <c r="F88" s="109"/>
      <c r="G88" s="109"/>
    </row>
    <row r="89" spans="1:13" s="57" customFormat="1" x14ac:dyDescent="0.2">
      <c r="A89" s="55" t="s">
        <v>38</v>
      </c>
      <c r="B89" s="55" t="s">
        <v>118</v>
      </c>
      <c r="C89" s="56">
        <v>60000</v>
      </c>
      <c r="D89" s="56">
        <f>'[2]Lang, Hansen'!$N$15</f>
        <v>20000</v>
      </c>
      <c r="E89" s="99">
        <f>C89-D89</f>
        <v>40000</v>
      </c>
      <c r="F89" s="55"/>
      <c r="G89" s="55"/>
    </row>
    <row r="90" spans="1:13" s="75" customFormat="1" x14ac:dyDescent="0.2">
      <c r="A90" s="73" t="s">
        <v>39</v>
      </c>
      <c r="B90" s="73" t="s">
        <v>6</v>
      </c>
      <c r="C90" s="112">
        <v>10000</v>
      </c>
      <c r="D90" s="74"/>
      <c r="E90" s="113">
        <f>C90-D90</f>
        <v>10000</v>
      </c>
      <c r="F90" s="73"/>
      <c r="G90" s="73"/>
    </row>
    <row r="91" spans="1:13" s="3" customFormat="1" x14ac:dyDescent="0.2">
      <c r="A91" s="11" t="s">
        <v>59</v>
      </c>
      <c r="B91" s="97"/>
      <c r="C91" s="23">
        <f>SUM(C88:C90)</f>
        <v>160000</v>
      </c>
      <c r="D91" s="23">
        <f>SUM(D88:D90)</f>
        <v>93303.73000000001</v>
      </c>
      <c r="E91" s="23">
        <f>C91-D91</f>
        <v>66696.26999999999</v>
      </c>
      <c r="F91" s="80"/>
      <c r="G91" s="80"/>
    </row>
    <row r="92" spans="1:13" s="2" customFormat="1" x14ac:dyDescent="0.2">
      <c r="A92" s="97"/>
      <c r="B92" s="97"/>
      <c r="C92" s="97"/>
      <c r="D92" s="98"/>
      <c r="E92" s="97"/>
      <c r="F92" s="97"/>
      <c r="G92" s="97"/>
    </row>
    <row r="93" spans="1:13" s="3" customFormat="1" x14ac:dyDescent="0.2">
      <c r="A93" s="13" t="s">
        <v>3</v>
      </c>
      <c r="B93" s="80" t="s">
        <v>4</v>
      </c>
      <c r="C93" s="14">
        <v>10000</v>
      </c>
      <c r="D93" s="14">
        <f>[2]Eichman!$P$18</f>
        <v>3065.04</v>
      </c>
      <c r="E93" s="23">
        <f>C93-D93</f>
        <v>6934.96</v>
      </c>
      <c r="F93" s="80"/>
      <c r="G93" s="80"/>
    </row>
    <row r="94" spans="1:13" s="3" customFormat="1" x14ac:dyDescent="0.2">
      <c r="A94" s="80"/>
      <c r="B94" s="80"/>
      <c r="C94" s="80"/>
      <c r="D94" s="49"/>
      <c r="E94" s="80"/>
      <c r="F94" s="80"/>
      <c r="G94" s="80"/>
    </row>
    <row r="95" spans="1:13" s="4" customFormat="1" x14ac:dyDescent="0.2">
      <c r="A95" s="11" t="s">
        <v>136</v>
      </c>
      <c r="B95" s="97" t="s">
        <v>120</v>
      </c>
      <c r="C95" s="10">
        <v>15000</v>
      </c>
      <c r="D95" s="10">
        <v>9872</v>
      </c>
      <c r="E95" s="23">
        <f>C95-D95</f>
        <v>5128</v>
      </c>
      <c r="F95" s="80"/>
      <c r="G95" s="80"/>
      <c r="H95" s="3"/>
      <c r="I95" s="3"/>
      <c r="J95" s="3"/>
      <c r="K95" s="3"/>
      <c r="L95" s="3"/>
      <c r="M95" s="3"/>
    </row>
    <row r="96" spans="1:13" s="3" customFormat="1" x14ac:dyDescent="0.2">
      <c r="A96" s="97"/>
      <c r="B96" s="97"/>
      <c r="C96" s="97"/>
      <c r="D96" s="98"/>
      <c r="E96" s="80"/>
      <c r="F96" s="80"/>
      <c r="G96" s="80"/>
    </row>
    <row r="97" spans="1:7" s="2" customFormat="1" ht="15" x14ac:dyDescent="0.35">
      <c r="A97" s="19" t="s">
        <v>135</v>
      </c>
      <c r="B97" s="90" t="s">
        <v>60</v>
      </c>
      <c r="C97" s="21">
        <f>SUM(C68+C85+C91+C93+C95)</f>
        <v>1632500</v>
      </c>
      <c r="D97" s="21">
        <f>SUM(D68+D85+D91+D93+D95)</f>
        <v>933870.16000000015</v>
      </c>
      <c r="E97" s="21">
        <f>SUM(E68+E85+E91+E93+E95)</f>
        <v>698629.83999999985</v>
      </c>
      <c r="F97" s="21">
        <f>SUM(F68+F85+F91+F93+F95)</f>
        <v>158141.8600000001</v>
      </c>
      <c r="G97" s="21">
        <f>SUM(G68+G85+G91+G93+G95)</f>
        <v>247537.20999999985</v>
      </c>
    </row>
    <row r="98" spans="1:7" s="5" customFormat="1" ht="13.5" thickBot="1" x14ac:dyDescent="0.25">
      <c r="A98" s="114"/>
      <c r="B98" s="114"/>
      <c r="C98" s="114"/>
      <c r="D98" s="115"/>
      <c r="E98" s="114"/>
      <c r="F98" s="114"/>
      <c r="G98" s="114"/>
    </row>
    <row r="99" spans="1:7" s="42" customFormat="1" ht="31.9" customHeight="1" x14ac:dyDescent="0.2">
      <c r="A99" s="116" t="s">
        <v>7</v>
      </c>
      <c r="B99" s="116" t="s">
        <v>8</v>
      </c>
      <c r="C99" s="38" t="s">
        <v>97</v>
      </c>
      <c r="D99" s="40" t="s">
        <v>65</v>
      </c>
      <c r="E99" s="37" t="s">
        <v>66</v>
      </c>
      <c r="F99" s="117"/>
      <c r="G99" s="117"/>
    </row>
    <row r="100" spans="1:7" s="2" customFormat="1" x14ac:dyDescent="0.2">
      <c r="A100" s="118"/>
      <c r="B100" s="118"/>
      <c r="C100" s="118"/>
      <c r="D100" s="119"/>
      <c r="E100" s="97"/>
      <c r="F100" s="97"/>
      <c r="G100" s="97"/>
    </row>
    <row r="101" spans="1:7" x14ac:dyDescent="0.2">
      <c r="A101" s="11" t="s">
        <v>9</v>
      </c>
    </row>
    <row r="102" spans="1:7" s="51" customFormat="1" x14ac:dyDescent="0.2">
      <c r="A102" s="55"/>
      <c r="B102" s="55" t="s">
        <v>40</v>
      </c>
      <c r="C102" s="56">
        <v>25000</v>
      </c>
      <c r="D102" s="56">
        <f>'[5]Political Contributions Query'!$G$69+'[5]Political Contributions Query'!$G$6+'[5]Political Contributions Query'!$G$106</f>
        <v>2750</v>
      </c>
      <c r="E102" s="99">
        <f>C102-D102</f>
        <v>22250</v>
      </c>
      <c r="F102" s="55"/>
      <c r="G102" s="55"/>
    </row>
    <row r="103" spans="1:7" s="57" customFormat="1" x14ac:dyDescent="0.2">
      <c r="A103" s="55"/>
      <c r="B103" s="55" t="s">
        <v>10</v>
      </c>
      <c r="C103" s="56">
        <v>150000</v>
      </c>
      <c r="D103" s="56">
        <f>'[5]Political Contributions Query'!$E$1-D102</f>
        <v>131095</v>
      </c>
      <c r="E103" s="99">
        <f>C103-D103</f>
        <v>18905</v>
      </c>
      <c r="F103" s="55"/>
      <c r="G103" s="55"/>
    </row>
    <row r="104" spans="1:7" s="2" customFormat="1" x14ac:dyDescent="0.2">
      <c r="A104" s="11" t="s">
        <v>121</v>
      </c>
      <c r="B104" s="97"/>
      <c r="C104" s="10">
        <f>SUM(C102:C103)</f>
        <v>175000</v>
      </c>
      <c r="D104" s="10">
        <f>SUM(D102:D103)</f>
        <v>133845</v>
      </c>
      <c r="E104" s="23">
        <f>C104-D104</f>
        <v>41155</v>
      </c>
      <c r="F104" s="97"/>
      <c r="G104" s="97"/>
    </row>
    <row r="105" spans="1:7" s="2" customFormat="1" x14ac:dyDescent="0.2">
      <c r="A105" s="80"/>
      <c r="B105" s="80"/>
      <c r="C105" s="120"/>
      <c r="D105" s="49"/>
      <c r="E105" s="97"/>
      <c r="F105" s="97"/>
      <c r="G105" s="97"/>
    </row>
    <row r="106" spans="1:7" s="2" customFormat="1" x14ac:dyDescent="0.2">
      <c r="A106" s="13" t="s">
        <v>11</v>
      </c>
      <c r="B106" s="80" t="s">
        <v>12</v>
      </c>
      <c r="C106" s="14">
        <v>75000</v>
      </c>
      <c r="D106" s="14">
        <f>[4]Sheet1!$B$1+'[2]PR Consultants'!$P$13</f>
        <v>21410</v>
      </c>
      <c r="E106" s="23">
        <f>C106-D106</f>
        <v>53590</v>
      </c>
      <c r="F106" s="97"/>
      <c r="G106" s="97"/>
    </row>
    <row r="107" spans="1:7" s="16" customFormat="1" x14ac:dyDescent="0.2">
      <c r="A107" s="80"/>
      <c r="B107" s="80"/>
      <c r="C107" s="80"/>
      <c r="D107" s="49"/>
      <c r="E107" s="80"/>
      <c r="F107" s="80"/>
      <c r="G107" s="80"/>
    </row>
    <row r="108" spans="1:7" s="16" customFormat="1" x14ac:dyDescent="0.2">
      <c r="A108" s="13" t="s">
        <v>82</v>
      </c>
      <c r="B108" s="80"/>
      <c r="C108" s="80"/>
      <c r="D108" s="14">
        <v>2332.54</v>
      </c>
      <c r="E108" s="23">
        <f>C108-D108</f>
        <v>-2332.54</v>
      </c>
      <c r="F108" s="80"/>
      <c r="G108" s="80"/>
    </row>
    <row r="109" spans="1:7" s="45" customFormat="1" x14ac:dyDescent="0.2">
      <c r="A109" s="102"/>
      <c r="B109" s="102"/>
      <c r="C109" s="102"/>
      <c r="D109" s="103"/>
      <c r="E109" s="102"/>
      <c r="F109" s="102"/>
      <c r="G109" s="102"/>
    </row>
    <row r="110" spans="1:7" s="16" customFormat="1" x14ac:dyDescent="0.2">
      <c r="A110" s="20" t="s">
        <v>131</v>
      </c>
      <c r="B110" s="20" t="s">
        <v>62</v>
      </c>
      <c r="C110" s="69">
        <f>SUM(C104:C106)</f>
        <v>250000</v>
      </c>
      <c r="D110" s="69">
        <f>SUM(D104:D109)</f>
        <v>157587.54</v>
      </c>
      <c r="E110" s="69">
        <f>SUM(E104:E109)</f>
        <v>92412.46</v>
      </c>
      <c r="F110" s="80"/>
      <c r="G110" s="80"/>
    </row>
    <row r="111" spans="1:7" s="34" customFormat="1" ht="20.25" customHeight="1" thickBot="1" x14ac:dyDescent="0.25">
      <c r="A111" s="94"/>
      <c r="B111" s="94"/>
      <c r="C111" s="94"/>
      <c r="D111" s="121"/>
      <c r="E111" s="114"/>
      <c r="F111" s="114"/>
      <c r="G111" s="114"/>
    </row>
    <row r="112" spans="1:7" s="41" customFormat="1" ht="31.9" customHeight="1" x14ac:dyDescent="0.2">
      <c r="A112" s="116" t="s">
        <v>13</v>
      </c>
      <c r="B112" s="117"/>
      <c r="C112" s="38" t="s">
        <v>97</v>
      </c>
      <c r="D112" s="40" t="s">
        <v>65</v>
      </c>
      <c r="E112" s="37" t="s">
        <v>66</v>
      </c>
      <c r="F112" s="117"/>
      <c r="G112" s="117"/>
    </row>
    <row r="114" spans="1:7" x14ac:dyDescent="0.2">
      <c r="A114" s="11" t="s">
        <v>14</v>
      </c>
      <c r="C114" s="10">
        <v>130500</v>
      </c>
      <c r="D114" s="10">
        <f>4596.19+6187.66+35197-19-230-1218-4493-1376-649-1078-241-9221.23-279.7+4173.36-172-205-348+608+4503.0545+182+5073-503-2020-364+706-309+13118.96-1490.95-1767.82-60-497.55+67+67+76+912.02+51+95.5+376.29+1008.2+62+62+1225.17+441.9+641.63+1900+487+153.36+8.5+71+275.3+412.75+92.7+30+350+850+2148.3-183.08-276.99-35.07-16.02+4+160+1385.53+82.04+1282.16-262.14+10992.71-3933.16+501.16+3572.67+929.18+487.79+1220+2986.72-110.45-5.58-133.78-34.53-565.84-180.51+20864.97-1885.61-1040.9-4950.47-1083.86-2590.3+200+600+42+206+4061.47-391.72-1155.58-51.94-338.06+6286.92-137-1134.97-1692.7-142.12-1100.84+13872.93</f>
        <v>105972.62450000001</v>
      </c>
      <c r="E114" s="23">
        <f>C114-D114</f>
        <v>24527.375499999995</v>
      </c>
    </row>
    <row r="115" spans="1:7" x14ac:dyDescent="0.2">
      <c r="C115" s="10"/>
      <c r="D115" s="6"/>
      <c r="E115"/>
    </row>
    <row r="116" spans="1:7" x14ac:dyDescent="0.2">
      <c r="A116" s="12" t="s">
        <v>73</v>
      </c>
      <c r="C116" s="10">
        <v>65000</v>
      </c>
      <c r="D116" s="10">
        <f>8+3032+2446+1255+8+3880+4096+2530+9820-3000-2132-761-339-33-14-11-9-8-3-1.1+3528-1517.71-342-101-82+386-2088-1127-129-121+3500-1173+2580.34+95.05-235-84-5.46+514.44-137.18+903.96-2.96-46.35-109.14-23.78-408.36+808.3+149.06-7.75-18.1-26.4-53+3367.68+1973.09-189.97+1794.17-229.15-8-69.99+930.67-49.46+64.04+812.78+557.02+1325+452.82+41.16+138.56-105.46-237.99-483.88-172.81-172.81+60.53+277.47+80.01+122.89+375.63+2787.66+20+13.12+205.97+737.62+1105.1+139.64+558.56+102.05+8668.22+237.18</f>
        <v>50619.98000000001</v>
      </c>
      <c r="E116" s="23">
        <f>C116-D116</f>
        <v>14380.01999999999</v>
      </c>
    </row>
    <row r="118" spans="1:7" x14ac:dyDescent="0.2">
      <c r="A118" s="11" t="s">
        <v>57</v>
      </c>
      <c r="D118" s="106"/>
    </row>
    <row r="119" spans="1:7" s="52" customFormat="1" x14ac:dyDescent="0.2">
      <c r="A119" s="64"/>
      <c r="B119" s="56" t="s">
        <v>96</v>
      </c>
      <c r="C119" s="56">
        <v>1500</v>
      </c>
      <c r="D119" s="56">
        <f>[3]Subscriptions!$F$6+[3]Subscriptions!$F$7</f>
        <v>1735</v>
      </c>
      <c r="E119" s="99">
        <f>C119-D119</f>
        <v>-235</v>
      </c>
      <c r="F119" s="56"/>
      <c r="G119" s="56"/>
    </row>
    <row r="120" spans="1:7" s="51" customFormat="1" x14ac:dyDescent="0.2">
      <c r="A120" s="65"/>
      <c r="B120" s="55" t="s">
        <v>15</v>
      </c>
      <c r="C120" s="56">
        <v>5000</v>
      </c>
      <c r="D120" s="99">
        <f>[3]Membership!$F$6</f>
        <v>5000</v>
      </c>
      <c r="E120" s="99">
        <f>C120-D120</f>
        <v>0</v>
      </c>
      <c r="F120" s="55"/>
      <c r="G120" s="55"/>
    </row>
    <row r="121" spans="1:7" s="51" customFormat="1" x14ac:dyDescent="0.2">
      <c r="A121" s="55"/>
      <c r="B121" s="55" t="s">
        <v>16</v>
      </c>
      <c r="C121" s="56">
        <v>5000</v>
      </c>
      <c r="D121" s="99">
        <f>[3]Membership!$F$9</f>
        <v>5000</v>
      </c>
      <c r="E121" s="99">
        <f>C121-D121</f>
        <v>0</v>
      </c>
      <c r="F121" s="55"/>
      <c r="G121" s="55"/>
    </row>
    <row r="122" spans="1:7" s="51" customFormat="1" x14ac:dyDescent="0.2">
      <c r="A122" s="55"/>
      <c r="B122" s="55" t="s">
        <v>17</v>
      </c>
      <c r="C122" s="56">
        <v>25000</v>
      </c>
      <c r="D122" s="99">
        <f>[3]AAMP!$P$12</f>
        <v>22500</v>
      </c>
      <c r="E122" s="99">
        <f>C122-D122</f>
        <v>2500</v>
      </c>
      <c r="F122" s="55"/>
      <c r="G122" s="55"/>
    </row>
    <row r="123" spans="1:7" s="51" customFormat="1" x14ac:dyDescent="0.2">
      <c r="A123" s="55"/>
      <c r="B123" s="55" t="s">
        <v>18</v>
      </c>
      <c r="C123" s="56">
        <v>5000</v>
      </c>
      <c r="D123" s="56"/>
      <c r="E123" s="99">
        <f t="shared" ref="E123:E128" si="3">C123-D123</f>
        <v>5000</v>
      </c>
      <c r="F123" s="55"/>
      <c r="G123" s="55"/>
    </row>
    <row r="124" spans="1:7" s="51" customFormat="1" x14ac:dyDescent="0.2">
      <c r="A124" s="55"/>
      <c r="B124" s="55" t="s">
        <v>19</v>
      </c>
      <c r="C124" s="56">
        <v>5000</v>
      </c>
      <c r="D124" s="56"/>
      <c r="E124" s="99">
        <f t="shared" si="3"/>
        <v>5000</v>
      </c>
      <c r="F124" s="55"/>
      <c r="G124" s="55"/>
    </row>
    <row r="125" spans="1:7" s="51" customFormat="1" x14ac:dyDescent="0.2">
      <c r="A125" s="55"/>
      <c r="B125" s="55" t="s">
        <v>41</v>
      </c>
      <c r="C125" s="56">
        <v>6500</v>
      </c>
      <c r="D125" s="56">
        <f>[3]Membership!$F$5</f>
        <v>6200</v>
      </c>
      <c r="E125" s="99">
        <f t="shared" si="3"/>
        <v>300</v>
      </c>
      <c r="F125" s="55"/>
      <c r="G125" s="55"/>
    </row>
    <row r="126" spans="1:7" s="51" customFormat="1" x14ac:dyDescent="0.2">
      <c r="A126" s="55"/>
      <c r="B126" s="55" t="s">
        <v>56</v>
      </c>
      <c r="C126" s="56">
        <v>50000</v>
      </c>
      <c r="D126" s="56"/>
      <c r="E126" s="99">
        <f t="shared" si="3"/>
        <v>50000</v>
      </c>
      <c r="F126" s="55"/>
      <c r="G126" s="55"/>
    </row>
    <row r="127" spans="1:7" s="45" customFormat="1" x14ac:dyDescent="0.2">
      <c r="A127" s="102"/>
      <c r="B127" s="102" t="s">
        <v>55</v>
      </c>
      <c r="C127" s="103">
        <v>10000</v>
      </c>
      <c r="D127" s="103"/>
      <c r="E127" s="104">
        <f t="shared" si="3"/>
        <v>10000</v>
      </c>
      <c r="F127" s="102"/>
      <c r="G127" s="102"/>
    </row>
    <row r="128" spans="1:7" x14ac:dyDescent="0.2">
      <c r="A128" s="11" t="s">
        <v>58</v>
      </c>
      <c r="C128" s="23">
        <f>SUM(C119:C127)</f>
        <v>113000</v>
      </c>
      <c r="D128" s="23">
        <f>SUM(D119:D127)</f>
        <v>40435</v>
      </c>
      <c r="E128" s="23">
        <f t="shared" si="3"/>
        <v>72565</v>
      </c>
    </row>
    <row r="130" spans="1:7" ht="0.6" customHeight="1" x14ac:dyDescent="0.2"/>
    <row r="131" spans="1:7" x14ac:dyDescent="0.2">
      <c r="A131" s="11" t="s">
        <v>20</v>
      </c>
      <c r="C131" s="10">
        <v>96000</v>
      </c>
      <c r="D131" s="10">
        <v>50738</v>
      </c>
      <c r="E131" s="23">
        <f>C131-D131</f>
        <v>45262</v>
      </c>
    </row>
    <row r="132" spans="1:7" x14ac:dyDescent="0.2">
      <c r="A132" s="11" t="s">
        <v>119</v>
      </c>
      <c r="D132" s="10">
        <v>1331</v>
      </c>
      <c r="E132" s="23">
        <f>C132-D132</f>
        <v>-1331</v>
      </c>
    </row>
    <row r="133" spans="1:7" ht="11.25" customHeight="1" x14ac:dyDescent="0.2"/>
    <row r="134" spans="1:7" ht="15" x14ac:dyDescent="0.35">
      <c r="A134" s="19" t="s">
        <v>134</v>
      </c>
      <c r="B134" s="19" t="s">
        <v>89</v>
      </c>
      <c r="C134" s="21">
        <f>SUM(C114+C116+C128+C131+C132)</f>
        <v>404500</v>
      </c>
      <c r="D134" s="21">
        <f>SUM(D114+D116+D128+D131+D132)</f>
        <v>249096.60450000002</v>
      </c>
      <c r="E134" s="21">
        <f>SUM(E114+E116+E128+E131+E132)</f>
        <v>155403.39549999998</v>
      </c>
    </row>
    <row r="135" spans="1:7" ht="1.9" customHeight="1" thickBot="1" x14ac:dyDescent="0.25"/>
    <row r="136" spans="1:7" ht="13.5" hidden="1" thickBot="1" x14ac:dyDescent="0.25"/>
    <row r="137" spans="1:7" s="17" customFormat="1" ht="13.5" thickTop="1" x14ac:dyDescent="0.2">
      <c r="A137" s="122"/>
      <c r="B137" s="122"/>
      <c r="C137" s="122"/>
      <c r="D137" s="123"/>
      <c r="E137" s="122"/>
      <c r="F137" s="122"/>
      <c r="G137" s="122"/>
    </row>
    <row r="138" spans="1:7" ht="15" x14ac:dyDescent="0.35">
      <c r="B138" s="11" t="s">
        <v>21</v>
      </c>
      <c r="C138" s="22">
        <f>SUM(C97+C110+C134)</f>
        <v>2287000</v>
      </c>
      <c r="D138" s="22">
        <f>SUM(D97+D110+D134)</f>
        <v>1340554.3045000001</v>
      </c>
      <c r="E138" s="22">
        <f>SUM(E97+E110+E134)</f>
        <v>946445.6954999998</v>
      </c>
      <c r="F138" s="22">
        <f>SUM(F97+F110+F134)</f>
        <v>158141.8600000001</v>
      </c>
      <c r="G138" s="22">
        <f>SUM(G97+G110+G134)</f>
        <v>247537.20999999985</v>
      </c>
    </row>
    <row r="139" spans="1:7" s="18" customFormat="1" ht="1.1499999999999999" customHeight="1" thickBot="1" x14ac:dyDescent="0.25">
      <c r="A139" s="124"/>
      <c r="B139" s="124"/>
      <c r="C139" s="124"/>
      <c r="D139" s="125"/>
      <c r="E139" s="124"/>
      <c r="F139" s="124"/>
      <c r="G139" s="124"/>
    </row>
    <row r="140" spans="1:7" ht="13.5" thickTop="1" x14ac:dyDescent="0.2"/>
  </sheetData>
  <pageMargins left="0.27" right="0.25" top="0.87" bottom="0.37" header="0.27" footer="0.23"/>
  <pageSetup scale="75" orientation="portrait" horizontalDpi="0" r:id="rId1"/>
  <headerFooter alignWithMargins="0"/>
  <rowBreaks count="1" manualBreakCount="1">
    <brk id="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99 Budget Report</vt:lpstr>
      <vt:lpstr>99 RCR Report</vt:lpstr>
      <vt:lpstr>'99 Budget Report'!Print_Area</vt:lpstr>
      <vt:lpstr>'99 RCR Report'!Print_Area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bgaillar</dc:creator>
  <cp:lastModifiedBy>Jan Havlíček</cp:lastModifiedBy>
  <cp:lastPrinted>1999-11-30T01:01:31Z</cp:lastPrinted>
  <dcterms:created xsi:type="dcterms:W3CDTF">1998-01-14T22:40:23Z</dcterms:created>
  <dcterms:modified xsi:type="dcterms:W3CDTF">2023-09-19T17:10:25Z</dcterms:modified>
</cp:coreProperties>
</file>