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5421A7-E970-419A-8EFD-676D70EFFF23}" xr6:coauthVersionLast="47" xr6:coauthVersionMax="47" xr10:uidLastSave="{00000000-0000-0000-0000-000000000000}"/>
  <bookViews>
    <workbookView xWindow="-120" yWindow="-120" windowWidth="38640" windowHeight="15720"/>
  </bookViews>
  <sheets>
    <sheet name="Wind LLC #259" sheetId="1" r:id="rId1"/>
    <sheet name="Powder LLC #247" sheetId="2" r:id="rId2"/>
    <sheet name="EMS #63K" sheetId="3" r:id="rId3"/>
    <sheet name="Combined" sheetId="4" r:id="rId4"/>
    <sheet name="Capital Structure" sheetId="7" r:id="rId5"/>
  </sheets>
  <calcPr calcId="0"/>
</workbook>
</file>

<file path=xl/calcChain.xml><?xml version="1.0" encoding="utf-8"?>
<calcChain xmlns="http://schemas.openxmlformats.org/spreadsheetml/2006/main">
  <c r="B6" i="7" l="1"/>
  <c r="D8" i="7"/>
  <c r="D9" i="7"/>
  <c r="C11" i="7"/>
  <c r="C12" i="7"/>
  <c r="B14" i="7"/>
  <c r="C14" i="7"/>
  <c r="D14" i="7"/>
  <c r="D10" i="4"/>
  <c r="L10" i="4"/>
  <c r="D11" i="4"/>
  <c r="J11" i="4"/>
  <c r="L11" i="4"/>
  <c r="D12" i="4"/>
  <c r="J12" i="4"/>
  <c r="L12" i="4"/>
  <c r="D13" i="4"/>
  <c r="J13" i="4"/>
  <c r="K13" i="4"/>
  <c r="L13" i="4"/>
  <c r="J15" i="4"/>
  <c r="L15" i="4"/>
  <c r="D16" i="4"/>
  <c r="D17" i="4"/>
  <c r="J17" i="4"/>
  <c r="L17" i="4"/>
  <c r="D18" i="4"/>
  <c r="D19" i="4"/>
  <c r="J19" i="4"/>
  <c r="K19" i="4"/>
  <c r="L19" i="4"/>
  <c r="D21" i="4"/>
  <c r="J21" i="4"/>
  <c r="K21" i="4"/>
  <c r="L21" i="4"/>
  <c r="D23" i="4"/>
  <c r="J23" i="4"/>
  <c r="K23" i="4"/>
  <c r="L23" i="4"/>
  <c r="D25" i="4"/>
  <c r="J26" i="4"/>
  <c r="K26" i="4"/>
  <c r="L26" i="4"/>
  <c r="J27" i="4"/>
  <c r="K27" i="4"/>
  <c r="L27" i="4"/>
  <c r="J28" i="4"/>
  <c r="K28" i="4"/>
  <c r="L28" i="4"/>
  <c r="D30" i="4"/>
  <c r="J30" i="4"/>
  <c r="K30" i="4"/>
  <c r="L30" i="4"/>
  <c r="D31" i="4"/>
  <c r="D32" i="4"/>
  <c r="D33" i="4"/>
  <c r="J33" i="4"/>
  <c r="K33" i="4"/>
  <c r="L33" i="4"/>
  <c r="D34" i="4"/>
  <c r="J34" i="4"/>
  <c r="L34" i="4"/>
  <c r="J35" i="4"/>
  <c r="K35" i="4"/>
  <c r="L35" i="4"/>
  <c r="D36" i="4"/>
  <c r="J36" i="4"/>
  <c r="K36" i="4"/>
  <c r="L36" i="4"/>
  <c r="D38" i="4"/>
  <c r="J38" i="4"/>
  <c r="K38" i="4"/>
  <c r="L38" i="4"/>
  <c r="D40" i="4"/>
  <c r="D42" i="4"/>
  <c r="D44" i="4"/>
  <c r="D45" i="4"/>
  <c r="D46" i="4"/>
  <c r="D47" i="4"/>
  <c r="D48" i="4"/>
  <c r="D49" i="4"/>
  <c r="E10" i="3"/>
  <c r="G10" i="3"/>
  <c r="O10" i="3"/>
  <c r="G11" i="3"/>
  <c r="M11" i="3"/>
  <c r="O11" i="3"/>
  <c r="G12" i="3"/>
  <c r="M12" i="3"/>
  <c r="O12" i="3"/>
  <c r="D13" i="3"/>
  <c r="E13" i="3"/>
  <c r="F13" i="3"/>
  <c r="G13" i="3"/>
  <c r="M13" i="3"/>
  <c r="N13" i="3"/>
  <c r="O13" i="3"/>
  <c r="G15" i="3"/>
  <c r="M15" i="3"/>
  <c r="O15" i="3"/>
  <c r="G17" i="3"/>
  <c r="M17" i="3"/>
  <c r="O17" i="3"/>
  <c r="G19" i="3"/>
  <c r="M19" i="3"/>
  <c r="N19" i="3"/>
  <c r="O19" i="3"/>
  <c r="D21" i="3"/>
  <c r="E21" i="3"/>
  <c r="F21" i="3"/>
  <c r="G21" i="3"/>
  <c r="O21" i="3"/>
  <c r="O23" i="3"/>
  <c r="D26" i="3"/>
  <c r="E26" i="3"/>
  <c r="F26" i="3"/>
  <c r="G26" i="3"/>
  <c r="O26" i="3"/>
  <c r="G27" i="3"/>
  <c r="O27" i="3"/>
  <c r="G28" i="3"/>
  <c r="M28" i="3"/>
  <c r="N28" i="3"/>
  <c r="O28" i="3"/>
  <c r="G29" i="3"/>
  <c r="D30" i="3"/>
  <c r="E30" i="3"/>
  <c r="F30" i="3"/>
  <c r="G30" i="3"/>
  <c r="M30" i="3"/>
  <c r="N30" i="3"/>
  <c r="O30" i="3"/>
  <c r="F32" i="3"/>
  <c r="G32" i="3"/>
  <c r="O33" i="3"/>
  <c r="E34" i="3"/>
  <c r="F34" i="3"/>
  <c r="G34" i="3"/>
  <c r="O35" i="3"/>
  <c r="D36" i="3"/>
  <c r="E36" i="3"/>
  <c r="F36" i="3"/>
  <c r="G36" i="3"/>
  <c r="M36" i="3"/>
  <c r="N36" i="3"/>
  <c r="O36" i="3"/>
  <c r="M38" i="3"/>
  <c r="N38" i="3"/>
  <c r="O38" i="3"/>
  <c r="D40" i="3"/>
  <c r="E40" i="3"/>
  <c r="F40" i="3"/>
  <c r="G40" i="3"/>
  <c r="D41" i="3"/>
  <c r="E41" i="3"/>
  <c r="F41" i="3"/>
  <c r="G41" i="3"/>
  <c r="O9" i="2"/>
  <c r="E10" i="2"/>
  <c r="G10" i="2"/>
  <c r="D11" i="2"/>
  <c r="E11" i="2"/>
  <c r="F11" i="2"/>
  <c r="G11" i="2"/>
  <c r="O11" i="2"/>
  <c r="G13" i="2"/>
  <c r="O13" i="2"/>
  <c r="G15" i="2"/>
  <c r="M15" i="2"/>
  <c r="N15" i="2"/>
  <c r="O15" i="2"/>
  <c r="D17" i="2"/>
  <c r="E17" i="2"/>
  <c r="F17" i="2"/>
  <c r="G17" i="2"/>
  <c r="O17" i="2"/>
  <c r="O19" i="2"/>
  <c r="E22" i="2"/>
  <c r="F22" i="2"/>
  <c r="G22" i="2"/>
  <c r="O22" i="2"/>
  <c r="G23" i="2"/>
  <c r="O23" i="2"/>
  <c r="G24" i="2"/>
  <c r="M24" i="2"/>
  <c r="N24" i="2"/>
  <c r="O24" i="2"/>
  <c r="F25" i="2"/>
  <c r="G25" i="2"/>
  <c r="D26" i="2"/>
  <c r="E26" i="2"/>
  <c r="F26" i="2"/>
  <c r="G26" i="2"/>
  <c r="M26" i="2"/>
  <c r="N26" i="2"/>
  <c r="O26" i="2"/>
  <c r="G28" i="2"/>
  <c r="N29" i="2"/>
  <c r="O29" i="2"/>
  <c r="E30" i="2"/>
  <c r="F30" i="2"/>
  <c r="G30" i="2"/>
  <c r="O30" i="2"/>
  <c r="M31" i="2"/>
  <c r="N31" i="2"/>
  <c r="O31" i="2"/>
  <c r="D32" i="2"/>
  <c r="E32" i="2"/>
  <c r="F32" i="2"/>
  <c r="G32" i="2"/>
  <c r="M33" i="2"/>
  <c r="N33" i="2"/>
  <c r="O33" i="2"/>
  <c r="E36" i="2"/>
  <c r="F36" i="2"/>
  <c r="G36" i="2"/>
  <c r="E37" i="2"/>
  <c r="F37" i="2"/>
  <c r="G37" i="2"/>
  <c r="D38" i="2"/>
  <c r="E38" i="2"/>
  <c r="F38" i="2"/>
  <c r="G38" i="2"/>
  <c r="O8" i="1"/>
  <c r="E9" i="1"/>
  <c r="G9" i="1"/>
  <c r="D10" i="1"/>
  <c r="E10" i="1"/>
  <c r="F10" i="1"/>
  <c r="G10" i="1"/>
  <c r="O10" i="1"/>
  <c r="G12" i="1"/>
  <c r="O12" i="1"/>
  <c r="G14" i="1"/>
  <c r="M14" i="1"/>
  <c r="N14" i="1"/>
  <c r="O14" i="1"/>
  <c r="D16" i="1"/>
  <c r="E16" i="1"/>
  <c r="F16" i="1"/>
  <c r="G16" i="1"/>
  <c r="O16" i="1"/>
  <c r="O18" i="1"/>
  <c r="E21" i="1"/>
  <c r="G21" i="1"/>
  <c r="O21" i="1"/>
  <c r="G22" i="1"/>
  <c r="O22" i="1"/>
  <c r="G23" i="1"/>
  <c r="M23" i="1"/>
  <c r="N23" i="1"/>
  <c r="O23" i="1"/>
  <c r="G24" i="1"/>
  <c r="D25" i="1"/>
  <c r="E25" i="1"/>
  <c r="F25" i="1"/>
  <c r="G25" i="1"/>
  <c r="M25" i="1"/>
  <c r="N25" i="1"/>
  <c r="O25" i="1"/>
  <c r="G27" i="1"/>
  <c r="O28" i="1"/>
  <c r="E29" i="1"/>
  <c r="F29" i="1"/>
  <c r="G29" i="1"/>
  <c r="O29" i="1"/>
  <c r="M30" i="1"/>
  <c r="N30" i="1"/>
  <c r="O30" i="1"/>
  <c r="D31" i="1"/>
  <c r="E31" i="1"/>
  <c r="F31" i="1"/>
  <c r="G31" i="1"/>
  <c r="M32" i="1"/>
  <c r="N32" i="1"/>
  <c r="O32" i="1"/>
  <c r="D35" i="1"/>
  <c r="E35" i="1"/>
  <c r="F35" i="1"/>
  <c r="G35" i="1"/>
  <c r="D36" i="1"/>
  <c r="E36" i="1"/>
  <c r="F36" i="1"/>
  <c r="G36" i="1"/>
  <c r="D37" i="1"/>
  <c r="E37" i="1"/>
  <c r="F37" i="1"/>
  <c r="G37" i="1"/>
</calcChain>
</file>

<file path=xl/sharedStrings.xml><?xml version="1.0" encoding="utf-8"?>
<sst xmlns="http://schemas.openxmlformats.org/spreadsheetml/2006/main" count="242" uniqueCount="78">
  <si>
    <t>Balance Sheet</t>
  </si>
  <si>
    <t>Assets</t>
  </si>
  <si>
    <t>Current Assets</t>
  </si>
  <si>
    <t>Total Current Assets</t>
  </si>
  <si>
    <t>Deferred Charges</t>
  </si>
  <si>
    <t>Total Assets</t>
  </si>
  <si>
    <t>Liabilities and Shareholders' Equity</t>
  </si>
  <si>
    <t>Current Liabilities</t>
  </si>
  <si>
    <t>Accounts Receivable - Affiliates</t>
  </si>
  <si>
    <t>Accounts Payable - Affiliates</t>
  </si>
  <si>
    <t>Other Acccounts Payable</t>
  </si>
  <si>
    <t>Accrued Liabilities</t>
  </si>
  <si>
    <t>Deferred Federal Income Tax</t>
  </si>
  <si>
    <t>Total Current Liabilities</t>
  </si>
  <si>
    <t>Deferred Credits</t>
  </si>
  <si>
    <t>Shareholders' Equity</t>
  </si>
  <si>
    <t>Total Liabilities and Shareholders' Equity</t>
  </si>
  <si>
    <t>ECT Wind River, L.L.C.</t>
  </si>
  <si>
    <t>Income Statement</t>
  </si>
  <si>
    <t>Cost of Sales</t>
  </si>
  <si>
    <t>Operating Expenses</t>
  </si>
  <si>
    <t>Net Operating Income (Loss)</t>
  </si>
  <si>
    <t>Revenues</t>
  </si>
  <si>
    <t>Equity Earnings (Loss)</t>
  </si>
  <si>
    <t>Interest and Related Charges</t>
  </si>
  <si>
    <t>Interest Expense - Affiliates</t>
  </si>
  <si>
    <t>Other Interest Expense</t>
  </si>
  <si>
    <t>Total Interest and Related Charges</t>
  </si>
  <si>
    <t>Accounts Payable - Enron Corp.</t>
  </si>
  <si>
    <t>Current Federal Income Tax Expense</t>
  </si>
  <si>
    <t>Deferred Federal Income Tax Expense</t>
  </si>
  <si>
    <t>Total Income Tax Expense</t>
  </si>
  <si>
    <t>Income Before Income Tax Expense</t>
  </si>
  <si>
    <t>Income Tax Expense</t>
  </si>
  <si>
    <t>Net Income (Loss)</t>
  </si>
  <si>
    <t>ECT Powder River, L.L.C.</t>
  </si>
  <si>
    <t>Accounts Receivable - Enron Corp.</t>
  </si>
  <si>
    <t>Investment in Lost Creek Gas Gathering Company, L.L.C.</t>
  </si>
  <si>
    <t>Investment in Fort Union Gathering, L.L.C.</t>
  </si>
  <si>
    <t>Enron Midstream Services, L.L.C.</t>
  </si>
  <si>
    <t>Gas Inventory</t>
  </si>
  <si>
    <t>Other Current Assets</t>
  </si>
  <si>
    <t>Construction Work in Progress</t>
  </si>
  <si>
    <t>Natural Gas Revenues</t>
  </si>
  <si>
    <t>Transportation Revenues</t>
  </si>
  <si>
    <t>Other Gas Revenues</t>
  </si>
  <si>
    <t>Total Revenues</t>
  </si>
  <si>
    <t>Current Deferred Federal Income Tax Expense</t>
  </si>
  <si>
    <t>Non-Current Deferred Federal Income Tax Expense</t>
  </si>
  <si>
    <t>Detail of Shareholders' Equity</t>
  </si>
  <si>
    <t>Powder River B, L.L.C.</t>
  </si>
  <si>
    <t>Powder River Z, L.L.C.</t>
  </si>
  <si>
    <t>Total Shareholders' Equity</t>
  </si>
  <si>
    <t>Wind River B, L.L.C.</t>
  </si>
  <si>
    <t>Wind River Z, L.L.C.</t>
  </si>
  <si>
    <t>Enron North America</t>
  </si>
  <si>
    <t>Original Balances</t>
  </si>
  <si>
    <t>Adjustments</t>
  </si>
  <si>
    <t>Clear Intercompany Balances</t>
  </si>
  <si>
    <t>Other</t>
  </si>
  <si>
    <t>Combined Companies</t>
  </si>
  <si>
    <t>Investments</t>
  </si>
  <si>
    <t>Big Horn Gas Gathering Company, L.L.C.</t>
  </si>
  <si>
    <t>Fort Union Gathering, L.L.C.</t>
  </si>
  <si>
    <t>Lost Creek Gas Gathering Company, L.L.C.</t>
  </si>
  <si>
    <t>Total Investments</t>
  </si>
  <si>
    <t>Other Income (Loss)</t>
  </si>
  <si>
    <t>Capital Structures</t>
  </si>
  <si>
    <t>Totals</t>
  </si>
  <si>
    <t>Balances at June 30, 2000</t>
  </si>
  <si>
    <t>See Note 1</t>
  </si>
  <si>
    <t>Shareholder's Equity</t>
  </si>
  <si>
    <r>
      <t>Note 1</t>
    </r>
    <r>
      <rPr>
        <sz val="10"/>
        <rFont val="Arial"/>
      </rPr>
      <t xml:space="preserve"> -   The affiliate receivables and payables are presented as having been eliminated by </t>
    </r>
  </si>
  <si>
    <t xml:space="preserve">   offsetting directly against Shareholder's Equity</t>
  </si>
  <si>
    <t>Year-to-Date June 30, 2000</t>
  </si>
  <si>
    <t>June 30, 2000</t>
  </si>
  <si>
    <t>Investment in Bighorn Gas Gathering Company, L.L.C.</t>
  </si>
  <si>
    <t>Other Interest Expense 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</si>
</sst>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44" fontId="3" fillId="0" borderId="0" xfId="2" applyFont="1" applyAlignment="1">
      <alignment horizontal="center"/>
    </xf>
    <xf numFmtId="44" fontId="0" fillId="0" borderId="0" xfId="2" applyFont="1"/>
    <xf numFmtId="44" fontId="0" fillId="0" borderId="1" xfId="2" applyFont="1" applyBorder="1"/>
    <xf numFmtId="44" fontId="0" fillId="0" borderId="2" xfId="2" applyFont="1" applyBorder="1"/>
    <xf numFmtId="43" fontId="0" fillId="0" borderId="1" xfId="1" applyFont="1" applyBorder="1"/>
    <xf numFmtId="43" fontId="0" fillId="0" borderId="0" xfId="1" applyFont="1"/>
    <xf numFmtId="43" fontId="0" fillId="0" borderId="0" xfId="1" applyFont="1" applyBorder="1"/>
    <xf numFmtId="44" fontId="0" fillId="0" borderId="0" xfId="0" applyNumberFormat="1"/>
    <xf numFmtId="44" fontId="0" fillId="0" borderId="0" xfId="2" applyFont="1" applyBorder="1"/>
    <xf numFmtId="44" fontId="2" fillId="0" borderId="0" xfId="2" applyFont="1"/>
    <xf numFmtId="44" fontId="2" fillId="0" borderId="0" xfId="2" applyFont="1" applyAlignment="1">
      <alignment horizontal="center"/>
    </xf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1" xfId="0" applyNumberFormat="1" applyBorder="1"/>
    <xf numFmtId="44" fontId="2" fillId="0" borderId="2" xfId="0" applyNumberFormat="1" applyFont="1" applyBorder="1"/>
    <xf numFmtId="44" fontId="3" fillId="0" borderId="0" xfId="2" applyFont="1" applyAlignment="1">
      <alignment horizontal="center"/>
    </xf>
    <xf numFmtId="44" fontId="2" fillId="0" borderId="1" xfId="2" applyFont="1" applyBorder="1" applyAlignment="1">
      <alignment horizontal="center"/>
    </xf>
    <xf numFmtId="15" fontId="3" fillId="0" borderId="0" xfId="2" quotePrefix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abSelected="1" zoomScale="75" workbookViewId="0">
      <selection sqref="A1:H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5" width="18.42578125" style="4" hidden="1" customWidth="1"/>
    <col min="6" max="6" width="15.7109375" style="4" hidden="1" customWidth="1"/>
    <col min="7" max="7" width="21.28515625" style="4" customWidth="1"/>
    <col min="8" max="8" width="11" style="4" customWidth="1"/>
    <col min="9" max="9" width="2.42578125" customWidth="1"/>
    <col min="10" max="10" width="5" customWidth="1"/>
    <col min="11" max="11" width="16.5703125" customWidth="1"/>
    <col min="12" max="12" width="22" customWidth="1"/>
    <col min="13" max="13" width="26" hidden="1" customWidth="1"/>
    <col min="14" max="14" width="21.42578125" hidden="1" customWidth="1"/>
    <col min="15" max="15" width="22.28515625" customWidth="1"/>
  </cols>
  <sheetData>
    <row r="1" spans="1:15" ht="15" x14ac:dyDescent="0.25">
      <c r="A1" s="19" t="s">
        <v>17</v>
      </c>
      <c r="B1" s="19"/>
      <c r="C1" s="19"/>
      <c r="D1" s="19"/>
      <c r="E1" s="19"/>
      <c r="F1" s="19"/>
      <c r="G1" s="19"/>
      <c r="H1" s="19"/>
      <c r="J1" s="19" t="s">
        <v>17</v>
      </c>
      <c r="K1" s="19"/>
      <c r="L1" s="19"/>
      <c r="M1" s="19"/>
      <c r="N1" s="19"/>
      <c r="O1" s="19"/>
    </row>
    <row r="2" spans="1:15" ht="15" x14ac:dyDescent="0.25">
      <c r="A2" s="19" t="s">
        <v>0</v>
      </c>
      <c r="B2" s="19"/>
      <c r="C2" s="19"/>
      <c r="D2" s="19"/>
      <c r="E2" s="19"/>
      <c r="F2" s="19"/>
      <c r="G2" s="19"/>
      <c r="H2" s="19"/>
      <c r="J2" s="19" t="s">
        <v>18</v>
      </c>
      <c r="K2" s="19"/>
      <c r="L2" s="19"/>
      <c r="M2" s="19"/>
      <c r="N2" s="19"/>
      <c r="O2" s="19"/>
    </row>
    <row r="3" spans="1:15" ht="15" x14ac:dyDescent="0.25">
      <c r="A3" s="21" t="s">
        <v>75</v>
      </c>
      <c r="B3" s="19"/>
      <c r="C3" s="19"/>
      <c r="D3" s="19"/>
      <c r="E3" s="19"/>
      <c r="F3" s="19"/>
      <c r="G3" s="19"/>
      <c r="H3" s="19"/>
      <c r="J3" s="19" t="s">
        <v>74</v>
      </c>
      <c r="K3" s="19"/>
      <c r="L3" s="19"/>
      <c r="M3" s="19"/>
      <c r="N3" s="19"/>
      <c r="O3" s="19"/>
    </row>
    <row r="4" spans="1:15" ht="15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x14ac:dyDescent="0.2">
      <c r="D5" s="12"/>
      <c r="E5" s="20" t="s">
        <v>57</v>
      </c>
      <c r="F5" s="20"/>
      <c r="G5" s="13"/>
      <c r="H5" s="13"/>
      <c r="M5" s="8"/>
    </row>
    <row r="6" spans="1:15" ht="38.25" x14ac:dyDescent="0.2">
      <c r="D6" s="13" t="s">
        <v>56</v>
      </c>
      <c r="E6" s="14" t="s">
        <v>58</v>
      </c>
      <c r="F6" s="13" t="s">
        <v>59</v>
      </c>
      <c r="G6" s="12"/>
      <c r="H6" s="12"/>
      <c r="M6" s="13" t="s">
        <v>56</v>
      </c>
      <c r="N6" s="16" t="s">
        <v>57</v>
      </c>
      <c r="O6" s="15"/>
    </row>
    <row r="7" spans="1:15" x14ac:dyDescent="0.2">
      <c r="A7" s="1" t="s">
        <v>1</v>
      </c>
    </row>
    <row r="8" spans="1:15" x14ac:dyDescent="0.2">
      <c r="B8" t="s">
        <v>2</v>
      </c>
      <c r="J8" s="1" t="s">
        <v>22</v>
      </c>
      <c r="M8" s="4">
        <v>0</v>
      </c>
      <c r="N8" s="4">
        <v>0</v>
      </c>
      <c r="O8" s="4">
        <f>M8+N8</f>
        <v>0</v>
      </c>
    </row>
    <row r="9" spans="1:15" x14ac:dyDescent="0.2">
      <c r="C9" t="s">
        <v>8</v>
      </c>
      <c r="D9" s="5">
        <v>17187902.559999999</v>
      </c>
      <c r="E9" s="5">
        <f>-D9</f>
        <v>-17187902.559999999</v>
      </c>
      <c r="F9" s="5">
        <v>0</v>
      </c>
      <c r="G9" s="5">
        <f>D9+E9+F9</f>
        <v>0</v>
      </c>
      <c r="H9" s="11" t="s">
        <v>70</v>
      </c>
    </row>
    <row r="10" spans="1:15" x14ac:dyDescent="0.2">
      <c r="B10" t="s">
        <v>3</v>
      </c>
      <c r="D10" s="4">
        <f>SUM(D9)</f>
        <v>17187902.559999999</v>
      </c>
      <c r="E10" s="4">
        <f>SUM(E9)</f>
        <v>-17187902.559999999</v>
      </c>
      <c r="F10" s="4">
        <f>SUM(F9)</f>
        <v>0</v>
      </c>
      <c r="G10" s="4">
        <f>SUM(G9)</f>
        <v>0</v>
      </c>
      <c r="J10" s="1" t="s">
        <v>19</v>
      </c>
      <c r="M10" s="8">
        <v>0</v>
      </c>
      <c r="N10" s="8">
        <v>0</v>
      </c>
      <c r="O10" s="8">
        <f>M10+N10</f>
        <v>0</v>
      </c>
    </row>
    <row r="12" spans="1:15" x14ac:dyDescent="0.2">
      <c r="B12" t="s">
        <v>37</v>
      </c>
      <c r="D12" s="8">
        <v>2799910</v>
      </c>
      <c r="E12" s="8">
        <v>0</v>
      </c>
      <c r="F12" s="8">
        <v>0</v>
      </c>
      <c r="G12" s="9">
        <f>D12+E12+F12</f>
        <v>2799910</v>
      </c>
      <c r="H12" s="9"/>
      <c r="J12" s="1" t="s">
        <v>20</v>
      </c>
      <c r="M12" s="9">
        <v>-52977.71</v>
      </c>
      <c r="N12" s="9">
        <v>52977.71</v>
      </c>
      <c r="O12" s="9">
        <f>M12+N12</f>
        <v>0</v>
      </c>
    </row>
    <row r="13" spans="1:15" x14ac:dyDescent="0.2">
      <c r="D13" s="8"/>
      <c r="E13" s="8"/>
      <c r="F13" s="8"/>
      <c r="G13" s="8"/>
      <c r="H13" s="8"/>
      <c r="M13" s="2"/>
      <c r="N13" s="2"/>
      <c r="O13" s="2"/>
    </row>
    <row r="14" spans="1:15" x14ac:dyDescent="0.2">
      <c r="B14" t="s">
        <v>4</v>
      </c>
      <c r="D14" s="8">
        <v>29619.23</v>
      </c>
      <c r="E14" s="8">
        <v>0</v>
      </c>
      <c r="F14" s="8">
        <v>0</v>
      </c>
      <c r="G14" s="9">
        <f>D14+E14+F14</f>
        <v>29619.23</v>
      </c>
      <c r="H14" s="9"/>
      <c r="J14" s="1" t="s">
        <v>21</v>
      </c>
      <c r="M14" s="4">
        <f>M12*-1</f>
        <v>52977.71</v>
      </c>
      <c r="N14" s="4">
        <f>N12*-1</f>
        <v>-52977.71</v>
      </c>
      <c r="O14" s="4">
        <f>O12*-1</f>
        <v>0</v>
      </c>
    </row>
    <row r="15" spans="1:15" x14ac:dyDescent="0.2">
      <c r="M15" s="8"/>
      <c r="N15" s="8"/>
      <c r="O15" s="8"/>
    </row>
    <row r="16" spans="1:15" ht="13.5" thickBot="1" x14ac:dyDescent="0.25">
      <c r="A16" s="1" t="s">
        <v>5</v>
      </c>
      <c r="D16" s="6">
        <f>SUM(D10:D14)</f>
        <v>20017431.789999999</v>
      </c>
      <c r="E16" s="6">
        <f>SUM(E10:E14)</f>
        <v>-17187902.559999999</v>
      </c>
      <c r="F16" s="6">
        <f>SUM(F10:F14)</f>
        <v>0</v>
      </c>
      <c r="G16" s="6">
        <f>SUM(G10:G14)</f>
        <v>2829529.23</v>
      </c>
      <c r="H16" s="11"/>
      <c r="J16" s="1" t="s">
        <v>23</v>
      </c>
      <c r="M16" s="8">
        <v>-90</v>
      </c>
      <c r="N16" s="8">
        <v>0</v>
      </c>
      <c r="O16" s="8">
        <f>M16+N16</f>
        <v>-90</v>
      </c>
    </row>
    <row r="17" spans="1:15" ht="13.5" thickTop="1" x14ac:dyDescent="0.2">
      <c r="M17" s="8"/>
      <c r="N17" s="8"/>
      <c r="O17" s="8"/>
    </row>
    <row r="18" spans="1:15" x14ac:dyDescent="0.2">
      <c r="J18" s="1" t="s">
        <v>66</v>
      </c>
      <c r="M18" s="8">
        <v>0</v>
      </c>
      <c r="N18" s="8">
        <v>52977.71</v>
      </c>
      <c r="O18" s="8">
        <f>M18+N18</f>
        <v>52977.71</v>
      </c>
    </row>
    <row r="19" spans="1:15" x14ac:dyDescent="0.2">
      <c r="A19" s="1" t="s">
        <v>6</v>
      </c>
    </row>
    <row r="20" spans="1:15" x14ac:dyDescent="0.2">
      <c r="B20" t="s">
        <v>7</v>
      </c>
      <c r="J20" s="1" t="s">
        <v>24</v>
      </c>
      <c r="M20" s="8"/>
      <c r="N20" s="8"/>
      <c r="O20" s="8"/>
    </row>
    <row r="21" spans="1:15" x14ac:dyDescent="0.2">
      <c r="C21" t="s">
        <v>28</v>
      </c>
      <c r="D21" s="4">
        <v>4490215</v>
      </c>
      <c r="E21" s="4">
        <f>-D21-F21</f>
        <v>-4498792</v>
      </c>
      <c r="F21" s="4">
        <v>8577</v>
      </c>
      <c r="G21" s="11">
        <f>D21+E21+F21</f>
        <v>0</v>
      </c>
      <c r="H21" s="11" t="s">
        <v>70</v>
      </c>
      <c r="K21" t="s">
        <v>25</v>
      </c>
      <c r="M21" s="4">
        <v>139895</v>
      </c>
      <c r="N21" s="4">
        <v>73884</v>
      </c>
      <c r="O21" s="4">
        <f>M21+N21</f>
        <v>213779</v>
      </c>
    </row>
    <row r="22" spans="1:15" x14ac:dyDescent="0.2">
      <c r="C22" t="s">
        <v>10</v>
      </c>
      <c r="D22" s="8">
        <v>2626.04</v>
      </c>
      <c r="E22" s="8">
        <v>0</v>
      </c>
      <c r="F22" s="8">
        <v>0</v>
      </c>
      <c r="G22" s="9">
        <f>D22+E22+F22</f>
        <v>2626.04</v>
      </c>
      <c r="H22" s="9"/>
      <c r="K22" t="s">
        <v>26</v>
      </c>
      <c r="M22" s="7">
        <v>73884</v>
      </c>
      <c r="N22" s="7">
        <v>-73884</v>
      </c>
      <c r="O22" s="7">
        <f>+M22+N22</f>
        <v>0</v>
      </c>
    </row>
    <row r="23" spans="1:15" x14ac:dyDescent="0.2">
      <c r="C23" t="s">
        <v>11</v>
      </c>
      <c r="D23" s="4">
        <v>0</v>
      </c>
      <c r="E23" s="8">
        <v>0</v>
      </c>
      <c r="F23" s="8">
        <v>0</v>
      </c>
      <c r="G23" s="9">
        <f>D23+E23+F23</f>
        <v>0</v>
      </c>
      <c r="H23" s="9"/>
      <c r="J23" s="1" t="s">
        <v>27</v>
      </c>
      <c r="M23" s="4">
        <f>SUM(M21:M22)</f>
        <v>213779</v>
      </c>
      <c r="N23" s="4">
        <f>SUM(N21:N22)</f>
        <v>0</v>
      </c>
      <c r="O23" s="4">
        <f>SUM(O21:O22)</f>
        <v>213779</v>
      </c>
    </row>
    <row r="24" spans="1:15" x14ac:dyDescent="0.2">
      <c r="C24" t="s">
        <v>12</v>
      </c>
      <c r="D24" s="7">
        <v>-32</v>
      </c>
      <c r="E24" s="7">
        <v>0</v>
      </c>
      <c r="F24" s="7">
        <v>-8577</v>
      </c>
      <c r="G24" s="7">
        <f>D24+E24+F24</f>
        <v>-8609</v>
      </c>
      <c r="H24" s="9"/>
      <c r="J24" s="1"/>
      <c r="M24" s="7"/>
      <c r="N24" s="7"/>
      <c r="O24" s="7"/>
    </row>
    <row r="25" spans="1:15" x14ac:dyDescent="0.2">
      <c r="B25" t="s">
        <v>13</v>
      </c>
      <c r="D25" s="4">
        <f>SUM(D21:D24)</f>
        <v>4492809.04</v>
      </c>
      <c r="E25" s="4">
        <f>SUM(E21:E24)</f>
        <v>-4498792</v>
      </c>
      <c r="F25" s="4">
        <f>SUM(F21:F24)</f>
        <v>0</v>
      </c>
      <c r="G25" s="4">
        <f>SUM(G21:G24)</f>
        <v>-5982.96</v>
      </c>
      <c r="J25" s="1" t="s">
        <v>32</v>
      </c>
      <c r="M25" s="10">
        <f>M14+M16-M23+M18</f>
        <v>-160891.29</v>
      </c>
      <c r="N25" s="10">
        <f>N14+N16-N23+N18</f>
        <v>0</v>
      </c>
      <c r="O25" s="10">
        <f>O14+O16-O23+O18</f>
        <v>-160891.29</v>
      </c>
    </row>
    <row r="27" spans="1:15" x14ac:dyDescent="0.2">
      <c r="B27" t="s">
        <v>14</v>
      </c>
      <c r="D27" s="8">
        <v>3465000</v>
      </c>
      <c r="E27" s="8">
        <v>0</v>
      </c>
      <c r="F27" s="8">
        <v>0</v>
      </c>
      <c r="G27" s="9">
        <f>D27+E27+F27</f>
        <v>3465000</v>
      </c>
      <c r="H27" s="9"/>
      <c r="J27" s="1" t="s">
        <v>33</v>
      </c>
      <c r="M27" s="8"/>
      <c r="N27" s="8"/>
      <c r="O27" s="8"/>
    </row>
    <row r="28" spans="1:15" x14ac:dyDescent="0.2">
      <c r="K28" t="s">
        <v>29</v>
      </c>
      <c r="M28" s="4">
        <v>-56280</v>
      </c>
      <c r="N28" s="4">
        <v>8577</v>
      </c>
      <c r="O28" s="4">
        <f>M28+N28</f>
        <v>-47703</v>
      </c>
    </row>
    <row r="29" spans="1:15" x14ac:dyDescent="0.2">
      <c r="B29" t="s">
        <v>15</v>
      </c>
      <c r="D29" s="8">
        <v>12059622.75</v>
      </c>
      <c r="E29" s="8">
        <f>E16-E25-E27</f>
        <v>-12689110.559999999</v>
      </c>
      <c r="F29" s="8">
        <f>F16-F25-F27</f>
        <v>0</v>
      </c>
      <c r="G29" s="8">
        <f>G16-G25-G27</f>
        <v>-629487.81000000006</v>
      </c>
      <c r="H29" s="8"/>
      <c r="K29" t="s">
        <v>30</v>
      </c>
      <c r="M29" s="7">
        <v>-32</v>
      </c>
      <c r="N29" s="7">
        <v>-8577</v>
      </c>
      <c r="O29" s="7">
        <f>+M29+N29</f>
        <v>-8609</v>
      </c>
    </row>
    <row r="30" spans="1:15" x14ac:dyDescent="0.2">
      <c r="J30" s="1" t="s">
        <v>31</v>
      </c>
      <c r="M30" s="4">
        <f>SUM(M28:M29)</f>
        <v>-56312</v>
      </c>
      <c r="N30" s="4">
        <f>SUM(N28:N29)</f>
        <v>0</v>
      </c>
      <c r="O30" s="4">
        <f>SUM(O28:O29)</f>
        <v>-56312</v>
      </c>
    </row>
    <row r="31" spans="1:15" ht="13.5" thickBot="1" x14ac:dyDescent="0.25">
      <c r="A31" s="1" t="s">
        <v>16</v>
      </c>
      <c r="D31" s="6">
        <f>SUM(D25:D29)</f>
        <v>20017431.789999999</v>
      </c>
      <c r="E31" s="6">
        <f>SUM(E25:E29)</f>
        <v>-17187902.559999999</v>
      </c>
      <c r="F31" s="6">
        <f>SUM(F25:F29)</f>
        <v>0</v>
      </c>
      <c r="G31" s="6">
        <f>SUM(G25:G29)</f>
        <v>2829529.23</v>
      </c>
      <c r="H31" s="11"/>
    </row>
    <row r="32" spans="1:15" ht="14.25" thickTop="1" thickBot="1" x14ac:dyDescent="0.25">
      <c r="J32" s="1" t="s">
        <v>34</v>
      </c>
      <c r="M32" s="6">
        <f>M25-M30</f>
        <v>-104579.29000000001</v>
      </c>
      <c r="N32" s="6">
        <f>N25-N30</f>
        <v>0</v>
      </c>
      <c r="O32" s="6">
        <f>O25-O30</f>
        <v>-104579.29000000001</v>
      </c>
    </row>
    <row r="33" spans="1:13" ht="13.5" thickTop="1" x14ac:dyDescent="0.2">
      <c r="M33" s="8"/>
    </row>
    <row r="34" spans="1:13" x14ac:dyDescent="0.2">
      <c r="A34" s="1" t="s">
        <v>49</v>
      </c>
      <c r="M34" s="8"/>
    </row>
    <row r="35" spans="1:13" x14ac:dyDescent="0.2">
      <c r="B35" t="s">
        <v>53</v>
      </c>
      <c r="D35" s="4">
        <f>1216.42+(0.0001*M32)</f>
        <v>1205.9620710000002</v>
      </c>
      <c r="E35" s="4">
        <f>(0.0001*E29)</f>
        <v>-1268.9110559999999</v>
      </c>
      <c r="F35" s="4">
        <f>(0.0001*F29)</f>
        <v>0</v>
      </c>
      <c r="G35" s="11">
        <f>D35+E35+F35</f>
        <v>-62.948984999999766</v>
      </c>
      <c r="H35" s="11"/>
      <c r="M35" s="8"/>
    </row>
    <row r="36" spans="1:13" x14ac:dyDescent="0.2">
      <c r="B36" t="s">
        <v>54</v>
      </c>
      <c r="D36" s="7">
        <f>12162985.62+(0.9999*M32)</f>
        <v>12058416.787928998</v>
      </c>
      <c r="E36" s="7">
        <f>(0.9999*E29)</f>
        <v>-12687841.648943998</v>
      </c>
      <c r="F36" s="7">
        <f>(0.9999*F29)</f>
        <v>0</v>
      </c>
      <c r="G36" s="7">
        <f>D36+E36+F36</f>
        <v>-629424.86101499945</v>
      </c>
      <c r="H36" s="9"/>
      <c r="M36" s="8"/>
    </row>
    <row r="37" spans="1:13" ht="13.5" thickBot="1" x14ac:dyDescent="0.25">
      <c r="A37" s="1" t="s">
        <v>52</v>
      </c>
      <c r="D37" s="6">
        <f>SUM(D35:D36)</f>
        <v>12059622.749999998</v>
      </c>
      <c r="E37" s="6">
        <f>SUM(E35:E36)</f>
        <v>-12689110.559999999</v>
      </c>
      <c r="F37" s="6">
        <f>SUM(F35:F36)</f>
        <v>0</v>
      </c>
      <c r="G37" s="6">
        <f>SUM(G35:G36)</f>
        <v>-629487.80999999947</v>
      </c>
      <c r="H37" s="11"/>
      <c r="M37" s="8"/>
    </row>
    <row r="38" spans="1:13" ht="13.5" thickTop="1" x14ac:dyDescent="0.2">
      <c r="M38" s="8"/>
    </row>
    <row r="39" spans="1:13" x14ac:dyDescent="0.2">
      <c r="A39" s="1" t="s">
        <v>72</v>
      </c>
      <c r="M39" s="8"/>
    </row>
    <row r="40" spans="1:13" x14ac:dyDescent="0.2">
      <c r="C40" t="s">
        <v>73</v>
      </c>
      <c r="M40" s="8"/>
    </row>
    <row r="41" spans="1:13" x14ac:dyDescent="0.2">
      <c r="M41" s="8"/>
    </row>
    <row r="42" spans="1:13" x14ac:dyDescent="0.2">
      <c r="M42" s="8"/>
    </row>
    <row r="43" spans="1:13" x14ac:dyDescent="0.2">
      <c r="M43" s="8"/>
    </row>
    <row r="44" spans="1:13" x14ac:dyDescent="0.2">
      <c r="M44" s="8"/>
    </row>
    <row r="45" spans="1:13" x14ac:dyDescent="0.2">
      <c r="M45" s="8"/>
    </row>
    <row r="46" spans="1:13" x14ac:dyDescent="0.2">
      <c r="M46" s="8"/>
    </row>
    <row r="47" spans="1:13" x14ac:dyDescent="0.2">
      <c r="M47" s="8"/>
    </row>
    <row r="48" spans="1:13" x14ac:dyDescent="0.2">
      <c r="M48" s="8"/>
    </row>
    <row r="49" spans="13:13" x14ac:dyDescent="0.2">
      <c r="M49" s="8"/>
    </row>
    <row r="50" spans="13:13" x14ac:dyDescent="0.2">
      <c r="M50" s="8"/>
    </row>
    <row r="51" spans="13:13" x14ac:dyDescent="0.2">
      <c r="M51" s="8"/>
    </row>
    <row r="52" spans="13:13" x14ac:dyDescent="0.2">
      <c r="M52" s="8"/>
    </row>
    <row r="53" spans="13:13" x14ac:dyDescent="0.2">
      <c r="M53" s="8"/>
    </row>
    <row r="54" spans="13:13" x14ac:dyDescent="0.2">
      <c r="M54" s="8"/>
    </row>
    <row r="55" spans="13:13" x14ac:dyDescent="0.2">
      <c r="M55" s="8"/>
    </row>
    <row r="56" spans="13:13" x14ac:dyDescent="0.2">
      <c r="M56" s="8"/>
    </row>
    <row r="57" spans="13:13" x14ac:dyDescent="0.2">
      <c r="M57" s="8"/>
    </row>
    <row r="58" spans="13:13" x14ac:dyDescent="0.2">
      <c r="M58" s="8"/>
    </row>
    <row r="59" spans="13:13" x14ac:dyDescent="0.2">
      <c r="M59" s="8"/>
    </row>
    <row r="60" spans="13:13" x14ac:dyDescent="0.2">
      <c r="M60" s="8"/>
    </row>
    <row r="61" spans="13:13" x14ac:dyDescent="0.2">
      <c r="M61" s="8"/>
    </row>
    <row r="62" spans="13:13" x14ac:dyDescent="0.2">
      <c r="M62" s="8"/>
    </row>
    <row r="63" spans="13:13" x14ac:dyDescent="0.2">
      <c r="M63" s="8"/>
    </row>
    <row r="64" spans="13:13" x14ac:dyDescent="0.2">
      <c r="M64" s="8"/>
    </row>
    <row r="65" spans="13:13" x14ac:dyDescent="0.2">
      <c r="M65" s="8"/>
    </row>
    <row r="66" spans="13:13" x14ac:dyDescent="0.2">
      <c r="M66" s="8"/>
    </row>
    <row r="67" spans="13:13" x14ac:dyDescent="0.2">
      <c r="M67" s="8"/>
    </row>
    <row r="68" spans="13:13" x14ac:dyDescent="0.2">
      <c r="M68" s="8"/>
    </row>
    <row r="69" spans="13:13" x14ac:dyDescent="0.2">
      <c r="M69" s="8"/>
    </row>
    <row r="70" spans="13:13" x14ac:dyDescent="0.2">
      <c r="M70" s="8"/>
    </row>
    <row r="71" spans="13:13" x14ac:dyDescent="0.2">
      <c r="M71" s="8"/>
    </row>
    <row r="72" spans="13:13" x14ac:dyDescent="0.2">
      <c r="M72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rintOptions horizontalCentered="1"/>
  <pageMargins left="0.5" right="0.5" top="1.25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75" workbookViewId="0">
      <selection activeCell="J1" sqref="J1:O35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0.28515625" style="4" hidden="1" customWidth="1"/>
    <col min="5" max="6" width="18.42578125" style="4" hidden="1" customWidth="1"/>
    <col min="7" max="7" width="20.5703125" style="4" customWidth="1"/>
    <col min="8" max="8" width="12.28515625" style="4" customWidth="1"/>
    <col min="9" max="9" width="2.42578125" customWidth="1"/>
    <col min="10" max="10" width="5" customWidth="1"/>
    <col min="11" max="11" width="16.5703125" customWidth="1"/>
    <col min="12" max="12" width="22" customWidth="1"/>
    <col min="13" max="13" width="24.28515625" hidden="1" customWidth="1"/>
    <col min="14" max="14" width="17.7109375" hidden="1" customWidth="1"/>
    <col min="15" max="15" width="19.42578125" customWidth="1"/>
  </cols>
  <sheetData>
    <row r="1" spans="1:15" ht="15" x14ac:dyDescent="0.25">
      <c r="A1" s="19" t="s">
        <v>35</v>
      </c>
      <c r="B1" s="19"/>
      <c r="C1" s="19"/>
      <c r="D1" s="19"/>
      <c r="E1" s="19"/>
      <c r="F1" s="19"/>
      <c r="G1" s="19"/>
      <c r="H1" s="19"/>
      <c r="J1" s="19" t="s">
        <v>35</v>
      </c>
      <c r="K1" s="19"/>
      <c r="L1" s="19"/>
      <c r="M1" s="19"/>
      <c r="N1" s="19"/>
      <c r="O1" s="19"/>
    </row>
    <row r="2" spans="1:15" ht="15" x14ac:dyDescent="0.25">
      <c r="A2" s="19" t="s">
        <v>0</v>
      </c>
      <c r="B2" s="19"/>
      <c r="C2" s="19"/>
      <c r="D2" s="19"/>
      <c r="E2" s="19"/>
      <c r="F2" s="19"/>
      <c r="G2" s="19"/>
      <c r="H2" s="19"/>
      <c r="J2" s="19" t="s">
        <v>18</v>
      </c>
      <c r="K2" s="19"/>
      <c r="L2" s="19"/>
      <c r="M2" s="19"/>
      <c r="N2" s="19"/>
      <c r="O2" s="19"/>
    </row>
    <row r="3" spans="1:15" ht="15" x14ac:dyDescent="0.25">
      <c r="A3" s="21" t="s">
        <v>75</v>
      </c>
      <c r="B3" s="19"/>
      <c r="C3" s="19"/>
      <c r="D3" s="19"/>
      <c r="E3" s="19"/>
      <c r="F3" s="19"/>
      <c r="G3" s="19"/>
      <c r="H3" s="19"/>
      <c r="J3" s="19" t="s">
        <v>74</v>
      </c>
      <c r="K3" s="19"/>
      <c r="L3" s="19"/>
      <c r="M3" s="19"/>
      <c r="N3" s="19"/>
      <c r="O3" s="19"/>
    </row>
    <row r="4" spans="1:15" ht="15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ht="15" x14ac:dyDescent="0.25">
      <c r="A5" s="3"/>
      <c r="B5" s="3"/>
      <c r="C5" s="3"/>
      <c r="D5" s="12"/>
      <c r="E5" s="20" t="s">
        <v>57</v>
      </c>
      <c r="F5" s="20"/>
      <c r="G5" s="13"/>
      <c r="H5" s="13"/>
      <c r="J5" s="3"/>
      <c r="K5" s="3"/>
      <c r="L5" s="3"/>
      <c r="M5" s="3"/>
    </row>
    <row r="6" spans="1:15" ht="39" x14ac:dyDescent="0.25">
      <c r="A6" s="3"/>
      <c r="B6" s="3"/>
      <c r="C6" s="3"/>
      <c r="D6" s="13" t="s">
        <v>56</v>
      </c>
      <c r="E6" s="14" t="s">
        <v>58</v>
      </c>
      <c r="F6" s="13" t="s">
        <v>59</v>
      </c>
      <c r="G6" s="12"/>
      <c r="H6" s="12"/>
      <c r="J6" s="3"/>
      <c r="K6" s="3"/>
      <c r="L6" s="3"/>
      <c r="M6" s="13" t="s">
        <v>56</v>
      </c>
      <c r="N6" s="16" t="s">
        <v>57</v>
      </c>
      <c r="O6" s="15"/>
    </row>
    <row r="7" spans="1:15" x14ac:dyDescent="0.2">
      <c r="M7" s="8"/>
    </row>
    <row r="8" spans="1:15" x14ac:dyDescent="0.2">
      <c r="A8" s="1" t="s">
        <v>1</v>
      </c>
    </row>
    <row r="9" spans="1:15" x14ac:dyDescent="0.2">
      <c r="B9" t="s">
        <v>2</v>
      </c>
      <c r="J9" s="1" t="s">
        <v>22</v>
      </c>
      <c r="M9" s="4">
        <v>0</v>
      </c>
      <c r="N9" s="4">
        <v>0</v>
      </c>
      <c r="O9" s="10">
        <f>M9+N9</f>
        <v>0</v>
      </c>
    </row>
    <row r="10" spans="1:15" x14ac:dyDescent="0.2">
      <c r="C10" t="s">
        <v>8</v>
      </c>
      <c r="D10" s="5">
        <v>31897570.949999999</v>
      </c>
      <c r="E10" s="5">
        <f>-D10</f>
        <v>-31897570.949999999</v>
      </c>
      <c r="F10" s="5">
        <v>0</v>
      </c>
      <c r="G10" s="5">
        <f>D10+E10+F10</f>
        <v>0</v>
      </c>
      <c r="H10" s="11" t="s">
        <v>70</v>
      </c>
    </row>
    <row r="11" spans="1:15" x14ac:dyDescent="0.2">
      <c r="B11" t="s">
        <v>3</v>
      </c>
      <c r="D11" s="4">
        <f>SUM(D10)</f>
        <v>31897570.949999999</v>
      </c>
      <c r="E11" s="4">
        <f>SUM(E10)</f>
        <v>-31897570.949999999</v>
      </c>
      <c r="F11" s="4">
        <f>SUM(F10)</f>
        <v>0</v>
      </c>
      <c r="G11" s="4">
        <f>SUM(G10)</f>
        <v>0</v>
      </c>
      <c r="J11" s="1" t="s">
        <v>19</v>
      </c>
      <c r="M11" s="8">
        <v>0</v>
      </c>
      <c r="N11" s="8">
        <v>0</v>
      </c>
      <c r="O11" s="10">
        <f>M11+N11</f>
        <v>0</v>
      </c>
    </row>
    <row r="13" spans="1:15" x14ac:dyDescent="0.2">
      <c r="B13" t="s">
        <v>38</v>
      </c>
      <c r="D13" s="8">
        <v>2686684</v>
      </c>
      <c r="E13" s="8">
        <v>0</v>
      </c>
      <c r="F13" s="8">
        <v>-54918</v>
      </c>
      <c r="G13" s="8">
        <f>D13+E13+F13</f>
        <v>2631766</v>
      </c>
      <c r="H13" s="8"/>
      <c r="J13" s="1" t="s">
        <v>20</v>
      </c>
      <c r="M13" s="9">
        <v>-376.84</v>
      </c>
      <c r="N13" s="8">
        <v>0</v>
      </c>
      <c r="O13" s="10">
        <f>M13+N13</f>
        <v>-376.84</v>
      </c>
    </row>
    <row r="14" spans="1:15" x14ac:dyDescent="0.2">
      <c r="D14" s="8"/>
      <c r="E14" s="8"/>
      <c r="F14" s="8"/>
      <c r="G14" s="8"/>
      <c r="H14" s="8"/>
      <c r="M14" s="2"/>
      <c r="N14" s="2"/>
      <c r="O14" s="2"/>
    </row>
    <row r="15" spans="1:15" x14ac:dyDescent="0.2">
      <c r="B15" t="s">
        <v>4</v>
      </c>
      <c r="D15" s="8">
        <v>0</v>
      </c>
      <c r="E15" s="8">
        <v>0</v>
      </c>
      <c r="F15" s="8">
        <v>0</v>
      </c>
      <c r="G15" s="8">
        <f>D15+E15+F15</f>
        <v>0</v>
      </c>
      <c r="H15" s="8"/>
      <c r="J15" s="1" t="s">
        <v>21</v>
      </c>
      <c r="M15" s="4">
        <f>M13*-1</f>
        <v>376.84</v>
      </c>
      <c r="N15" s="4">
        <f>N13*-1</f>
        <v>0</v>
      </c>
      <c r="O15" s="4">
        <f>O13*-1</f>
        <v>376.84</v>
      </c>
    </row>
    <row r="16" spans="1:15" x14ac:dyDescent="0.2">
      <c r="M16" s="8"/>
    </row>
    <row r="17" spans="1:15" ht="13.5" thickBot="1" x14ac:dyDescent="0.25">
      <c r="A17" s="1" t="s">
        <v>5</v>
      </c>
      <c r="D17" s="6">
        <f>SUM(D11:D15)</f>
        <v>34584254.950000003</v>
      </c>
      <c r="E17" s="6">
        <f>SUM(E11:E15)</f>
        <v>-31897570.949999999</v>
      </c>
      <c r="F17" s="6">
        <f>SUM(F11:F15)</f>
        <v>-54918</v>
      </c>
      <c r="G17" s="6">
        <f>SUM(G11:G15)</f>
        <v>2631766</v>
      </c>
      <c r="H17" s="11"/>
      <c r="J17" s="1" t="s">
        <v>23</v>
      </c>
      <c r="M17" s="8">
        <v>1536170</v>
      </c>
      <c r="N17" s="8">
        <v>-54918</v>
      </c>
      <c r="O17" s="10">
        <f>M17+N17</f>
        <v>1481252</v>
      </c>
    </row>
    <row r="18" spans="1:15" ht="13.5" thickTop="1" x14ac:dyDescent="0.2">
      <c r="M18" s="8"/>
    </row>
    <row r="19" spans="1:15" x14ac:dyDescent="0.2">
      <c r="J19" s="1" t="s">
        <v>66</v>
      </c>
      <c r="M19" s="8">
        <v>0</v>
      </c>
      <c r="N19" s="8">
        <v>0</v>
      </c>
      <c r="O19" s="8">
        <f>M19+N19</f>
        <v>0</v>
      </c>
    </row>
    <row r="20" spans="1:15" x14ac:dyDescent="0.2">
      <c r="A20" s="1" t="s">
        <v>6</v>
      </c>
    </row>
    <row r="21" spans="1:15" x14ac:dyDescent="0.2">
      <c r="B21" t="s">
        <v>7</v>
      </c>
      <c r="J21" s="1" t="s">
        <v>24</v>
      </c>
      <c r="M21" s="8"/>
    </row>
    <row r="22" spans="1:15" x14ac:dyDescent="0.2">
      <c r="C22" t="s">
        <v>28</v>
      </c>
      <c r="D22" s="4">
        <v>3357261</v>
      </c>
      <c r="E22" s="4">
        <f>-D22-F22</f>
        <v>-3372480</v>
      </c>
      <c r="F22" s="4">
        <f>-19221+34440</f>
        <v>15219</v>
      </c>
      <c r="G22" s="4">
        <f>D22+E22+F22</f>
        <v>0</v>
      </c>
      <c r="H22" s="11" t="s">
        <v>70</v>
      </c>
      <c r="K22" t="s">
        <v>25</v>
      </c>
      <c r="M22" s="4">
        <v>104204</v>
      </c>
      <c r="N22" s="4">
        <v>0</v>
      </c>
      <c r="O22" s="10">
        <f>M22+N22</f>
        <v>104204</v>
      </c>
    </row>
    <row r="23" spans="1:15" x14ac:dyDescent="0.2">
      <c r="C23" t="s">
        <v>10</v>
      </c>
      <c r="D23" s="8">
        <v>4216.16</v>
      </c>
      <c r="E23" s="8">
        <v>0</v>
      </c>
      <c r="F23" s="8">
        <v>0</v>
      </c>
      <c r="G23" s="8">
        <f>D23+E23+F23</f>
        <v>4216.16</v>
      </c>
      <c r="H23" s="8"/>
      <c r="K23" t="s">
        <v>26</v>
      </c>
      <c r="M23" s="7">
        <v>0</v>
      </c>
      <c r="N23" s="7">
        <v>0</v>
      </c>
      <c r="O23" s="17">
        <f>M23+N23</f>
        <v>0</v>
      </c>
    </row>
    <row r="24" spans="1:15" x14ac:dyDescent="0.2">
      <c r="C24" t="s">
        <v>11</v>
      </c>
      <c r="D24" s="8">
        <v>0</v>
      </c>
      <c r="E24" s="8">
        <v>0</v>
      </c>
      <c r="F24" s="8">
        <v>0</v>
      </c>
      <c r="G24" s="8">
        <f>D24+E24+F24</f>
        <v>0</v>
      </c>
      <c r="H24" s="8"/>
      <c r="J24" s="1" t="s">
        <v>27</v>
      </c>
      <c r="M24" s="4">
        <f>SUM(M22:M23)</f>
        <v>104204</v>
      </c>
      <c r="N24" s="4">
        <f>SUM(N22:N23)</f>
        <v>0</v>
      </c>
      <c r="O24" s="4">
        <f>SUM(O22:O23)</f>
        <v>104204</v>
      </c>
    </row>
    <row r="25" spans="1:15" x14ac:dyDescent="0.2">
      <c r="C25" t="s">
        <v>12</v>
      </c>
      <c r="D25" s="7">
        <v>537660</v>
      </c>
      <c r="E25" s="7">
        <v>0</v>
      </c>
      <c r="F25" s="7">
        <f>-34440</f>
        <v>-34440</v>
      </c>
      <c r="G25" s="7">
        <f>D25+E25+F25</f>
        <v>503220</v>
      </c>
      <c r="H25" s="9"/>
      <c r="J25" s="1"/>
      <c r="M25" s="7"/>
      <c r="N25" s="2"/>
      <c r="O25" s="2"/>
    </row>
    <row r="26" spans="1:15" x14ac:dyDescent="0.2">
      <c r="B26" t="s">
        <v>13</v>
      </c>
      <c r="D26" s="4">
        <f>SUM(D22:D25)</f>
        <v>3899137.16</v>
      </c>
      <c r="E26" s="4">
        <f>SUM(E22:E25)</f>
        <v>-3372480</v>
      </c>
      <c r="F26" s="4">
        <f>SUM(F22:F25)</f>
        <v>-19221</v>
      </c>
      <c r="G26" s="4">
        <f>SUM(G22:G25)</f>
        <v>507436.16</v>
      </c>
      <c r="J26" s="1" t="s">
        <v>32</v>
      </c>
      <c r="M26" s="10">
        <f>M15+M17-M24+M19</f>
        <v>1432342.84</v>
      </c>
      <c r="N26" s="10">
        <f>N15+N17-N24+N19</f>
        <v>-54918</v>
      </c>
      <c r="O26" s="10">
        <f>O15+O17-O24+O19</f>
        <v>1377424.84</v>
      </c>
    </row>
    <row r="28" spans="1:15" x14ac:dyDescent="0.2">
      <c r="B28" t="s">
        <v>14</v>
      </c>
      <c r="D28" s="8">
        <v>0</v>
      </c>
      <c r="E28" s="8">
        <v>0</v>
      </c>
      <c r="F28" s="8">
        <v>0</v>
      </c>
      <c r="G28" s="8">
        <f>D28+E28+F28</f>
        <v>0</v>
      </c>
      <c r="H28" s="8"/>
      <c r="J28" s="1" t="s">
        <v>33</v>
      </c>
      <c r="M28" s="8"/>
    </row>
    <row r="29" spans="1:15" x14ac:dyDescent="0.2">
      <c r="K29" t="s">
        <v>29</v>
      </c>
      <c r="M29" s="4">
        <v>-36339</v>
      </c>
      <c r="N29" s="4">
        <f>-19221+34440</f>
        <v>15219</v>
      </c>
      <c r="O29" s="10">
        <f>M29+N29</f>
        <v>-21120</v>
      </c>
    </row>
    <row r="30" spans="1:15" x14ac:dyDescent="0.2">
      <c r="B30" t="s">
        <v>15</v>
      </c>
      <c r="D30" s="8">
        <v>30685117.789999999</v>
      </c>
      <c r="E30" s="8">
        <f>E17-E26-E28</f>
        <v>-28525090.949999999</v>
      </c>
      <c r="F30" s="8">
        <f>F17-F26-F28</f>
        <v>-35697</v>
      </c>
      <c r="G30" s="8">
        <f>D30+E30+F30</f>
        <v>2124329.84</v>
      </c>
      <c r="H30" s="8"/>
      <c r="K30" t="s">
        <v>30</v>
      </c>
      <c r="M30" s="7">
        <v>537660</v>
      </c>
      <c r="N30" s="7">
        <v>-34440</v>
      </c>
      <c r="O30" s="17">
        <f>M30+N30</f>
        <v>503220</v>
      </c>
    </row>
    <row r="31" spans="1:15" x14ac:dyDescent="0.2">
      <c r="J31" s="1" t="s">
        <v>31</v>
      </c>
      <c r="M31" s="4">
        <f>SUM(M29:M30)</f>
        <v>501321</v>
      </c>
      <c r="N31" s="4">
        <f>SUM(N29:N30)</f>
        <v>-19221</v>
      </c>
      <c r="O31" s="4">
        <f>SUM(O29:O30)</f>
        <v>482100</v>
      </c>
    </row>
    <row r="32" spans="1:15" ht="13.5" thickBot="1" x14ac:dyDescent="0.25">
      <c r="A32" s="1" t="s">
        <v>16</v>
      </c>
      <c r="D32" s="6">
        <f>SUM(D26:D30)</f>
        <v>34584254.950000003</v>
      </c>
      <c r="E32" s="6">
        <f>SUM(E26:E30)</f>
        <v>-31897570.949999999</v>
      </c>
      <c r="F32" s="6">
        <f>SUM(F26:F30)</f>
        <v>-54918</v>
      </c>
      <c r="G32" s="6">
        <f>SUM(G26:G30)</f>
        <v>2631766</v>
      </c>
      <c r="H32" s="11"/>
    </row>
    <row r="33" spans="1:15" ht="14.25" thickTop="1" thickBot="1" x14ac:dyDescent="0.25">
      <c r="J33" s="1" t="s">
        <v>34</v>
      </c>
      <c r="M33" s="6">
        <f>M26-M31</f>
        <v>931021.84000000008</v>
      </c>
      <c r="N33" s="6">
        <f>N26-N31</f>
        <v>-35697</v>
      </c>
      <c r="O33" s="6">
        <f>O26-O31</f>
        <v>895324.84000000008</v>
      </c>
    </row>
    <row r="34" spans="1:15" ht="13.5" thickTop="1" x14ac:dyDescent="0.2">
      <c r="M34" s="8"/>
    </row>
    <row r="35" spans="1:15" x14ac:dyDescent="0.2">
      <c r="A35" s="1" t="s">
        <v>49</v>
      </c>
      <c r="M35" s="8"/>
    </row>
    <row r="36" spans="1:15" x14ac:dyDescent="0.2">
      <c r="B36" t="s">
        <v>50</v>
      </c>
      <c r="D36" s="4">
        <v>3068.5121839999997</v>
      </c>
      <c r="E36" s="4">
        <f>0.0001*E30</f>
        <v>-2852.5090949999999</v>
      </c>
      <c r="F36" s="4">
        <f>0.0001*F30</f>
        <v>-3.5697000000000001</v>
      </c>
      <c r="G36" s="4">
        <f>D36+E36+F36</f>
        <v>212.43338899999981</v>
      </c>
      <c r="M36" s="8"/>
    </row>
    <row r="37" spans="1:15" x14ac:dyDescent="0.2">
      <c r="B37" t="s">
        <v>51</v>
      </c>
      <c r="D37" s="7">
        <v>30682049.277815998</v>
      </c>
      <c r="E37" s="7">
        <f>0.9999*E30</f>
        <v>-28522238.440905001</v>
      </c>
      <c r="F37" s="7">
        <f>0.9999*F30</f>
        <v>-35693.4303</v>
      </c>
      <c r="G37" s="7">
        <f>D37+E37+F37</f>
        <v>2124117.4066109965</v>
      </c>
      <c r="H37" s="9"/>
      <c r="M37" s="8"/>
    </row>
    <row r="38" spans="1:15" ht="13.5" thickBot="1" x14ac:dyDescent="0.25">
      <c r="A38" s="1" t="s">
        <v>52</v>
      </c>
      <c r="D38" s="6">
        <f>SUM(D36:D37)</f>
        <v>30685117.789999999</v>
      </c>
      <c r="E38" s="6">
        <f>SUM(E36:E37)</f>
        <v>-28525090.949999999</v>
      </c>
      <c r="F38" s="6">
        <f>SUM(F36:F37)</f>
        <v>-35697</v>
      </c>
      <c r="G38" s="6">
        <f>SUM(G36:G37)</f>
        <v>2124329.8399999966</v>
      </c>
      <c r="H38" s="11"/>
      <c r="M38" s="8"/>
    </row>
    <row r="39" spans="1:15" ht="13.5" thickTop="1" x14ac:dyDescent="0.2">
      <c r="M39" s="8"/>
    </row>
    <row r="40" spans="1:15" x14ac:dyDescent="0.2">
      <c r="A40" s="1" t="s">
        <v>72</v>
      </c>
      <c r="M40" s="8"/>
    </row>
    <row r="41" spans="1:15" x14ac:dyDescent="0.2">
      <c r="C41" t="s">
        <v>73</v>
      </c>
      <c r="M41" s="8"/>
    </row>
    <row r="42" spans="1:15" x14ac:dyDescent="0.2">
      <c r="D42"/>
      <c r="E42"/>
      <c r="M42" s="8"/>
    </row>
    <row r="43" spans="1:15" x14ac:dyDescent="0.2">
      <c r="D43"/>
      <c r="M43" s="8"/>
    </row>
    <row r="44" spans="1:15" x14ac:dyDescent="0.2">
      <c r="M44" s="8"/>
    </row>
    <row r="45" spans="1:15" x14ac:dyDescent="0.2">
      <c r="M45" s="8"/>
    </row>
    <row r="46" spans="1:15" x14ac:dyDescent="0.2">
      <c r="M46" s="8"/>
    </row>
    <row r="47" spans="1:15" x14ac:dyDescent="0.2">
      <c r="M47" s="8"/>
    </row>
    <row r="48" spans="1:15" x14ac:dyDescent="0.2">
      <c r="M48" s="8"/>
    </row>
    <row r="49" spans="13:13" x14ac:dyDescent="0.2">
      <c r="M49" s="8"/>
    </row>
    <row r="50" spans="13:13" x14ac:dyDescent="0.2">
      <c r="M50" s="8"/>
    </row>
    <row r="51" spans="13:13" x14ac:dyDescent="0.2">
      <c r="M51" s="8"/>
    </row>
    <row r="52" spans="13:13" x14ac:dyDescent="0.2">
      <c r="M52" s="8"/>
    </row>
    <row r="53" spans="13:13" x14ac:dyDescent="0.2">
      <c r="M53" s="8"/>
    </row>
    <row r="54" spans="13:13" x14ac:dyDescent="0.2">
      <c r="M54" s="8"/>
    </row>
    <row r="55" spans="13:13" x14ac:dyDescent="0.2">
      <c r="M55" s="8"/>
    </row>
    <row r="56" spans="13:13" x14ac:dyDescent="0.2">
      <c r="M56" s="8"/>
    </row>
    <row r="57" spans="13:13" x14ac:dyDescent="0.2">
      <c r="M57" s="8"/>
    </row>
    <row r="58" spans="13:13" x14ac:dyDescent="0.2">
      <c r="M58" s="8"/>
    </row>
    <row r="59" spans="13:13" x14ac:dyDescent="0.2">
      <c r="M59" s="8"/>
    </row>
    <row r="60" spans="13:13" x14ac:dyDescent="0.2">
      <c r="M60" s="8"/>
    </row>
    <row r="61" spans="13:13" x14ac:dyDescent="0.2">
      <c r="M61" s="8"/>
    </row>
    <row r="62" spans="13:13" x14ac:dyDescent="0.2">
      <c r="M62" s="8"/>
    </row>
    <row r="63" spans="13:13" x14ac:dyDescent="0.2">
      <c r="M63" s="8"/>
    </row>
    <row r="64" spans="13:13" x14ac:dyDescent="0.2">
      <c r="M64" s="8"/>
    </row>
    <row r="65" spans="13:13" x14ac:dyDescent="0.2">
      <c r="M65" s="8"/>
    </row>
    <row r="66" spans="13:13" x14ac:dyDescent="0.2">
      <c r="M66" s="8"/>
    </row>
    <row r="67" spans="13:13" x14ac:dyDescent="0.2">
      <c r="M67" s="8"/>
    </row>
    <row r="68" spans="13:13" x14ac:dyDescent="0.2">
      <c r="M68" s="8"/>
    </row>
    <row r="69" spans="13:13" x14ac:dyDescent="0.2">
      <c r="M69" s="8"/>
    </row>
    <row r="70" spans="13:13" x14ac:dyDescent="0.2">
      <c r="M70" s="8"/>
    </row>
    <row r="71" spans="13:13" x14ac:dyDescent="0.2">
      <c r="M71" s="8"/>
    </row>
    <row r="72" spans="13:13" x14ac:dyDescent="0.2">
      <c r="M72" s="8"/>
    </row>
    <row r="73" spans="13:13" x14ac:dyDescent="0.2">
      <c r="M73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rintOptions horizontalCentered="1"/>
  <pageMargins left="0.5" right="0.5" top="1" bottom="1" header="0.5" footer="0.5"/>
  <pageSetup scale="6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opLeftCell="A3" zoomScale="75" workbookViewId="0">
      <selection activeCell="J1" sqref="J1:O38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4" hidden="1" customWidth="1"/>
    <col min="5" max="6" width="18.42578125" style="4" hidden="1" customWidth="1"/>
    <col min="7" max="7" width="21.42578125" style="4" customWidth="1"/>
    <col min="8" max="8" width="10.7109375" style="4" customWidth="1"/>
    <col min="9" max="9" width="2.42578125" customWidth="1"/>
    <col min="10" max="10" width="3.28515625" customWidth="1"/>
    <col min="11" max="11" width="16.5703125" customWidth="1"/>
    <col min="12" max="12" width="28.42578125" customWidth="1"/>
    <col min="13" max="13" width="24.140625" hidden="1" customWidth="1"/>
    <col min="14" max="14" width="18" hidden="1" customWidth="1"/>
    <col min="15" max="15" width="17.28515625" customWidth="1"/>
  </cols>
  <sheetData>
    <row r="1" spans="1:15" ht="15" x14ac:dyDescent="0.25">
      <c r="A1" s="19" t="s">
        <v>39</v>
      </c>
      <c r="B1" s="19"/>
      <c r="C1" s="19"/>
      <c r="D1" s="19"/>
      <c r="E1" s="19"/>
      <c r="F1" s="19"/>
      <c r="G1" s="19"/>
      <c r="H1" s="19"/>
      <c r="J1" s="19" t="s">
        <v>39</v>
      </c>
      <c r="K1" s="19"/>
      <c r="L1" s="19"/>
      <c r="M1" s="19"/>
      <c r="N1" s="19"/>
      <c r="O1" s="19"/>
    </row>
    <row r="2" spans="1:15" ht="15" x14ac:dyDescent="0.25">
      <c r="A2" s="19" t="s">
        <v>0</v>
      </c>
      <c r="B2" s="19"/>
      <c r="C2" s="19"/>
      <c r="D2" s="19"/>
      <c r="E2" s="19"/>
      <c r="F2" s="19"/>
      <c r="G2" s="19"/>
      <c r="H2" s="19"/>
      <c r="J2" s="19" t="s">
        <v>18</v>
      </c>
      <c r="K2" s="19"/>
      <c r="L2" s="19"/>
      <c r="M2" s="19"/>
      <c r="N2" s="19"/>
      <c r="O2" s="19"/>
    </row>
    <row r="3" spans="1:15" ht="15" x14ac:dyDescent="0.25">
      <c r="A3" s="21" t="s">
        <v>75</v>
      </c>
      <c r="B3" s="19"/>
      <c r="C3" s="19"/>
      <c r="D3" s="19"/>
      <c r="E3" s="19"/>
      <c r="F3" s="19"/>
      <c r="G3" s="19"/>
      <c r="H3" s="19"/>
      <c r="J3" s="19" t="s">
        <v>74</v>
      </c>
      <c r="K3" s="19"/>
      <c r="L3" s="19"/>
      <c r="M3" s="19"/>
      <c r="N3" s="19"/>
      <c r="O3" s="19"/>
    </row>
    <row r="4" spans="1:15" ht="15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ht="15" x14ac:dyDescent="0.25">
      <c r="A5" s="3"/>
      <c r="B5" s="3"/>
      <c r="C5" s="3"/>
      <c r="D5" s="12"/>
      <c r="E5" s="20" t="s">
        <v>57</v>
      </c>
      <c r="F5" s="20"/>
      <c r="G5" s="13"/>
      <c r="H5" s="13"/>
      <c r="J5" s="3"/>
      <c r="K5" s="3"/>
      <c r="L5" s="3"/>
      <c r="M5" s="3"/>
    </row>
    <row r="6" spans="1:15" ht="39" x14ac:dyDescent="0.25">
      <c r="A6" s="3"/>
      <c r="B6" s="3"/>
      <c r="C6" s="3"/>
      <c r="D6" s="13" t="s">
        <v>56</v>
      </c>
      <c r="E6" s="14" t="s">
        <v>58</v>
      </c>
      <c r="F6" s="13" t="s">
        <v>59</v>
      </c>
      <c r="G6" s="12"/>
      <c r="H6" s="12"/>
      <c r="J6" s="3"/>
      <c r="K6" s="3"/>
      <c r="L6" s="3"/>
      <c r="M6" s="13" t="s">
        <v>56</v>
      </c>
      <c r="N6" s="16" t="s">
        <v>57</v>
      </c>
      <c r="O6" s="15"/>
    </row>
    <row r="7" spans="1:15" x14ac:dyDescent="0.2">
      <c r="M7" s="8"/>
    </row>
    <row r="8" spans="1:15" x14ac:dyDescent="0.2">
      <c r="A8" s="1" t="s">
        <v>1</v>
      </c>
    </row>
    <row r="9" spans="1:15" x14ac:dyDescent="0.2">
      <c r="B9" t="s">
        <v>2</v>
      </c>
      <c r="J9" s="1" t="s">
        <v>22</v>
      </c>
    </row>
    <row r="10" spans="1:15" x14ac:dyDescent="0.2">
      <c r="C10" t="s">
        <v>36</v>
      </c>
      <c r="D10" s="11">
        <v>3785044.5</v>
      </c>
      <c r="E10" s="11">
        <f>-D10</f>
        <v>-3785044.5</v>
      </c>
      <c r="F10" s="11">
        <v>0</v>
      </c>
      <c r="G10" s="11">
        <f>D10+E10+F10</f>
        <v>0</v>
      </c>
      <c r="H10" s="11" t="s">
        <v>70</v>
      </c>
      <c r="K10" t="s">
        <v>43</v>
      </c>
      <c r="M10" s="4">
        <v>137136.38</v>
      </c>
      <c r="N10" s="4">
        <v>0</v>
      </c>
      <c r="O10" s="4">
        <f>M10+N10</f>
        <v>137136.38</v>
      </c>
    </row>
    <row r="11" spans="1:15" x14ac:dyDescent="0.2">
      <c r="C11" t="s">
        <v>40</v>
      </c>
      <c r="D11" s="9">
        <v>2603</v>
      </c>
      <c r="E11" s="9">
        <v>0</v>
      </c>
      <c r="F11" s="9">
        <v>0</v>
      </c>
      <c r="G11" s="9">
        <f>D11+E11+F11</f>
        <v>2603</v>
      </c>
      <c r="H11" s="9"/>
      <c r="K11" t="s">
        <v>44</v>
      </c>
      <c r="M11" s="8">
        <f>-14158.95+1541977.91</f>
        <v>1527818.96</v>
      </c>
      <c r="N11" s="8">
        <v>0</v>
      </c>
      <c r="O11" s="8">
        <f>M11+N11</f>
        <v>1527818.96</v>
      </c>
    </row>
    <row r="12" spans="1:15" x14ac:dyDescent="0.2">
      <c r="C12" t="s">
        <v>41</v>
      </c>
      <c r="D12" s="7">
        <v>9457.64</v>
      </c>
      <c r="E12" s="7">
        <v>0</v>
      </c>
      <c r="F12" s="7">
        <v>0</v>
      </c>
      <c r="G12" s="7">
        <f>D12+E12+F12</f>
        <v>9457.64</v>
      </c>
      <c r="H12" s="9"/>
      <c r="K12" t="s">
        <v>45</v>
      </c>
      <c r="M12" s="7">
        <f>64952.31+35000</f>
        <v>99952.31</v>
      </c>
      <c r="N12" s="7">
        <v>0</v>
      </c>
      <c r="O12" s="7">
        <f>M12+N12</f>
        <v>99952.31</v>
      </c>
    </row>
    <row r="13" spans="1:15" x14ac:dyDescent="0.2">
      <c r="B13" t="s">
        <v>3</v>
      </c>
      <c r="D13" s="4">
        <f>SUM(D10:D12)</f>
        <v>3797105.14</v>
      </c>
      <c r="E13" s="4">
        <f>SUM(E10:E12)</f>
        <v>-3785044.5</v>
      </c>
      <c r="F13" s="4">
        <f>SUM(F10:F12)</f>
        <v>0</v>
      </c>
      <c r="G13" s="4">
        <f>SUM(G10:G12)</f>
        <v>12060.64</v>
      </c>
      <c r="J13" s="1" t="s">
        <v>46</v>
      </c>
      <c r="M13" s="4">
        <f>SUM(M10:M12)</f>
        <v>1764907.65</v>
      </c>
      <c r="N13" s="4">
        <f>SUM(N10:N12)</f>
        <v>0</v>
      </c>
      <c r="O13" s="4">
        <f>SUM(O10:O12)</f>
        <v>1764907.65</v>
      </c>
    </row>
    <row r="15" spans="1:15" x14ac:dyDescent="0.2">
      <c r="B15" t="s">
        <v>76</v>
      </c>
      <c r="D15" s="8">
        <v>13876462</v>
      </c>
      <c r="E15" s="8">
        <v>0</v>
      </c>
      <c r="F15" s="8">
        <v>0</v>
      </c>
      <c r="G15" s="9">
        <f>D15+E15+F15</f>
        <v>13876462</v>
      </c>
      <c r="H15" s="9"/>
      <c r="J15" s="1" t="s">
        <v>19</v>
      </c>
      <c r="M15" s="8">
        <f>352733.87</f>
        <v>352733.87</v>
      </c>
      <c r="N15" s="8">
        <v>0</v>
      </c>
      <c r="O15" s="8">
        <f>M15+N15</f>
        <v>352733.87</v>
      </c>
    </row>
    <row r="16" spans="1:15" x14ac:dyDescent="0.2">
      <c r="D16" s="8"/>
      <c r="E16" s="8"/>
      <c r="F16" s="8"/>
      <c r="G16" s="8"/>
      <c r="H16" s="8"/>
    </row>
    <row r="17" spans="1:15" x14ac:dyDescent="0.2">
      <c r="B17" t="s">
        <v>42</v>
      </c>
      <c r="D17" s="8">
        <v>23726948.079999998</v>
      </c>
      <c r="E17" s="8">
        <v>0</v>
      </c>
      <c r="F17" s="8">
        <v>0</v>
      </c>
      <c r="G17" s="9">
        <f>D17+E17+F17</f>
        <v>23726948.079999998</v>
      </c>
      <c r="H17" s="9"/>
      <c r="J17" s="1" t="s">
        <v>20</v>
      </c>
      <c r="M17" s="9">
        <f>831384.28</f>
        <v>831384.28</v>
      </c>
      <c r="N17" s="9">
        <v>0</v>
      </c>
      <c r="O17" s="8">
        <f>M17+N17</f>
        <v>831384.28</v>
      </c>
    </row>
    <row r="18" spans="1:15" x14ac:dyDescent="0.2">
      <c r="D18" s="8"/>
      <c r="E18" s="8"/>
      <c r="F18" s="8"/>
      <c r="G18" s="8"/>
      <c r="H18" s="8"/>
      <c r="M18" s="2"/>
      <c r="N18" s="2"/>
      <c r="O18" s="2"/>
    </row>
    <row r="19" spans="1:15" x14ac:dyDescent="0.2">
      <c r="B19" t="s">
        <v>4</v>
      </c>
      <c r="D19" s="8">
        <v>1838607.63</v>
      </c>
      <c r="E19" s="8">
        <v>0</v>
      </c>
      <c r="F19" s="8">
        <v>0</v>
      </c>
      <c r="G19" s="9">
        <f>D19+E19+F19</f>
        <v>1838607.63</v>
      </c>
      <c r="H19" s="9"/>
      <c r="J19" s="1" t="s">
        <v>21</v>
      </c>
      <c r="M19" s="4">
        <f>M13-M15-M17</f>
        <v>580789.49999999977</v>
      </c>
      <c r="N19" s="4">
        <f>N13-N15-N17</f>
        <v>0</v>
      </c>
      <c r="O19" s="4">
        <f>O13-O15-O17</f>
        <v>580789.49999999977</v>
      </c>
    </row>
    <row r="20" spans="1:15" x14ac:dyDescent="0.2">
      <c r="M20" s="8"/>
      <c r="N20" s="8"/>
      <c r="O20" s="8"/>
    </row>
    <row r="21" spans="1:15" ht="13.5" thickBot="1" x14ac:dyDescent="0.25">
      <c r="A21" s="1" t="s">
        <v>5</v>
      </c>
      <c r="D21" s="6">
        <f>SUM(D13:D19)</f>
        <v>43239122.850000001</v>
      </c>
      <c r="E21" s="6">
        <f>SUM(E13:E19)</f>
        <v>-3785044.5</v>
      </c>
      <c r="F21" s="6">
        <f>SUM(F13:F19)</f>
        <v>0</v>
      </c>
      <c r="G21" s="6">
        <f>SUM(G13:G19)</f>
        <v>39454078.350000001</v>
      </c>
      <c r="H21" s="11"/>
      <c r="J21" s="1" t="s">
        <v>23</v>
      </c>
      <c r="M21" s="8">
        <v>0</v>
      </c>
      <c r="N21" s="8">
        <v>0</v>
      </c>
      <c r="O21" s="8">
        <f>M21+N21</f>
        <v>0</v>
      </c>
    </row>
    <row r="22" spans="1:15" ht="13.5" thickTop="1" x14ac:dyDescent="0.2">
      <c r="M22" s="8"/>
      <c r="N22" s="8"/>
      <c r="O22" s="8"/>
    </row>
    <row r="23" spans="1:15" x14ac:dyDescent="0.2">
      <c r="J23" s="1" t="s">
        <v>66</v>
      </c>
      <c r="M23" s="8">
        <v>0</v>
      </c>
      <c r="N23" s="8">
        <v>0</v>
      </c>
      <c r="O23" s="8">
        <f>M23+N23</f>
        <v>0</v>
      </c>
    </row>
    <row r="24" spans="1:15" x14ac:dyDescent="0.2">
      <c r="A24" s="1" t="s">
        <v>6</v>
      </c>
    </row>
    <row r="25" spans="1:15" x14ac:dyDescent="0.2">
      <c r="B25" t="s">
        <v>7</v>
      </c>
      <c r="J25" s="1" t="s">
        <v>24</v>
      </c>
      <c r="M25" s="8"/>
      <c r="N25" s="8"/>
      <c r="O25" s="8"/>
    </row>
    <row r="26" spans="1:15" x14ac:dyDescent="0.2">
      <c r="C26" t="s">
        <v>9</v>
      </c>
      <c r="D26" s="4">
        <f>-788480.68+39746172.46</f>
        <v>38957691.780000001</v>
      </c>
      <c r="E26" s="4">
        <f>-D26-F26</f>
        <v>-42917530.520000003</v>
      </c>
      <c r="F26" s="4">
        <f>D32</f>
        <v>3959838.74</v>
      </c>
      <c r="G26" s="11">
        <f>D26+E26+F26</f>
        <v>0</v>
      </c>
      <c r="H26" s="11" t="s">
        <v>70</v>
      </c>
      <c r="K26" t="s">
        <v>25</v>
      </c>
      <c r="M26" s="4">
        <v>0</v>
      </c>
      <c r="N26" s="4">
        <v>0</v>
      </c>
      <c r="O26" s="4">
        <f>M26+N26</f>
        <v>0</v>
      </c>
    </row>
    <row r="27" spans="1:15" x14ac:dyDescent="0.2">
      <c r="C27" t="s">
        <v>10</v>
      </c>
      <c r="D27" s="8">
        <v>0</v>
      </c>
      <c r="E27" s="8">
        <v>0</v>
      </c>
      <c r="F27" s="8">
        <v>0</v>
      </c>
      <c r="G27" s="9">
        <f>D27+E27+F27</f>
        <v>0</v>
      </c>
      <c r="H27" s="9"/>
      <c r="K27" t="s">
        <v>77</v>
      </c>
      <c r="M27" s="7">
        <v>-46858.29</v>
      </c>
      <c r="N27" s="7">
        <v>0</v>
      </c>
      <c r="O27" s="7">
        <f>M27+N27</f>
        <v>-46858.29</v>
      </c>
    </row>
    <row r="28" spans="1:15" x14ac:dyDescent="0.2">
      <c r="C28" t="s">
        <v>11</v>
      </c>
      <c r="D28" s="8">
        <v>0</v>
      </c>
      <c r="E28" s="8">
        <v>0</v>
      </c>
      <c r="F28" s="8">
        <v>0</v>
      </c>
      <c r="G28" s="9">
        <f>D28+E28+F28</f>
        <v>0</v>
      </c>
      <c r="H28" s="9"/>
      <c r="J28" s="1" t="s">
        <v>27</v>
      </c>
      <c r="M28" s="4">
        <f>SUM(M26:M27)</f>
        <v>-46858.29</v>
      </c>
      <c r="N28" s="4">
        <f>SUM(N26:N27)</f>
        <v>0</v>
      </c>
      <c r="O28" s="4">
        <f>SUM(O26:O27)</f>
        <v>-46858.29</v>
      </c>
    </row>
    <row r="29" spans="1:15" x14ac:dyDescent="0.2">
      <c r="C29" t="s">
        <v>12</v>
      </c>
      <c r="D29" s="7">
        <v>-1031</v>
      </c>
      <c r="E29" s="7">
        <v>0</v>
      </c>
      <c r="F29" s="7">
        <v>0</v>
      </c>
      <c r="G29" s="7">
        <f>D29+E29+F29</f>
        <v>-1031</v>
      </c>
      <c r="H29" s="9"/>
      <c r="J29" s="1"/>
      <c r="M29" s="7"/>
      <c r="N29" s="7"/>
      <c r="O29" s="7"/>
    </row>
    <row r="30" spans="1:15" x14ac:dyDescent="0.2">
      <c r="B30" t="s">
        <v>13</v>
      </c>
      <c r="D30" s="4">
        <f>SUM(D26:D29)</f>
        <v>38956660.780000001</v>
      </c>
      <c r="E30" s="4">
        <f>SUM(E26:E29)</f>
        <v>-42917530.520000003</v>
      </c>
      <c r="F30" s="4">
        <f>SUM(F26:F29)</f>
        <v>3959838.74</v>
      </c>
      <c r="G30" s="4">
        <f>SUM(G26:G29)</f>
        <v>-1031</v>
      </c>
      <c r="J30" s="1" t="s">
        <v>32</v>
      </c>
      <c r="M30" s="10">
        <f>M19+M21-M28+M23</f>
        <v>627647.7899999998</v>
      </c>
      <c r="N30" s="10">
        <f>N19+N21-N28+N23</f>
        <v>0</v>
      </c>
      <c r="O30" s="10">
        <f>O19+O21-O28+O23</f>
        <v>627647.7899999998</v>
      </c>
    </row>
    <row r="32" spans="1:15" x14ac:dyDescent="0.2">
      <c r="B32" t="s">
        <v>14</v>
      </c>
      <c r="D32" s="8">
        <v>3959838.74</v>
      </c>
      <c r="E32" s="8">
        <v>0</v>
      </c>
      <c r="F32" s="8">
        <f>-D32</f>
        <v>-3959838.74</v>
      </c>
      <c r="G32" s="9">
        <f>D32+E32+F32</f>
        <v>0</v>
      </c>
      <c r="H32" s="9"/>
      <c r="J32" s="1" t="s">
        <v>33</v>
      </c>
      <c r="M32" s="8"/>
      <c r="N32" s="8"/>
      <c r="O32" s="8"/>
    </row>
    <row r="33" spans="1:15" x14ac:dyDescent="0.2">
      <c r="K33" t="s">
        <v>29</v>
      </c>
      <c r="M33" s="4">
        <v>220708</v>
      </c>
      <c r="N33" s="4">
        <v>0</v>
      </c>
      <c r="O33" s="4">
        <f>M33+N33</f>
        <v>220708</v>
      </c>
    </row>
    <row r="34" spans="1:15" x14ac:dyDescent="0.2">
      <c r="B34" t="s">
        <v>15</v>
      </c>
      <c r="D34" s="8">
        <v>322623.33</v>
      </c>
      <c r="E34" s="8">
        <f>E21-E30-E32</f>
        <v>39132486.020000003</v>
      </c>
      <c r="F34" s="8">
        <f>F21-F30-F32</f>
        <v>0</v>
      </c>
      <c r="G34" s="9">
        <f>D34+E34+F34</f>
        <v>39455109.350000001</v>
      </c>
      <c r="H34" s="9"/>
      <c r="K34" t="s">
        <v>47</v>
      </c>
    </row>
    <row r="35" spans="1:15" x14ac:dyDescent="0.2">
      <c r="K35" t="s">
        <v>48</v>
      </c>
      <c r="M35" s="7">
        <v>-1031</v>
      </c>
      <c r="N35" s="7">
        <v>0</v>
      </c>
      <c r="O35" s="7">
        <f>M35+N35</f>
        <v>-1031</v>
      </c>
    </row>
    <row r="36" spans="1:15" ht="13.5" thickBot="1" x14ac:dyDescent="0.25">
      <c r="A36" s="1" t="s">
        <v>16</v>
      </c>
      <c r="D36" s="6">
        <f>SUM(D30:D34)</f>
        <v>43239122.850000001</v>
      </c>
      <c r="E36" s="6">
        <f>SUM(E30:E34)</f>
        <v>-3785044.5</v>
      </c>
      <c r="F36" s="6">
        <f>SUM(F30:F34)</f>
        <v>0</v>
      </c>
      <c r="G36" s="6">
        <f>SUM(G30:G34)</f>
        <v>39454078.350000001</v>
      </c>
      <c r="H36" s="11"/>
      <c r="J36" s="1" t="s">
        <v>31</v>
      </c>
      <c r="M36" s="4">
        <f>SUM(M33:M35)</f>
        <v>219677</v>
      </c>
      <c r="N36" s="4">
        <f>SUM(N33:N35)</f>
        <v>0</v>
      </c>
      <c r="O36" s="4">
        <f>SUM(O33:O35)</f>
        <v>219677</v>
      </c>
    </row>
    <row r="37" spans="1:15" ht="13.5" thickTop="1" x14ac:dyDescent="0.2"/>
    <row r="38" spans="1:15" ht="13.5" thickBot="1" x14ac:dyDescent="0.25">
      <c r="J38" s="1" t="s">
        <v>34</v>
      </c>
      <c r="M38" s="6">
        <f>M30-M36</f>
        <v>407970.7899999998</v>
      </c>
      <c r="N38" s="6">
        <f>N30-N36</f>
        <v>0</v>
      </c>
      <c r="O38" s="6">
        <f>O30-O36</f>
        <v>407970.7899999998</v>
      </c>
    </row>
    <row r="39" spans="1:15" ht="13.5" thickTop="1" x14ac:dyDescent="0.2">
      <c r="A39" s="1" t="s">
        <v>49</v>
      </c>
      <c r="M39" s="8"/>
    </row>
    <row r="40" spans="1:15" x14ac:dyDescent="0.2">
      <c r="B40" t="s">
        <v>55</v>
      </c>
      <c r="D40" s="4">
        <f>-85347.46+M38</f>
        <v>322623.32999999978</v>
      </c>
      <c r="E40" s="4">
        <f>E34</f>
        <v>39132486.020000003</v>
      </c>
      <c r="F40" s="4">
        <f>F34</f>
        <v>0</v>
      </c>
      <c r="G40" s="11">
        <f>D40+E40+F40</f>
        <v>39455109.350000001</v>
      </c>
      <c r="H40" s="11"/>
      <c r="M40" s="8"/>
    </row>
    <row r="41" spans="1:15" ht="13.5" thickBot="1" x14ac:dyDescent="0.25">
      <c r="A41" s="1" t="s">
        <v>52</v>
      </c>
      <c r="D41" s="6">
        <f>SUM(D40:D40)</f>
        <v>322623.32999999978</v>
      </c>
      <c r="E41" s="6">
        <f>SUM(E40:E40)</f>
        <v>39132486.020000003</v>
      </c>
      <c r="F41" s="6">
        <f>SUM(F40:F40)</f>
        <v>0</v>
      </c>
      <c r="G41" s="6">
        <f>SUM(G40:G40)</f>
        <v>39455109.350000001</v>
      </c>
      <c r="H41" s="11"/>
      <c r="M41" s="8"/>
    </row>
    <row r="42" spans="1:15" ht="13.5" thickTop="1" x14ac:dyDescent="0.2"/>
    <row r="43" spans="1:15" x14ac:dyDescent="0.2">
      <c r="A43" s="1" t="s">
        <v>72</v>
      </c>
      <c r="M43" s="8"/>
    </row>
    <row r="44" spans="1:15" x14ac:dyDescent="0.2">
      <c r="C44" t="s">
        <v>73</v>
      </c>
      <c r="M44" s="8"/>
    </row>
    <row r="45" spans="1:15" x14ac:dyDescent="0.2">
      <c r="M45" s="8"/>
    </row>
    <row r="46" spans="1:15" x14ac:dyDescent="0.2">
      <c r="M46" s="8"/>
    </row>
    <row r="47" spans="1:15" x14ac:dyDescent="0.2">
      <c r="M47" s="8"/>
    </row>
    <row r="48" spans="1:15" x14ac:dyDescent="0.2">
      <c r="M48" s="8"/>
    </row>
    <row r="49" spans="13:13" x14ac:dyDescent="0.2">
      <c r="M49" s="8"/>
    </row>
    <row r="50" spans="13:13" x14ac:dyDescent="0.2">
      <c r="M50" s="8"/>
    </row>
    <row r="51" spans="13:13" x14ac:dyDescent="0.2">
      <c r="M51" s="8"/>
    </row>
    <row r="52" spans="13:13" x14ac:dyDescent="0.2">
      <c r="M52" s="8"/>
    </row>
    <row r="53" spans="13:13" x14ac:dyDescent="0.2">
      <c r="M53" s="8"/>
    </row>
    <row r="54" spans="13:13" x14ac:dyDescent="0.2">
      <c r="M54" s="8"/>
    </row>
    <row r="55" spans="13:13" x14ac:dyDescent="0.2">
      <c r="M55" s="8"/>
    </row>
    <row r="56" spans="13:13" x14ac:dyDescent="0.2">
      <c r="M56" s="8"/>
    </row>
    <row r="57" spans="13:13" x14ac:dyDescent="0.2">
      <c r="M57" s="8"/>
    </row>
    <row r="58" spans="13:13" x14ac:dyDescent="0.2">
      <c r="M58" s="8"/>
    </row>
    <row r="59" spans="13:13" x14ac:dyDescent="0.2">
      <c r="M59" s="8"/>
    </row>
    <row r="60" spans="13:13" x14ac:dyDescent="0.2">
      <c r="M60" s="8"/>
    </row>
    <row r="61" spans="13:13" x14ac:dyDescent="0.2">
      <c r="M61" s="8"/>
    </row>
    <row r="62" spans="13:13" x14ac:dyDescent="0.2">
      <c r="M62" s="8"/>
    </row>
    <row r="63" spans="13:13" x14ac:dyDescent="0.2">
      <c r="M63" s="8"/>
    </row>
    <row r="64" spans="13:13" x14ac:dyDescent="0.2">
      <c r="M64" s="8"/>
    </row>
    <row r="65" spans="13:13" x14ac:dyDescent="0.2">
      <c r="M65" s="8"/>
    </row>
    <row r="66" spans="13:13" x14ac:dyDescent="0.2">
      <c r="M66" s="8"/>
    </row>
    <row r="67" spans="13:13" x14ac:dyDescent="0.2">
      <c r="M67" s="8"/>
    </row>
    <row r="68" spans="13:13" x14ac:dyDescent="0.2">
      <c r="M68" s="8"/>
    </row>
    <row r="69" spans="13:13" x14ac:dyDescent="0.2">
      <c r="M69" s="8"/>
    </row>
    <row r="70" spans="13:13" x14ac:dyDescent="0.2">
      <c r="M70" s="8"/>
    </row>
    <row r="71" spans="13:13" x14ac:dyDescent="0.2">
      <c r="M71" s="8"/>
    </row>
    <row r="72" spans="13:13" x14ac:dyDescent="0.2">
      <c r="M72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rintOptions horizontalCentered="1"/>
  <pageMargins left="0.5" right="0.5" top="1" bottom="1" header="0.5" footer="0.5"/>
  <pageSetup scale="6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zoomScale="75" workbookViewId="0">
      <selection sqref="A1:E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4" customWidth="1"/>
    <col min="5" max="5" width="10.5703125" style="4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24.140625" hidden="1" customWidth="1"/>
    <col min="11" max="11" width="16.42578125" hidden="1" customWidth="1"/>
    <col min="12" max="12" width="17.42578125" customWidth="1"/>
  </cols>
  <sheetData>
    <row r="1" spans="1:12" ht="15" x14ac:dyDescent="0.25">
      <c r="A1" s="19" t="s">
        <v>60</v>
      </c>
      <c r="B1" s="19"/>
      <c r="C1" s="19"/>
      <c r="D1" s="19"/>
      <c r="E1" s="19"/>
      <c r="G1" s="19" t="s">
        <v>60</v>
      </c>
      <c r="H1" s="19"/>
      <c r="I1" s="19"/>
      <c r="J1" s="19"/>
      <c r="K1" s="19"/>
      <c r="L1" s="19"/>
    </row>
    <row r="2" spans="1:12" ht="15" x14ac:dyDescent="0.25">
      <c r="A2" s="19" t="s">
        <v>0</v>
      </c>
      <c r="B2" s="19"/>
      <c r="C2" s="19"/>
      <c r="D2" s="19"/>
      <c r="E2" s="19"/>
      <c r="G2" s="19" t="s">
        <v>18</v>
      </c>
      <c r="H2" s="19"/>
      <c r="I2" s="19"/>
      <c r="J2" s="19"/>
      <c r="K2" s="19"/>
      <c r="L2" s="19"/>
    </row>
    <row r="3" spans="1:12" ht="15" x14ac:dyDescent="0.25">
      <c r="A3" s="21" t="s">
        <v>75</v>
      </c>
      <c r="B3" s="19"/>
      <c r="C3" s="19"/>
      <c r="D3" s="19"/>
      <c r="E3" s="19"/>
      <c r="G3" s="19" t="s">
        <v>74</v>
      </c>
      <c r="H3" s="19"/>
      <c r="I3" s="19"/>
      <c r="J3" s="19"/>
      <c r="K3" s="19"/>
      <c r="L3" s="19"/>
    </row>
    <row r="4" spans="1:12" ht="15" x14ac:dyDescent="0.25">
      <c r="A4" s="3"/>
      <c r="B4" s="3"/>
      <c r="C4" s="3"/>
      <c r="D4" s="3"/>
      <c r="E4" s="3"/>
      <c r="G4" s="3"/>
      <c r="H4" s="3"/>
      <c r="I4" s="3"/>
      <c r="J4" s="3"/>
    </row>
    <row r="5" spans="1:12" ht="15" x14ac:dyDescent="0.25">
      <c r="A5" s="3"/>
      <c r="B5" s="3"/>
      <c r="C5" s="3"/>
      <c r="D5" s="12"/>
      <c r="E5" s="12"/>
      <c r="G5" s="3"/>
      <c r="H5" s="3"/>
      <c r="I5" s="3"/>
      <c r="J5" s="3"/>
    </row>
    <row r="6" spans="1:12" ht="15" x14ac:dyDescent="0.25">
      <c r="A6" s="3"/>
      <c r="B6" s="3"/>
      <c r="C6" s="3"/>
      <c r="D6" s="13"/>
      <c r="E6" s="13"/>
      <c r="G6" s="3"/>
      <c r="H6" s="3"/>
      <c r="I6" s="3"/>
      <c r="J6" s="13" t="s">
        <v>56</v>
      </c>
      <c r="K6" s="16" t="s">
        <v>57</v>
      </c>
      <c r="L6" s="15"/>
    </row>
    <row r="7" spans="1:12" x14ac:dyDescent="0.2">
      <c r="J7" s="8"/>
    </row>
    <row r="8" spans="1:12" x14ac:dyDescent="0.2">
      <c r="A8" s="1" t="s">
        <v>1</v>
      </c>
    </row>
    <row r="9" spans="1:12" x14ac:dyDescent="0.2">
      <c r="B9" t="s">
        <v>2</v>
      </c>
      <c r="G9" s="1" t="s">
        <v>22</v>
      </c>
    </row>
    <row r="10" spans="1:12" x14ac:dyDescent="0.2">
      <c r="C10" t="s">
        <v>36</v>
      </c>
      <c r="D10" s="11">
        <f>-'Wind LLC #259'!G21-'Powder LLC #247'!G22+'EMS #63K'!G10</f>
        <v>0</v>
      </c>
      <c r="E10" s="11" t="s">
        <v>70</v>
      </c>
      <c r="H10" t="s">
        <v>43</v>
      </c>
      <c r="J10" s="4">
        <v>137136.38</v>
      </c>
      <c r="K10" s="4">
        <v>0</v>
      </c>
      <c r="L10" s="4">
        <f>J10+K10</f>
        <v>137136.38</v>
      </c>
    </row>
    <row r="11" spans="1:12" x14ac:dyDescent="0.2">
      <c r="C11" t="s">
        <v>40</v>
      </c>
      <c r="D11" s="9">
        <f>'EMS #63K'!G11</f>
        <v>2603</v>
      </c>
      <c r="E11" s="9"/>
      <c r="H11" t="s">
        <v>44</v>
      </c>
      <c r="J11" s="8">
        <f>-14158.95+1541977.91</f>
        <v>1527818.96</v>
      </c>
      <c r="K11" s="8">
        <v>0</v>
      </c>
      <c r="L11" s="8">
        <f>J11+K11</f>
        <v>1527818.96</v>
      </c>
    </row>
    <row r="12" spans="1:12" x14ac:dyDescent="0.2">
      <c r="C12" t="s">
        <v>41</v>
      </c>
      <c r="D12" s="7">
        <f>'EMS #63K'!G12</f>
        <v>9457.64</v>
      </c>
      <c r="E12" s="9"/>
      <c r="H12" t="s">
        <v>45</v>
      </c>
      <c r="J12" s="7">
        <f>64952.31+35000</f>
        <v>99952.31</v>
      </c>
      <c r="K12" s="7">
        <v>0</v>
      </c>
      <c r="L12" s="7">
        <f>J12+K12</f>
        <v>99952.31</v>
      </c>
    </row>
    <row r="13" spans="1:12" x14ac:dyDescent="0.2">
      <c r="B13" t="s">
        <v>3</v>
      </c>
      <c r="D13" s="4">
        <f>SUM(D10:D12)</f>
        <v>12060.64</v>
      </c>
      <c r="G13" s="1" t="s">
        <v>46</v>
      </c>
      <c r="J13" s="4">
        <f>SUM(J10:J12)</f>
        <v>1764907.65</v>
      </c>
      <c r="K13" s="4">
        <f>SUM(K10:K12)</f>
        <v>0</v>
      </c>
      <c r="L13" s="4">
        <f>SUM(L10:L12)</f>
        <v>1764907.65</v>
      </c>
    </row>
    <row r="15" spans="1:12" x14ac:dyDescent="0.2">
      <c r="B15" t="s">
        <v>61</v>
      </c>
      <c r="G15" s="1" t="s">
        <v>19</v>
      </c>
      <c r="J15" s="8">
        <f>'Wind LLC #259'!M10+'Powder LLC #247'!M11+'EMS #63K'!M15</f>
        <v>352733.87</v>
      </c>
      <c r="K15" s="8">
        <v>0</v>
      </c>
      <c r="L15" s="8">
        <f>J15+K15</f>
        <v>352733.87</v>
      </c>
    </row>
    <row r="16" spans="1:12" x14ac:dyDescent="0.2">
      <c r="C16" t="s">
        <v>62</v>
      </c>
      <c r="D16" s="4">
        <f>'EMS #63K'!G15</f>
        <v>13876462</v>
      </c>
      <c r="G16" s="1"/>
      <c r="J16" s="8"/>
      <c r="K16" s="8"/>
      <c r="L16" s="8"/>
    </row>
    <row r="17" spans="1:12" x14ac:dyDescent="0.2">
      <c r="C17" t="s">
        <v>64</v>
      </c>
      <c r="D17" s="8">
        <f>'Wind LLC #259'!G12</f>
        <v>2799910</v>
      </c>
      <c r="E17" s="8"/>
      <c r="G17" s="1" t="s">
        <v>20</v>
      </c>
      <c r="J17" s="9">
        <f>'Wind LLC #259'!M12+'Powder LLC #247'!M13+'EMS #63K'!M17</f>
        <v>778029.73</v>
      </c>
      <c r="K17" s="9">
        <v>0</v>
      </c>
      <c r="L17" s="8">
        <f>J17+K17</f>
        <v>778029.73</v>
      </c>
    </row>
    <row r="18" spans="1:12" x14ac:dyDescent="0.2">
      <c r="C18" t="s">
        <v>63</v>
      </c>
      <c r="D18" s="7">
        <f>'Powder LLC #247'!G13</f>
        <v>2631766</v>
      </c>
      <c r="E18" s="9"/>
      <c r="J18" s="2"/>
      <c r="K18" s="2"/>
      <c r="L18" s="2"/>
    </row>
    <row r="19" spans="1:12" x14ac:dyDescent="0.2">
      <c r="B19" t="s">
        <v>65</v>
      </c>
      <c r="D19" s="4">
        <f>SUM(D16:D18)</f>
        <v>19308138</v>
      </c>
      <c r="G19" s="1" t="s">
        <v>21</v>
      </c>
      <c r="J19" s="4">
        <f>J13-J15-J17</f>
        <v>634144.04999999981</v>
      </c>
      <c r="K19" s="4">
        <f>K13-K15-K17</f>
        <v>0</v>
      </c>
      <c r="L19" s="4">
        <f>L13-L15-L17</f>
        <v>634144.04999999981</v>
      </c>
    </row>
    <row r="20" spans="1:12" x14ac:dyDescent="0.2">
      <c r="D20" s="8"/>
      <c r="E20" s="8"/>
      <c r="J20" s="8"/>
      <c r="K20" s="8"/>
      <c r="L20" s="8"/>
    </row>
    <row r="21" spans="1:12" x14ac:dyDescent="0.2">
      <c r="B21" t="s">
        <v>42</v>
      </c>
      <c r="D21" s="8">
        <f>'EMS #63K'!G17</f>
        <v>23726948.079999998</v>
      </c>
      <c r="E21" s="8"/>
      <c r="G21" s="1" t="s">
        <v>23</v>
      </c>
      <c r="J21" s="8">
        <f>'Wind LLC #259'!M16+'Powder LLC #247'!M17+'EMS #63K'!M21</f>
        <v>1536080</v>
      </c>
      <c r="K21" s="8">
        <f>'Wind LLC #259'!N16+'Powder LLC #247'!N17+'EMS #63K'!N21</f>
        <v>-54918</v>
      </c>
      <c r="L21" s="8">
        <f>J21+K21</f>
        <v>1481162</v>
      </c>
    </row>
    <row r="22" spans="1:12" x14ac:dyDescent="0.2">
      <c r="D22" s="8"/>
      <c r="E22" s="8"/>
      <c r="J22" s="8"/>
      <c r="K22" s="8"/>
      <c r="L22" s="8"/>
    </row>
    <row r="23" spans="1:12" x14ac:dyDescent="0.2">
      <c r="B23" t="s">
        <v>4</v>
      </c>
      <c r="D23" s="8">
        <f>'Wind LLC #259'!G14+'Powder LLC #247'!G15+'EMS #63K'!G19</f>
        <v>1868226.8599999999</v>
      </c>
      <c r="E23" s="8"/>
      <c r="G23" s="1" t="s">
        <v>66</v>
      </c>
      <c r="J23" s="8">
        <f>'Wind LLC #259'!M18+'Powder LLC #247'!M19+'EMS #63K'!M23</f>
        <v>0</v>
      </c>
      <c r="K23" s="8">
        <f>'Wind LLC #259'!N18+'Powder LLC #247'!N19+'EMS #63K'!N23</f>
        <v>52977.71</v>
      </c>
      <c r="L23" s="8">
        <f>J23+K23</f>
        <v>52977.71</v>
      </c>
    </row>
    <row r="25" spans="1:12" ht="13.5" thickBot="1" x14ac:dyDescent="0.25">
      <c r="A25" s="1" t="s">
        <v>5</v>
      </c>
      <c r="D25" s="6">
        <f>D13+D19+D21+D23</f>
        <v>44915373.579999998</v>
      </c>
      <c r="E25" s="11"/>
      <c r="G25" s="1" t="s">
        <v>24</v>
      </c>
      <c r="J25" s="8"/>
      <c r="K25" s="8"/>
      <c r="L25" s="8"/>
    </row>
    <row r="26" spans="1:12" ht="13.5" thickTop="1" x14ac:dyDescent="0.2">
      <c r="H26" t="s">
        <v>25</v>
      </c>
      <c r="J26" s="4">
        <f>'Wind LLC #259'!M21+'Powder LLC #247'!M22+'EMS #63K'!M26</f>
        <v>244099</v>
      </c>
      <c r="K26" s="4">
        <f>'Wind LLC #259'!N21+'Powder LLC #247'!N22+'EMS #63K'!N26</f>
        <v>73884</v>
      </c>
      <c r="L26" s="4">
        <f>J26+K26</f>
        <v>317983</v>
      </c>
    </row>
    <row r="27" spans="1:12" x14ac:dyDescent="0.2">
      <c r="H27" t="s">
        <v>26</v>
      </c>
      <c r="J27" s="7">
        <f>'Wind LLC #259'!M22+'Powder LLC #247'!M23+'EMS #63K'!M27</f>
        <v>27025.71</v>
      </c>
      <c r="K27" s="7">
        <f>'Wind LLC #259'!N22+'Powder LLC #247'!N23+'EMS #63K'!N27</f>
        <v>-73884</v>
      </c>
      <c r="L27" s="7">
        <f>J27+K27</f>
        <v>-46858.29</v>
      </c>
    </row>
    <row r="28" spans="1:12" x14ac:dyDescent="0.2">
      <c r="A28" s="1" t="s">
        <v>6</v>
      </c>
      <c r="G28" s="1" t="s">
        <v>27</v>
      </c>
      <c r="J28" s="4">
        <f>SUM(J26:J27)</f>
        <v>271124.71000000002</v>
      </c>
      <c r="K28" s="4">
        <f>SUM(K26:K27)</f>
        <v>0</v>
      </c>
      <c r="L28" s="4">
        <f>SUM(L26:L27)</f>
        <v>271124.71000000002</v>
      </c>
    </row>
    <row r="29" spans="1:12" x14ac:dyDescent="0.2">
      <c r="B29" t="s">
        <v>7</v>
      </c>
      <c r="G29" s="1"/>
      <c r="J29" s="7"/>
      <c r="K29" s="7"/>
      <c r="L29" s="7"/>
    </row>
    <row r="30" spans="1:12" x14ac:dyDescent="0.2">
      <c r="C30" t="s">
        <v>9</v>
      </c>
      <c r="D30" s="4">
        <f>-'Wind LLC #259'!G9-'Powder LLC #247'!G10+'EMS #63K'!G26</f>
        <v>0</v>
      </c>
      <c r="E30" s="11" t="s">
        <v>70</v>
      </c>
      <c r="G30" s="1" t="s">
        <v>32</v>
      </c>
      <c r="J30" s="10">
        <f>J19+J21-J28+J23</f>
        <v>1899099.3399999999</v>
      </c>
      <c r="K30" s="10">
        <f>K19+K21-K28+K23</f>
        <v>-1940.2900000000009</v>
      </c>
      <c r="L30" s="10">
        <f>L19+L21-L28+L23</f>
        <v>1897159.0499999998</v>
      </c>
    </row>
    <row r="31" spans="1:12" x14ac:dyDescent="0.2">
      <c r="C31" t="s">
        <v>10</v>
      </c>
      <c r="D31" s="8">
        <f>'Wind LLC #259'!G22+'Powder LLC #247'!G23+'EMS #63K'!G27</f>
        <v>6842.2</v>
      </c>
      <c r="E31" s="8"/>
    </row>
    <row r="32" spans="1:12" x14ac:dyDescent="0.2">
      <c r="C32" t="s">
        <v>11</v>
      </c>
      <c r="D32" s="8">
        <f>'Wind LLC #259'!G23+'Powder LLC #247'!G24+'EMS #63K'!G28</f>
        <v>0</v>
      </c>
      <c r="E32" s="8"/>
      <c r="G32" s="1" t="s">
        <v>33</v>
      </c>
      <c r="J32" s="8"/>
      <c r="K32" s="8"/>
      <c r="L32" s="8"/>
    </row>
    <row r="33" spans="1:12" x14ac:dyDescent="0.2">
      <c r="C33" t="s">
        <v>12</v>
      </c>
      <c r="D33" s="7">
        <f>'Wind LLC #259'!G24+'Powder LLC #247'!G25+'EMS #63K'!G29</f>
        <v>493580</v>
      </c>
      <c r="E33" s="9"/>
      <c r="H33" t="s">
        <v>29</v>
      </c>
      <c r="J33" s="4">
        <f>'Wind LLC #259'!M28+'Powder LLC #247'!M29+'EMS #63K'!M33</f>
        <v>128089</v>
      </c>
      <c r="K33" s="4">
        <f>'Wind LLC #259'!N28+'Powder LLC #247'!N29+'EMS #63K'!N33</f>
        <v>23796</v>
      </c>
      <c r="L33" s="4">
        <f>J33+K33</f>
        <v>151885</v>
      </c>
    </row>
    <row r="34" spans="1:12" x14ac:dyDescent="0.2">
      <c r="B34" t="s">
        <v>13</v>
      </c>
      <c r="D34" s="4">
        <f>SUM(D30:D33)</f>
        <v>500422.2</v>
      </c>
      <c r="H34" t="s">
        <v>47</v>
      </c>
      <c r="J34" s="8">
        <f>'EMS #63K'!M34</f>
        <v>0</v>
      </c>
      <c r="K34" s="8">
        <v>0</v>
      </c>
      <c r="L34" s="8">
        <f>J34+K34</f>
        <v>0</v>
      </c>
    </row>
    <row r="35" spans="1:12" x14ac:dyDescent="0.2">
      <c r="H35" t="s">
        <v>48</v>
      </c>
      <c r="J35" s="7">
        <f>'Wind LLC #259'!M29+'Powder LLC #247'!M30+'EMS #63K'!M35</f>
        <v>536597</v>
      </c>
      <c r="K35" s="7">
        <f>'Wind LLC #259'!N29+'Powder LLC #247'!N30+'EMS #63K'!N35</f>
        <v>-43017</v>
      </c>
      <c r="L35" s="7">
        <f>J35+K35</f>
        <v>493580</v>
      </c>
    </row>
    <row r="36" spans="1:12" x14ac:dyDescent="0.2">
      <c r="B36" t="s">
        <v>14</v>
      </c>
      <c r="D36" s="8">
        <f>'Wind LLC #259'!G27+'Powder LLC #247'!G28+'EMS #63K'!G32</f>
        <v>3465000</v>
      </c>
      <c r="E36" s="8"/>
      <c r="G36" s="1" t="s">
        <v>31</v>
      </c>
      <c r="J36" s="4">
        <f>SUM(J33:J35)</f>
        <v>664686</v>
      </c>
      <c r="K36" s="4">
        <f>SUM(K33:K35)</f>
        <v>-19221</v>
      </c>
      <c r="L36" s="4">
        <f>SUM(L33:L35)</f>
        <v>645465</v>
      </c>
    </row>
    <row r="38" spans="1:12" ht="13.5" thickBot="1" x14ac:dyDescent="0.25">
      <c r="B38" t="s">
        <v>15</v>
      </c>
      <c r="D38" s="8">
        <f>'Wind LLC #259'!G29+'Powder LLC #247'!G30+'EMS #63K'!G34</f>
        <v>40949951.380000003</v>
      </c>
      <c r="E38" s="8"/>
      <c r="G38" s="1" t="s">
        <v>34</v>
      </c>
      <c r="J38" s="6">
        <f>J30-J36</f>
        <v>1234413.3399999999</v>
      </c>
      <c r="K38" s="6">
        <f>K30-K36</f>
        <v>17280.71</v>
      </c>
      <c r="L38" s="6">
        <f>L30-L36</f>
        <v>1251694.0499999998</v>
      </c>
    </row>
    <row r="39" spans="1:12" ht="13.5" thickTop="1" x14ac:dyDescent="0.2">
      <c r="J39" s="8"/>
    </row>
    <row r="40" spans="1:12" ht="13.5" thickBot="1" x14ac:dyDescent="0.25">
      <c r="A40" s="1" t="s">
        <v>16</v>
      </c>
      <c r="D40" s="6">
        <f>SUM(D34:D38)</f>
        <v>44915373.580000006</v>
      </c>
      <c r="E40" s="11"/>
    </row>
    <row r="41" spans="1:12" ht="13.5" thickTop="1" x14ac:dyDescent="0.2">
      <c r="J41" s="8"/>
    </row>
    <row r="42" spans="1:12" hidden="1" x14ac:dyDescent="0.2">
      <c r="D42" s="4">
        <f>D25-D40</f>
        <v>0</v>
      </c>
    </row>
    <row r="43" spans="1:12" hidden="1" x14ac:dyDescent="0.2">
      <c r="A43" s="1" t="s">
        <v>49</v>
      </c>
    </row>
    <row r="44" spans="1:12" hidden="1" x14ac:dyDescent="0.2">
      <c r="B44" t="s">
        <v>55</v>
      </c>
      <c r="D44" s="4">
        <f>'EMS #63K'!G40</f>
        <v>39455109.350000001</v>
      </c>
    </row>
    <row r="45" spans="1:12" hidden="1" x14ac:dyDescent="0.2">
      <c r="B45" t="s">
        <v>53</v>
      </c>
      <c r="D45" s="8">
        <f>'Wind LLC #259'!G35</f>
        <v>-62.948984999999766</v>
      </c>
      <c r="E45" s="8"/>
      <c r="J45" s="8"/>
    </row>
    <row r="46" spans="1:12" hidden="1" x14ac:dyDescent="0.2">
      <c r="B46" t="s">
        <v>54</v>
      </c>
      <c r="D46" s="8">
        <f>'Wind LLC #259'!G36</f>
        <v>-629424.86101499945</v>
      </c>
      <c r="E46" s="8"/>
      <c r="J46" s="8"/>
    </row>
    <row r="47" spans="1:12" hidden="1" x14ac:dyDescent="0.2">
      <c r="B47" t="s">
        <v>50</v>
      </c>
      <c r="D47" s="8">
        <f>'Powder LLC #247'!G36</f>
        <v>212.43338899999981</v>
      </c>
      <c r="E47" s="8"/>
      <c r="J47" s="8"/>
    </row>
    <row r="48" spans="1:12" hidden="1" x14ac:dyDescent="0.2">
      <c r="B48" t="s">
        <v>51</v>
      </c>
      <c r="D48" s="8">
        <f>'Powder LLC #247'!G37</f>
        <v>2124117.4066109965</v>
      </c>
      <c r="E48" s="8"/>
      <c r="J48" s="8"/>
    </row>
    <row r="49" spans="1:10" ht="13.5" hidden="1" thickBot="1" x14ac:dyDescent="0.25">
      <c r="A49" s="1" t="s">
        <v>52</v>
      </c>
      <c r="D49" s="6">
        <f>SUM(D44:D48)</f>
        <v>40949951.379999995</v>
      </c>
      <c r="E49" s="11"/>
      <c r="J49" s="8"/>
    </row>
    <row r="50" spans="1:10" ht="13.5" hidden="1" thickTop="1" x14ac:dyDescent="0.2">
      <c r="J50" s="8"/>
    </row>
    <row r="51" spans="1:10" x14ac:dyDescent="0.2">
      <c r="A51" s="1" t="s">
        <v>72</v>
      </c>
      <c r="F51" s="4"/>
      <c r="G51" s="4"/>
      <c r="J51" s="8"/>
    </row>
    <row r="52" spans="1:10" x14ac:dyDescent="0.2">
      <c r="C52" t="s">
        <v>73</v>
      </c>
      <c r="F52" s="4"/>
      <c r="G52" s="4"/>
      <c r="J52" s="8"/>
    </row>
    <row r="53" spans="1:10" x14ac:dyDescent="0.2">
      <c r="J53" s="8"/>
    </row>
    <row r="54" spans="1:10" x14ac:dyDescent="0.2">
      <c r="J54" s="8"/>
    </row>
    <row r="55" spans="1:10" x14ac:dyDescent="0.2">
      <c r="J55" s="8"/>
    </row>
    <row r="56" spans="1:10" x14ac:dyDescent="0.2">
      <c r="J56" s="8"/>
    </row>
    <row r="57" spans="1:10" x14ac:dyDescent="0.2">
      <c r="J57" s="8"/>
    </row>
    <row r="58" spans="1:10" x14ac:dyDescent="0.2">
      <c r="J58" s="8"/>
    </row>
    <row r="59" spans="1:10" x14ac:dyDescent="0.2">
      <c r="J59" s="8"/>
    </row>
    <row r="60" spans="1:10" x14ac:dyDescent="0.2">
      <c r="J60" s="8"/>
    </row>
    <row r="61" spans="1:10" x14ac:dyDescent="0.2">
      <c r="J61" s="8"/>
    </row>
    <row r="62" spans="1:10" x14ac:dyDescent="0.2">
      <c r="J62" s="8"/>
    </row>
    <row r="63" spans="1:10" x14ac:dyDescent="0.2">
      <c r="J63" s="8"/>
    </row>
    <row r="64" spans="1:10" x14ac:dyDescent="0.2">
      <c r="J64" s="8"/>
    </row>
    <row r="65" spans="10:10" x14ac:dyDescent="0.2">
      <c r="J65" s="8"/>
    </row>
    <row r="66" spans="10:10" x14ac:dyDescent="0.2">
      <c r="J66" s="8"/>
    </row>
    <row r="67" spans="10:10" x14ac:dyDescent="0.2">
      <c r="J67" s="8"/>
    </row>
    <row r="68" spans="10:10" x14ac:dyDescent="0.2">
      <c r="J68" s="8"/>
    </row>
    <row r="69" spans="10:10" x14ac:dyDescent="0.2">
      <c r="J69" s="8"/>
    </row>
    <row r="70" spans="10:10" x14ac:dyDescent="0.2">
      <c r="J70" s="8"/>
    </row>
    <row r="71" spans="10:10" x14ac:dyDescent="0.2">
      <c r="J71" s="8"/>
    </row>
    <row r="72" spans="10:10" x14ac:dyDescent="0.2">
      <c r="J72" s="8"/>
    </row>
  </sheetData>
  <mergeCells count="6">
    <mergeCell ref="G1:L1"/>
    <mergeCell ref="G2:L2"/>
    <mergeCell ref="G3:L3"/>
    <mergeCell ref="A1:E1"/>
    <mergeCell ref="A2:E2"/>
    <mergeCell ref="A3:E3"/>
  </mergeCells>
  <printOptions horizontalCentered="1"/>
  <pageMargins left="0.25" right="0.25" top="0.5" bottom="0.25" header="0" footer="0"/>
  <pageSetup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sqref="A1:D1"/>
    </sheetView>
  </sheetViews>
  <sheetFormatPr defaultRowHeight="12.75" x14ac:dyDescent="0.2"/>
  <cols>
    <col min="1" max="1" width="30.7109375" customWidth="1"/>
    <col min="2" max="2" width="33.140625" customWidth="1"/>
    <col min="3" max="3" width="26.28515625" customWidth="1"/>
    <col min="4" max="4" width="26.42578125" customWidth="1"/>
  </cols>
  <sheetData>
    <row r="1" spans="1:4" ht="15" x14ac:dyDescent="0.25">
      <c r="A1" s="22" t="s">
        <v>67</v>
      </c>
      <c r="B1" s="22"/>
      <c r="C1" s="22"/>
      <c r="D1" s="22"/>
    </row>
    <row r="2" spans="1:4" ht="15" x14ac:dyDescent="0.25">
      <c r="A2" s="22" t="s">
        <v>69</v>
      </c>
      <c r="B2" s="22"/>
      <c r="C2" s="22"/>
      <c r="D2" s="22"/>
    </row>
    <row r="4" spans="1:4" x14ac:dyDescent="0.2">
      <c r="A4" s="1" t="s">
        <v>71</v>
      </c>
      <c r="B4" s="16" t="s">
        <v>39</v>
      </c>
      <c r="C4" s="16" t="s">
        <v>35</v>
      </c>
      <c r="D4" s="16" t="s">
        <v>17</v>
      </c>
    </row>
    <row r="5" spans="1:4" x14ac:dyDescent="0.2">
      <c r="B5" s="4"/>
      <c r="C5" s="4"/>
      <c r="D5" s="4"/>
    </row>
    <row r="6" spans="1:4" x14ac:dyDescent="0.2">
      <c r="A6" t="s">
        <v>55</v>
      </c>
      <c r="B6" s="4">
        <f>Combined!D44</f>
        <v>39455109.350000001</v>
      </c>
      <c r="C6" s="4"/>
      <c r="D6" s="4"/>
    </row>
    <row r="7" spans="1:4" x14ac:dyDescent="0.2">
      <c r="B7" s="4"/>
      <c r="C7" s="4"/>
      <c r="D7" s="4"/>
    </row>
    <row r="8" spans="1:4" x14ac:dyDescent="0.2">
      <c r="A8" t="s">
        <v>53</v>
      </c>
      <c r="B8" s="4"/>
      <c r="C8" s="4"/>
      <c r="D8" s="4">
        <f>Combined!D45</f>
        <v>-62.948984999999766</v>
      </c>
    </row>
    <row r="9" spans="1:4" x14ac:dyDescent="0.2">
      <c r="A9" t="s">
        <v>54</v>
      </c>
      <c r="B9" s="4"/>
      <c r="C9" s="4"/>
      <c r="D9" s="8">
        <f>Combined!D46</f>
        <v>-629424.86101499945</v>
      </c>
    </row>
    <row r="10" spans="1:4" x14ac:dyDescent="0.2">
      <c r="B10" s="4"/>
      <c r="C10" s="4"/>
      <c r="D10" s="4"/>
    </row>
    <row r="11" spans="1:4" x14ac:dyDescent="0.2">
      <c r="A11" t="s">
        <v>50</v>
      </c>
      <c r="B11" s="4"/>
      <c r="C11" s="4">
        <f>Combined!D47</f>
        <v>212.43338899999981</v>
      </c>
      <c r="D11" s="4"/>
    </row>
    <row r="12" spans="1:4" x14ac:dyDescent="0.2">
      <c r="A12" t="s">
        <v>51</v>
      </c>
      <c r="B12" s="4"/>
      <c r="C12" s="8">
        <f>Combined!D48</f>
        <v>2124117.4066109965</v>
      </c>
      <c r="D12" s="4"/>
    </row>
    <row r="14" spans="1:4" ht="13.5" thickBot="1" x14ac:dyDescent="0.25">
      <c r="A14" s="1" t="s">
        <v>68</v>
      </c>
      <c r="B14" s="18">
        <f>SUM(B6:B13)</f>
        <v>39455109.350000001</v>
      </c>
      <c r="C14" s="18">
        <f>SUM(C6:C13)</f>
        <v>2124329.8399999966</v>
      </c>
      <c r="D14" s="18">
        <f>SUM(D6:D13)</f>
        <v>-629487.80999999947</v>
      </c>
    </row>
    <row r="15" spans="1:4" ht="13.5" thickTop="1" x14ac:dyDescent="0.2"/>
  </sheetData>
  <mergeCells count="2">
    <mergeCell ref="A1:D1"/>
    <mergeCell ref="A2:D2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LLC #259</vt:lpstr>
      <vt:lpstr>Powder LLC #247</vt:lpstr>
      <vt:lpstr>EMS #63K</vt:lpstr>
      <vt:lpstr>Combined</vt:lpstr>
      <vt:lpstr>Capital Structure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KENDALL</dc:creator>
  <cp:lastModifiedBy>Jan Havlíček</cp:lastModifiedBy>
  <cp:lastPrinted>2000-09-12T14:57:18Z</cp:lastPrinted>
  <dcterms:created xsi:type="dcterms:W3CDTF">2000-08-24T16:34:12Z</dcterms:created>
  <dcterms:modified xsi:type="dcterms:W3CDTF">2023-09-19T23:49:55Z</dcterms:modified>
</cp:coreProperties>
</file>