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8CF54B-2901-40C7-8558-1555508883F6}" xr6:coauthVersionLast="47" xr6:coauthVersionMax="47" xr10:uidLastSave="{00000000-0000-0000-0000-000000000000}"/>
  <bookViews>
    <workbookView xWindow="-120" yWindow="-120" windowWidth="38640" windowHeight="15720"/>
  </bookViews>
  <sheets>
    <sheet name="Residential" sheetId="16" r:id="rId1"/>
    <sheet name="Small Commercial" sheetId="5" r:id="rId2"/>
    <sheet name="Medium-Large Commercial (AB265)" sheetId="15" r:id="rId3"/>
    <sheet name="Street Lighting" sheetId="17" r:id="rId4"/>
  </sheets>
  <definedNames>
    <definedName name="_xlnm.Print_Area" localSheetId="2">'Medium-Large Commercial (AB265)'!$A$1:$H$72,'Medium-Large Commercial (AB265)'!$A$83:$H$128,'Medium-Large Commercial (AB265)'!$A$131:$H$178</definedName>
    <definedName name="_xlnm.Print_Area" localSheetId="0">Residential!$A$1:$H$67,Residential!$A$71:$H$130,Residential!$A$133:$H$176</definedName>
    <definedName name="_xlnm.Print_Area" localSheetId="1">'Small Commercial'!$A$1:$H$47</definedName>
    <definedName name="_xlnm.Print_Area" localSheetId="3">'Street Lighting'!$A$1:$H$62</definedName>
  </definedNames>
  <calcPr calcId="0"/>
</workbook>
</file>

<file path=xl/calcChain.xml><?xml version="1.0" encoding="utf-8"?>
<calcChain xmlns="http://schemas.openxmlformats.org/spreadsheetml/2006/main">
  <c r="C7" i="15" l="1"/>
  <c r="G8" i="15"/>
  <c r="C9" i="15"/>
  <c r="C12" i="15"/>
  <c r="C13" i="15"/>
  <c r="C14" i="15"/>
  <c r="C25" i="15"/>
  <c r="E25" i="15"/>
  <c r="F25" i="15"/>
  <c r="G25" i="15"/>
  <c r="C26" i="15"/>
  <c r="E26" i="15"/>
  <c r="F26" i="15"/>
  <c r="G26" i="15"/>
  <c r="C27" i="15"/>
  <c r="E27" i="15"/>
  <c r="F27" i="15"/>
  <c r="G27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3" i="15"/>
  <c r="C33" i="15"/>
  <c r="D33" i="15"/>
  <c r="E33" i="15"/>
  <c r="F33" i="15"/>
  <c r="G33" i="15"/>
  <c r="H33" i="15"/>
  <c r="C38" i="15"/>
  <c r="E38" i="15"/>
  <c r="F38" i="15"/>
  <c r="G38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6" i="15"/>
  <c r="C46" i="15"/>
  <c r="D46" i="15"/>
  <c r="E46" i="15"/>
  <c r="F46" i="15"/>
  <c r="G46" i="15"/>
  <c r="H46" i="15"/>
  <c r="L51" i="15"/>
  <c r="N51" i="15"/>
  <c r="P51" i="15"/>
  <c r="L52" i="15"/>
  <c r="N52" i="15"/>
  <c r="P52" i="15"/>
  <c r="C53" i="15"/>
  <c r="E53" i="15"/>
  <c r="F53" i="15"/>
  <c r="G53" i="15"/>
  <c r="L53" i="15"/>
  <c r="N53" i="15"/>
  <c r="P53" i="15"/>
  <c r="C54" i="15"/>
  <c r="E54" i="15"/>
  <c r="F54" i="15"/>
  <c r="G54" i="15"/>
  <c r="L54" i="15"/>
  <c r="P54" i="15"/>
  <c r="C55" i="15"/>
  <c r="E55" i="15"/>
  <c r="F55" i="15"/>
  <c r="G55" i="15"/>
  <c r="C56" i="15"/>
  <c r="E56" i="15"/>
  <c r="F56" i="15"/>
  <c r="G56" i="15"/>
  <c r="L56" i="15"/>
  <c r="N56" i="15"/>
  <c r="P56" i="15"/>
  <c r="C57" i="15"/>
  <c r="E57" i="15"/>
  <c r="F57" i="15"/>
  <c r="G57" i="15"/>
  <c r="P58" i="15"/>
  <c r="P59" i="15"/>
  <c r="C60" i="15"/>
  <c r="E60" i="15"/>
  <c r="F60" i="15"/>
  <c r="G60" i="15"/>
  <c r="C61" i="15"/>
  <c r="E61" i="15"/>
  <c r="F61" i="15"/>
  <c r="G61" i="15"/>
  <c r="C62" i="15"/>
  <c r="E62" i="15"/>
  <c r="F62" i="15"/>
  <c r="G62" i="15"/>
  <c r="C63" i="15"/>
  <c r="E63" i="15"/>
  <c r="F63" i="15"/>
  <c r="G63" i="15"/>
  <c r="C64" i="15"/>
  <c r="E64" i="15"/>
  <c r="F64" i="15"/>
  <c r="G64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8" i="15"/>
  <c r="C128" i="15"/>
  <c r="D128" i="15"/>
  <c r="E128" i="15"/>
  <c r="F128" i="15"/>
  <c r="G128" i="15"/>
  <c r="H128" i="15"/>
  <c r="C141" i="15"/>
  <c r="E141" i="15"/>
  <c r="F141" i="15"/>
  <c r="G141" i="15"/>
  <c r="C142" i="15"/>
  <c r="E142" i="15"/>
  <c r="F142" i="15"/>
  <c r="G142" i="15"/>
  <c r="C143" i="15"/>
  <c r="E143" i="15"/>
  <c r="F143" i="15"/>
  <c r="G143" i="15"/>
  <c r="C146" i="15"/>
  <c r="E146" i="15"/>
  <c r="F146" i="15"/>
  <c r="G146" i="15"/>
  <c r="C147" i="15"/>
  <c r="E147" i="15"/>
  <c r="F147" i="15"/>
  <c r="G147" i="15"/>
  <c r="C148" i="15"/>
  <c r="E148" i="15"/>
  <c r="F148" i="15"/>
  <c r="G148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6" i="15"/>
  <c r="C166" i="15"/>
  <c r="D166" i="15"/>
  <c r="E166" i="15"/>
  <c r="F166" i="15"/>
  <c r="G166" i="15"/>
  <c r="H166" i="15"/>
  <c r="B170" i="15"/>
  <c r="C170" i="15"/>
  <c r="D170" i="15"/>
  <c r="E170" i="15"/>
  <c r="F170" i="15"/>
  <c r="G170" i="15"/>
  <c r="H170" i="15"/>
  <c r="C7" i="16"/>
  <c r="G8" i="16"/>
  <c r="C9" i="16"/>
  <c r="B14" i="16"/>
  <c r="C14" i="16"/>
  <c r="B15" i="16"/>
  <c r="C15" i="16"/>
  <c r="B16" i="16"/>
  <c r="C16" i="16"/>
  <c r="B17" i="16"/>
  <c r="C17" i="16"/>
  <c r="B18" i="16"/>
  <c r="C18" i="16"/>
  <c r="B21" i="16"/>
  <c r="C21" i="16"/>
  <c r="B22" i="16"/>
  <c r="C22" i="16"/>
  <c r="B23" i="16"/>
  <c r="C23" i="16"/>
  <c r="B24" i="16"/>
  <c r="C24" i="16"/>
  <c r="B25" i="16"/>
  <c r="C25" i="16"/>
  <c r="N30" i="16"/>
  <c r="Q33" i="16"/>
  <c r="S33" i="16"/>
  <c r="C34" i="16"/>
  <c r="D34" i="16"/>
  <c r="E34" i="16"/>
  <c r="F34" i="16"/>
  <c r="G34" i="16"/>
  <c r="N34" i="16"/>
  <c r="Q34" i="16"/>
  <c r="S34" i="16"/>
  <c r="C35" i="16"/>
  <c r="D35" i="16"/>
  <c r="E35" i="16"/>
  <c r="F35" i="16"/>
  <c r="G35" i="16"/>
  <c r="N35" i="16"/>
  <c r="Q35" i="16"/>
  <c r="S35" i="16"/>
  <c r="C36" i="16"/>
  <c r="D36" i="16"/>
  <c r="E36" i="16"/>
  <c r="F36" i="16"/>
  <c r="G36" i="16"/>
  <c r="Q36" i="16"/>
  <c r="S36" i="16"/>
  <c r="C37" i="16"/>
  <c r="D37" i="16"/>
  <c r="E37" i="16"/>
  <c r="F37" i="16"/>
  <c r="G37" i="16"/>
  <c r="N37" i="16"/>
  <c r="Q37" i="16"/>
  <c r="S37" i="16"/>
  <c r="C38" i="16"/>
  <c r="D38" i="16"/>
  <c r="E38" i="16"/>
  <c r="F38" i="16"/>
  <c r="G38" i="16"/>
  <c r="N38" i="16"/>
  <c r="Q38" i="16"/>
  <c r="S38" i="16"/>
  <c r="F39" i="16"/>
  <c r="N39" i="16"/>
  <c r="Q39" i="16"/>
  <c r="S39" i="16"/>
  <c r="N40" i="16"/>
  <c r="Q40" i="16"/>
  <c r="S40" i="16"/>
  <c r="N41" i="16"/>
  <c r="Q41" i="16"/>
  <c r="S41" i="16"/>
  <c r="C42" i="16"/>
  <c r="D42" i="16"/>
  <c r="E42" i="16"/>
  <c r="F42" i="16"/>
  <c r="G42" i="16"/>
  <c r="C43" i="16"/>
  <c r="D43" i="16"/>
  <c r="E43" i="16"/>
  <c r="F43" i="16"/>
  <c r="G43" i="16"/>
  <c r="C44" i="16"/>
  <c r="D44" i="16"/>
  <c r="E44" i="16"/>
  <c r="F44" i="16"/>
  <c r="G44" i="16"/>
  <c r="C45" i="16"/>
  <c r="D45" i="16"/>
  <c r="E45" i="16"/>
  <c r="F45" i="16"/>
  <c r="G45" i="16"/>
  <c r="C46" i="16"/>
  <c r="D46" i="16"/>
  <c r="E46" i="16"/>
  <c r="F46" i="16"/>
  <c r="G46" i="16"/>
  <c r="N46" i="16"/>
  <c r="F47" i="16"/>
  <c r="N47" i="16"/>
  <c r="B49" i="16"/>
  <c r="C49" i="16"/>
  <c r="D49" i="16"/>
  <c r="E49" i="16"/>
  <c r="F49" i="16"/>
  <c r="G49" i="16"/>
  <c r="H49" i="16"/>
  <c r="N49" i="16"/>
  <c r="N50" i="16"/>
  <c r="C51" i="16"/>
  <c r="D51" i="16"/>
  <c r="E51" i="16"/>
  <c r="F51" i="16"/>
  <c r="G51" i="16"/>
  <c r="C52" i="16"/>
  <c r="D52" i="16"/>
  <c r="E52" i="16"/>
  <c r="F52" i="16"/>
  <c r="G52" i="16"/>
  <c r="N52" i="16"/>
  <c r="C53" i="16"/>
  <c r="D53" i="16"/>
  <c r="E53" i="16"/>
  <c r="F53" i="16"/>
  <c r="G53" i="16"/>
  <c r="N53" i="16"/>
  <c r="C54" i="16"/>
  <c r="D54" i="16"/>
  <c r="E54" i="16"/>
  <c r="F54" i="16"/>
  <c r="G54" i="16"/>
  <c r="N54" i="16"/>
  <c r="C55" i="16"/>
  <c r="D55" i="16"/>
  <c r="E55" i="16"/>
  <c r="F55" i="16"/>
  <c r="G55" i="16"/>
  <c r="F56" i="16"/>
  <c r="N56" i="16"/>
  <c r="C58" i="16"/>
  <c r="D58" i="16"/>
  <c r="E58" i="16"/>
  <c r="F58" i="16"/>
  <c r="G58" i="16"/>
  <c r="N58" i="16"/>
  <c r="C59" i="16"/>
  <c r="D59" i="16"/>
  <c r="E59" i="16"/>
  <c r="F59" i="16"/>
  <c r="G59" i="16"/>
  <c r="C60" i="16"/>
  <c r="D60" i="16"/>
  <c r="E60" i="16"/>
  <c r="F60" i="16"/>
  <c r="G60" i="16"/>
  <c r="C61" i="16"/>
  <c r="D61" i="16"/>
  <c r="E61" i="16"/>
  <c r="F61" i="16"/>
  <c r="G61" i="16"/>
  <c r="C62" i="16"/>
  <c r="D62" i="16"/>
  <c r="E62" i="16"/>
  <c r="F62" i="16"/>
  <c r="G62" i="16"/>
  <c r="F63" i="16"/>
  <c r="B65" i="16"/>
  <c r="C65" i="16"/>
  <c r="D65" i="16"/>
  <c r="E65" i="16"/>
  <c r="F65" i="16"/>
  <c r="G65" i="16"/>
  <c r="H65" i="16"/>
  <c r="B67" i="16"/>
  <c r="C67" i="16"/>
  <c r="D67" i="16"/>
  <c r="E67" i="16"/>
  <c r="F67" i="16"/>
  <c r="G67" i="16"/>
  <c r="H67" i="16"/>
  <c r="C78" i="16"/>
  <c r="C79" i="16"/>
  <c r="C80" i="16"/>
  <c r="C81" i="16"/>
  <c r="C82" i="16"/>
  <c r="C85" i="16"/>
  <c r="C86" i="16"/>
  <c r="C87" i="16"/>
  <c r="C88" i="16"/>
  <c r="C89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2" i="16"/>
  <c r="D102" i="16"/>
  <c r="F102" i="16"/>
  <c r="G102" i="16"/>
  <c r="B105" i="16"/>
  <c r="D105" i="16"/>
  <c r="E105" i="16"/>
  <c r="F105" i="16"/>
  <c r="G105" i="16"/>
  <c r="B106" i="16"/>
  <c r="D106" i="16"/>
  <c r="E106" i="16"/>
  <c r="F106" i="16"/>
  <c r="G106" i="16"/>
  <c r="B107" i="16"/>
  <c r="D107" i="16"/>
  <c r="E107" i="16"/>
  <c r="F107" i="16"/>
  <c r="G107" i="16"/>
  <c r="B108" i="16"/>
  <c r="D108" i="16"/>
  <c r="E108" i="16"/>
  <c r="F108" i="16"/>
  <c r="G108" i="16"/>
  <c r="B109" i="16"/>
  <c r="D109" i="16"/>
  <c r="E109" i="16"/>
  <c r="F109" i="16"/>
  <c r="G109" i="16"/>
  <c r="B111" i="16"/>
  <c r="C111" i="16"/>
  <c r="D111" i="16"/>
  <c r="E111" i="16"/>
  <c r="F111" i="16"/>
  <c r="G111" i="16"/>
  <c r="H111" i="16"/>
  <c r="B118" i="16"/>
  <c r="C118" i="16"/>
  <c r="D118" i="16"/>
  <c r="E118" i="16"/>
  <c r="F118" i="16"/>
  <c r="G118" i="16"/>
  <c r="B119" i="16"/>
  <c r="C119" i="16"/>
  <c r="D119" i="16"/>
  <c r="E119" i="16"/>
  <c r="F119" i="16"/>
  <c r="G119" i="16"/>
  <c r="B120" i="16"/>
  <c r="C120" i="16"/>
  <c r="D120" i="16"/>
  <c r="E120" i="16"/>
  <c r="F120" i="16"/>
  <c r="G120" i="16"/>
  <c r="B121" i="16"/>
  <c r="C121" i="16"/>
  <c r="D121" i="16"/>
  <c r="E121" i="16"/>
  <c r="F121" i="16"/>
  <c r="G121" i="16"/>
  <c r="B124" i="16"/>
  <c r="D124" i="16"/>
  <c r="E124" i="16"/>
  <c r="F124" i="16"/>
  <c r="G124" i="16"/>
  <c r="B125" i="16"/>
  <c r="D125" i="16"/>
  <c r="E125" i="16"/>
  <c r="F125" i="16"/>
  <c r="G125" i="16"/>
  <c r="B126" i="16"/>
  <c r="D126" i="16"/>
  <c r="E126" i="16"/>
  <c r="F126" i="16"/>
  <c r="G126" i="16"/>
  <c r="B127" i="16"/>
  <c r="D127" i="16"/>
  <c r="E127" i="16"/>
  <c r="F127" i="16"/>
  <c r="G127" i="16"/>
  <c r="B128" i="16"/>
  <c r="D128" i="16"/>
  <c r="E128" i="16"/>
  <c r="F128" i="16"/>
  <c r="G128" i="16"/>
  <c r="B130" i="16"/>
  <c r="C130" i="16"/>
  <c r="D130" i="16"/>
  <c r="E130" i="16"/>
  <c r="F130" i="16"/>
  <c r="G130" i="16"/>
  <c r="H130" i="16"/>
  <c r="C140" i="16"/>
  <c r="C141" i="16"/>
  <c r="C142" i="16"/>
  <c r="N151" i="16"/>
  <c r="Q151" i="16"/>
  <c r="S151" i="16"/>
  <c r="N152" i="16"/>
  <c r="Q152" i="16"/>
  <c r="S152" i="16"/>
  <c r="B153" i="16"/>
  <c r="C153" i="16"/>
  <c r="D153" i="16"/>
  <c r="E153" i="16"/>
  <c r="F153" i="16"/>
  <c r="G153" i="16"/>
  <c r="N153" i="16"/>
  <c r="Q153" i="16"/>
  <c r="S153" i="16"/>
  <c r="B154" i="16"/>
  <c r="C154" i="16"/>
  <c r="D154" i="16"/>
  <c r="E154" i="16"/>
  <c r="F154" i="16"/>
  <c r="G154" i="16"/>
  <c r="N154" i="16"/>
  <c r="Q154" i="16"/>
  <c r="S154" i="16"/>
  <c r="B155" i="16"/>
  <c r="C155" i="16"/>
  <c r="D155" i="16"/>
  <c r="E155" i="16"/>
  <c r="F155" i="16"/>
  <c r="G155" i="16"/>
  <c r="N155" i="16"/>
  <c r="Q155" i="16"/>
  <c r="S155" i="16"/>
  <c r="B156" i="16"/>
  <c r="C156" i="16"/>
  <c r="D156" i="16"/>
  <c r="E156" i="16"/>
  <c r="F156" i="16"/>
  <c r="G156" i="16"/>
  <c r="N156" i="16"/>
  <c r="Q156" i="16"/>
  <c r="S156" i="16"/>
  <c r="B157" i="16"/>
  <c r="C157" i="16"/>
  <c r="D157" i="16"/>
  <c r="E157" i="16"/>
  <c r="F157" i="16"/>
  <c r="G157" i="16"/>
  <c r="N157" i="16"/>
  <c r="S157" i="16"/>
  <c r="B158" i="16"/>
  <c r="C158" i="16"/>
  <c r="D158" i="16"/>
  <c r="E158" i="16"/>
  <c r="F158" i="16"/>
  <c r="G158" i="16"/>
  <c r="N159" i="16"/>
  <c r="Q159" i="16"/>
  <c r="S159" i="16"/>
  <c r="B160" i="16"/>
  <c r="C160" i="16"/>
  <c r="D160" i="16"/>
  <c r="E160" i="16"/>
  <c r="F160" i="16"/>
  <c r="G160" i="16"/>
  <c r="H160" i="16"/>
  <c r="S162" i="16"/>
  <c r="B163" i="16"/>
  <c r="C163" i="16"/>
  <c r="D163" i="16"/>
  <c r="E163" i="16"/>
  <c r="F163" i="16"/>
  <c r="G163" i="16"/>
  <c r="H163" i="16"/>
  <c r="S163" i="16"/>
  <c r="C7" i="5"/>
  <c r="C9" i="5"/>
  <c r="G9" i="5"/>
  <c r="B13" i="5"/>
  <c r="C13" i="5"/>
  <c r="C19" i="5"/>
  <c r="E19" i="5"/>
  <c r="F19" i="5"/>
  <c r="G19" i="5"/>
  <c r="M20" i="5"/>
  <c r="O20" i="5"/>
  <c r="Q20" i="5"/>
  <c r="M21" i="5"/>
  <c r="O21" i="5"/>
  <c r="Q21" i="5"/>
  <c r="B22" i="5"/>
  <c r="C22" i="5"/>
  <c r="D22" i="5"/>
  <c r="E22" i="5"/>
  <c r="F22" i="5"/>
  <c r="G22" i="5"/>
  <c r="M22" i="5"/>
  <c r="O22" i="5"/>
  <c r="Q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7" i="5"/>
  <c r="C27" i="5"/>
  <c r="D27" i="5"/>
  <c r="E27" i="5"/>
  <c r="F27" i="5"/>
  <c r="G27" i="5"/>
  <c r="H27" i="5"/>
  <c r="C32" i="5"/>
  <c r="E32" i="5"/>
  <c r="F32" i="5"/>
  <c r="G32" i="5"/>
  <c r="B34" i="5"/>
  <c r="C34" i="5"/>
  <c r="D34" i="5"/>
  <c r="E34" i="5"/>
  <c r="F34" i="5"/>
  <c r="G34" i="5"/>
  <c r="B36" i="5"/>
  <c r="C36" i="5"/>
  <c r="D36" i="5"/>
  <c r="E36" i="5"/>
  <c r="F36" i="5"/>
  <c r="G36" i="5"/>
  <c r="H36" i="5"/>
  <c r="B39" i="5"/>
  <c r="C39" i="5"/>
  <c r="D39" i="5"/>
  <c r="E39" i="5"/>
  <c r="F39" i="5"/>
  <c r="G39" i="5"/>
  <c r="H39" i="5"/>
  <c r="C7" i="17"/>
  <c r="G8" i="17"/>
  <c r="C9" i="17"/>
  <c r="C14" i="17"/>
  <c r="E14" i="17"/>
  <c r="F14" i="17"/>
  <c r="G14" i="17"/>
  <c r="D16" i="17"/>
  <c r="E16" i="17"/>
  <c r="F16" i="17"/>
  <c r="G16" i="17"/>
  <c r="B18" i="17"/>
  <c r="C18" i="17"/>
  <c r="D18" i="17"/>
  <c r="E18" i="17"/>
  <c r="F18" i="17"/>
  <c r="G18" i="17"/>
  <c r="H18" i="17"/>
  <c r="C21" i="17"/>
  <c r="E21" i="17"/>
  <c r="F21" i="17"/>
  <c r="G21" i="17"/>
  <c r="D23" i="17"/>
  <c r="E23" i="17"/>
  <c r="F23" i="17"/>
  <c r="G23" i="17"/>
  <c r="B25" i="17"/>
  <c r="C25" i="17"/>
  <c r="D25" i="17"/>
  <c r="E25" i="17"/>
  <c r="F25" i="17"/>
  <c r="G25" i="17"/>
  <c r="H25" i="17"/>
  <c r="C29" i="17"/>
  <c r="E29" i="17"/>
  <c r="F29" i="17"/>
  <c r="G29" i="17"/>
  <c r="C31" i="17"/>
  <c r="D31" i="17"/>
  <c r="E31" i="17"/>
  <c r="F31" i="17"/>
  <c r="G31" i="17"/>
  <c r="B33" i="17"/>
  <c r="C33" i="17"/>
  <c r="D33" i="17"/>
  <c r="E33" i="17"/>
  <c r="F33" i="17"/>
  <c r="G33" i="17"/>
  <c r="H33" i="17"/>
  <c r="C36" i="17"/>
  <c r="E36" i="17"/>
  <c r="F36" i="17"/>
  <c r="G36" i="17"/>
  <c r="D38" i="17"/>
  <c r="E38" i="17"/>
  <c r="F38" i="17"/>
  <c r="G38" i="17"/>
  <c r="B40" i="17"/>
  <c r="C40" i="17"/>
  <c r="D40" i="17"/>
  <c r="E40" i="17"/>
  <c r="F40" i="17"/>
  <c r="G40" i="17"/>
  <c r="H40" i="17"/>
  <c r="C44" i="17"/>
  <c r="E44" i="17"/>
  <c r="F44" i="17"/>
  <c r="G44" i="17"/>
  <c r="D46" i="17"/>
  <c r="E46" i="17"/>
  <c r="F46" i="17"/>
  <c r="G46" i="17"/>
  <c r="B48" i="17"/>
  <c r="C48" i="17"/>
  <c r="D48" i="17"/>
  <c r="E48" i="17"/>
  <c r="F48" i="17"/>
  <c r="G48" i="17"/>
  <c r="H48" i="17"/>
  <c r="B51" i="17"/>
  <c r="C51" i="17"/>
  <c r="D51" i="17"/>
  <c r="E51" i="17"/>
  <c r="F51" i="17"/>
  <c r="G51" i="17"/>
  <c r="H51" i="17"/>
  <c r="B62" i="17"/>
  <c r="C62" i="17"/>
  <c r="D62" i="17"/>
  <c r="E62" i="17"/>
  <c r="F62" i="17"/>
  <c r="G62" i="17"/>
  <c r="H62" i="17"/>
</calcChain>
</file>

<file path=xl/sharedStrings.xml><?xml version="1.0" encoding="utf-8"?>
<sst xmlns="http://schemas.openxmlformats.org/spreadsheetml/2006/main" count="465" uniqueCount="222">
  <si>
    <t>Customer Group</t>
  </si>
  <si>
    <t>Baseline</t>
  </si>
  <si>
    <t>130% - 200% of BL</t>
  </si>
  <si>
    <t>Over 200% of BL</t>
  </si>
  <si>
    <t>Non-CARE</t>
  </si>
  <si>
    <t>CARE</t>
  </si>
  <si>
    <t>New Total Revenue          ($ MM)</t>
  </si>
  <si>
    <t xml:space="preserve">Baseline to 130% of BL </t>
  </si>
  <si>
    <t>Baseline CARE</t>
  </si>
  <si>
    <t>San Diego Gas and Electric</t>
  </si>
  <si>
    <t xml:space="preserve">  On-Peak Energy:  Summer</t>
  </si>
  <si>
    <t>Schedule A</t>
  </si>
  <si>
    <t>Usage Charges</t>
  </si>
  <si>
    <t>Fixed Charges</t>
  </si>
  <si>
    <t>Total for Schedule A</t>
  </si>
  <si>
    <t>Schedule A-TC</t>
  </si>
  <si>
    <t>Total for Schedule A-TC</t>
  </si>
  <si>
    <t>Schedule AD</t>
  </si>
  <si>
    <t>Summer Secondary</t>
  </si>
  <si>
    <t>Winter Secondary</t>
  </si>
  <si>
    <t>Winter Primary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</si>
  <si>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</si>
  <si>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</si>
  <si>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</si>
  <si>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</si>
  <si>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</si>
  <si>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</si>
  <si>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</si>
  <si>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</si>
  <si>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</si>
  <si>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</si>
  <si>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</si>
  <si>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</si>
  <si>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</si>
  <si>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</si>
  <si>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</si>
  <si>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</si>
  <si>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</si>
  <si>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Secondary Substation</t>
  </si>
  <si>
    <t>Primary Substation</t>
  </si>
  <si>
    <t>Transmission</t>
  </si>
  <si>
    <t>Residential Rates</t>
  </si>
  <si>
    <t>- Tier 1 Usage</t>
  </si>
  <si>
    <t>- Tier 2 Usage</t>
  </si>
  <si>
    <t>- Tier 3 Usage</t>
  </si>
  <si>
    <t>- Tier 4 Usage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</si>
  <si>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</si>
  <si>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</si>
  <si>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</si>
  <si>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</si>
  <si>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</si>
  <si>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</si>
  <si>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Commodity Price Increase</t>
  </si>
  <si>
    <t>-  Off-Peak Commodity Price Increase</t>
  </si>
  <si>
    <t>Commodity Price Increases</t>
  </si>
  <si>
    <t>-  On-Peak to Off-Peak Commodity Differential</t>
  </si>
  <si>
    <t>Total AY-TOU</t>
  </si>
  <si>
    <t>Usage Breakdown</t>
  </si>
  <si>
    <t>Schedule DR-TOU</t>
  </si>
  <si>
    <t xml:space="preserve">  Off-Peak Energy: Summer</t>
  </si>
  <si>
    <t xml:space="preserve">  On-Peak Energy:  Winter</t>
  </si>
  <si>
    <t xml:space="preserve">  Off-Peak Energy: Winter</t>
  </si>
  <si>
    <t>Total for Schedule DR-TOU</t>
  </si>
  <si>
    <t>Schedule DR-TOU-2</t>
  </si>
  <si>
    <t>Total for Schedule DR-TOU-2</t>
  </si>
  <si>
    <t>EV-TOU/EV-TOU-2\EV-TOU3 INPUTS</t>
  </si>
  <si>
    <t>EV-TOU/EV-TOU-2/EV-TOU-3 Commodity Price Increases</t>
  </si>
  <si>
    <t xml:space="preserve">  EV-TOU/EV-TOU-2/EV-TOU-3 Commodity Price Differentials</t>
  </si>
  <si>
    <t>- On-Peak to Off-Peak Price Differential</t>
  </si>
  <si>
    <t xml:space="preserve">  Super Off-Peak Energy: Summer</t>
  </si>
  <si>
    <t>RESIDENTIAL TOTAL</t>
  </si>
  <si>
    <t xml:space="preserve">Minimum Bill </t>
  </si>
  <si>
    <t>NA</t>
  </si>
  <si>
    <t>Schedules DR, DR-LI, DM, DS, DT, DT-RV, and D-SMF</t>
  </si>
  <si>
    <t>Summer Period</t>
  </si>
  <si>
    <t>Winter Period</t>
  </si>
  <si>
    <t>Total for Schedules DR, DR-LI, DM, DS, DT, DT-RV, and D-SMF</t>
  </si>
  <si>
    <t>Baseline Adjustment Credit</t>
  </si>
  <si>
    <t>Summer Primary</t>
  </si>
  <si>
    <t>Basic Service Fees</t>
  </si>
  <si>
    <t>Demand Charges-Secondary</t>
  </si>
  <si>
    <t>Demand Charges-Primary</t>
  </si>
  <si>
    <t>Average Residential Rate Increase (cents/kWh)</t>
  </si>
  <si>
    <t>Demand Charges</t>
  </si>
  <si>
    <t>Revenue Increase      ($ MM)</t>
  </si>
  <si>
    <t>Fixed Charges-Basic Service Fees</t>
  </si>
  <si>
    <t>3/01/01  Total Rate (cents/kWh)</t>
  </si>
  <si>
    <t>Schedules EV-TOU/EV-TOU-2/EV-TOU-3</t>
  </si>
  <si>
    <t>Total for Schedule AD</t>
  </si>
  <si>
    <t>Total for Schedules EV-TOU/EV-TOU-2/EV-TOU-3</t>
  </si>
  <si>
    <t>Rate</t>
  </si>
  <si>
    <t>(cents/kWh)</t>
  </si>
  <si>
    <t>tier 3</t>
  </si>
  <si>
    <t>s</t>
  </si>
  <si>
    <t>w</t>
  </si>
  <si>
    <t>tier 4</t>
  </si>
  <si>
    <t>Estimated Capped Sales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</si>
  <si>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</si>
  <si>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</si>
  <si>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</si>
  <si>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</si>
  <si>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</si>
  <si>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</si>
  <si>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</si>
  <si>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</si>
  <si>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</si>
  <si>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Super Off-Peak-Summer</t>
  </si>
  <si>
    <t>(Cents/kWh)</t>
  </si>
  <si>
    <t>- Tier 1 Commodity Price Increase (cents/kWh)</t>
  </si>
  <si>
    <t>- Tier 2 Commodity Price Increase (cents/kWh)</t>
  </si>
  <si>
    <t>- Tier 3 Commodity Price Increase (cents/kWh)</t>
  </si>
  <si>
    <t>- Tier 4 Commodity Price Increase (cents/kWh)</t>
  </si>
  <si>
    <t>-  Super Off-Peak Commodity Price Increase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</si>
  <si>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</si>
  <si>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</si>
  <si>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</si>
  <si>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</si>
  <si>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</si>
  <si>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</si>
  <si>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>Fixed Charges - Basic Service Fees</t>
  </si>
  <si>
    <t>T&amp;D TOU Charges</t>
  </si>
  <si>
    <t>Commodity  Charges</t>
  </si>
  <si>
    <t>Baseline to 130% of BL  CARE</t>
  </si>
  <si>
    <t>130% - 200% of BL CARE</t>
  </si>
  <si>
    <t>Minimum Bill  CARE</t>
  </si>
  <si>
    <t>T&amp;D Charges</t>
  </si>
  <si>
    <t xml:space="preserve">       rates that are equal to the Non-TOU residential annual rates.</t>
  </si>
  <si>
    <t>Notes:</t>
  </si>
  <si>
    <t>- Off-Peak to Super Off-Peak Price Differential</t>
  </si>
  <si>
    <t>(Sheet 1 of 3)</t>
  </si>
  <si>
    <t>(Sheet 2 of 3)</t>
  </si>
  <si>
    <t>(Sheet 3 of 3)</t>
  </si>
  <si>
    <t>CARE Break</t>
  </si>
  <si>
    <t>Total</t>
  </si>
  <si>
    <t>Additional Increase to Cover CARE</t>
  </si>
  <si>
    <t>Rate w/ CARE Adder</t>
  </si>
  <si>
    <t xml:space="preserve">       to a line item discount on the bill.  The CARE rates need to be multiplied by 85% to get the resulting rate after applying the CARE line item discount. </t>
  </si>
  <si>
    <t>Residential Non-TOU Inputs</t>
  </si>
  <si>
    <t>DR-TOU/DR-TOU-2  Inputs</t>
  </si>
  <si>
    <t>Commodity Usage Breakdown</t>
  </si>
  <si>
    <t>RESIDENTIAL CLASS</t>
  </si>
  <si>
    <t>(1) - The total rate columns and total revenue columns include T&amp;D and commodity charges.</t>
  </si>
  <si>
    <t>(2) - The total rate columns do not reflect Minimum Bill Revenues</t>
  </si>
  <si>
    <t>(2) - The total rate columns do not reflect Fixed Charges.</t>
  </si>
  <si>
    <t>AB265 Rate Increase w/ CARE Adder</t>
  </si>
  <si>
    <t>Schedule A-TOU</t>
  </si>
  <si>
    <t xml:space="preserve">  On-Peak Energy: Winter</t>
  </si>
  <si>
    <t xml:space="preserve"> Semi-Peak</t>
  </si>
  <si>
    <t>Total A-TOU</t>
  </si>
  <si>
    <t xml:space="preserve">(3) - 2001 Annual Sales Forecast reflects the exclusion of Direct Access (DA) sales equal to 1.6% of total residential sales, which is based on the  </t>
  </si>
  <si>
    <t xml:space="preserve">       projected 12-month DA load found in the April 2001 SDG&amp;E Direct Access Update Report.</t>
  </si>
  <si>
    <t>(4) - The CARE total rates and total revenues do not reflect the authorized 15% CARE discount since D.00-12-058 changed the discount from a rate discount</t>
  </si>
  <si>
    <t>(5) - For simplicity purposes, Non-TOU rates reflect Schedule D-SMF, which is serving only one customer.  Schedule D-SMF has non-seasonal</t>
  </si>
  <si>
    <t xml:space="preserve">(3) - 2001 Annual Sales Forecast reflects the exclusion of Direct Access (DA) sales equal to 1.4% of total small commercial sales, which is based on the  </t>
  </si>
  <si>
    <t>Small Commercial Rates</t>
  </si>
  <si>
    <t>Medium/Large Commercial Rates (AB265 CUSTOMERS)</t>
  </si>
  <si>
    <t>MEDIUM/LARGE COMMERCIAL (AB265) INPUTS</t>
  </si>
  <si>
    <t>Average Medium/Large Commercial (AB265) Rate Increase (cents/kWh)</t>
  </si>
  <si>
    <t>Additional Medium/Large Commercial (AB265) Revenues that Result ($ MM)</t>
  </si>
  <si>
    <t>Medium/Large Commercial (AB265) TOU Commodity Price Increases</t>
  </si>
  <si>
    <t>Medium/Large Commercial (AB265) TOU Commodity Price Differentials</t>
  </si>
  <si>
    <t>MEDIUM/LARGE COMMERCIAL (AB 265) TOTAL</t>
  </si>
  <si>
    <t>Revenue Increase</t>
  </si>
  <si>
    <t>SMALL COMMERCIAL INPUTS</t>
  </si>
  <si>
    <t>Average Small Commercial Rate Increase (cents/kWh)</t>
  </si>
  <si>
    <t>Additional Small Commercial Revenues ($ MM)</t>
  </si>
  <si>
    <t>SMALL COMMERCIAL TOTAL</t>
  </si>
  <si>
    <t xml:space="preserve">       based on the projected 12-month DA load found in the April 2001 SDG&amp;E Direct Access Update Report.</t>
  </si>
  <si>
    <t>(3) - 2001 Annual Sales Forecast reflects the exclusion of Direct Access (DA) sales equal to 15.2% of total medium/large commercial sales, which is</t>
  </si>
  <si>
    <t>200% - 300% of BL</t>
  </si>
  <si>
    <t>Over 300% of BL</t>
  </si>
  <si>
    <t>tier 5</t>
  </si>
  <si>
    <t>NON-CARE</t>
  </si>
  <si>
    <t>NON-CARE SUB-TOTAL</t>
  </si>
  <si>
    <t>CARE SUB-TOTAL</t>
  </si>
  <si>
    <t>- Tier 1 Commodity Price (cents/kWh)</t>
  </si>
  <si>
    <t>- Tier 2 Commodity Price (cents/kWh)</t>
  </si>
  <si>
    <t>- Tier 3 Commodity Price (cents/kWh)</t>
  </si>
  <si>
    <t>- Tier 4 Commodity Price (cents/kWh)</t>
  </si>
  <si>
    <t>- Tier 5 Commodity Price (cents/kWh)</t>
  </si>
  <si>
    <t>- Tier 5 Usage</t>
  </si>
  <si>
    <t>- Tier 5 Commodity Price Increase (cents/kWh)</t>
  </si>
  <si>
    <t>Commodity Charges</t>
  </si>
  <si>
    <t>Customer Rate Increase</t>
  </si>
  <si>
    <t>SMALL CUSTOMER TOTAL</t>
  </si>
  <si>
    <t>Average Small</t>
  </si>
  <si>
    <t>Revenue Increase    ($ MM)</t>
  </si>
  <si>
    <t>2.77 cent increase</t>
  </si>
  <si>
    <t>Seasonal Split-70% Summer and 30% Winter</t>
  </si>
  <si>
    <t>Total Usage (GWh)</t>
  </si>
  <si>
    <t xml:space="preserve">   - Summer Usage (GWh)</t>
  </si>
  <si>
    <t xml:space="preserve">   - Winter Usage (GWh)</t>
  </si>
  <si>
    <t>Rate Increase</t>
  </si>
  <si>
    <t>Small Commercial Inputs</t>
  </si>
  <si>
    <t>Summer</t>
  </si>
  <si>
    <t>Winter</t>
  </si>
  <si>
    <t>Revenue Increase %</t>
  </si>
  <si>
    <t xml:space="preserve">(6) - Medical Baseline Customers are exempt from the commodity rate increases. </t>
  </si>
  <si>
    <t xml:space="preserve">Seasonal Split of Revenue Increase - Schedule A  </t>
  </si>
  <si>
    <t>3/01/01   Total Rate (cents/kWh)</t>
  </si>
  <si>
    <t>3/01/01    Total Rate (cents/kWh)</t>
  </si>
  <si>
    <t>3/01/01      Total Rate (cents/kWh)</t>
  </si>
  <si>
    <t>Additional Residential Revenues ($ MM)</t>
  </si>
  <si>
    <t>-  On-Peak Commodity Price (cents/kWh)</t>
  </si>
  <si>
    <t>-  Semi-Peak Commodity Price (cents/kWh)</t>
  </si>
  <si>
    <t>-  Off-Peak Commodity Price (cent/kWh)</t>
  </si>
  <si>
    <t>Street Lighting Rates</t>
  </si>
  <si>
    <t>STREET LIGHTING INPUTS</t>
  </si>
  <si>
    <t>Average Rate Increase for Street Lighting Customers (cents/kWh)</t>
  </si>
  <si>
    <t>Additional Street Lighting Revenues that Result ($ MM)</t>
  </si>
  <si>
    <t>Schedule LS-1</t>
  </si>
  <si>
    <t>Schedule LS-2</t>
  </si>
  <si>
    <t>Total for Schedule LS-2</t>
  </si>
  <si>
    <t>Schedule LS-3</t>
  </si>
  <si>
    <t>Total for Schedule LS-3</t>
  </si>
  <si>
    <t>Schedule OL-1</t>
  </si>
  <si>
    <t>Total for Schedule OL-1</t>
  </si>
  <si>
    <t>Schedule DWL</t>
  </si>
  <si>
    <t>Total for Schedule DWL</t>
  </si>
  <si>
    <t>STREET LIGHTING TOTAL</t>
  </si>
  <si>
    <t>Revenue Increase     ($ MM)</t>
  </si>
  <si>
    <t>Total Small &amp; Large Exempt Customer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</si>
</sst>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6" formatCode="#,##0.0_);[Red]\(#,##0.0\)"/>
    <numFmt numFmtId="177" formatCode="&quot;$&quot;#,##0.000_);[Red]\(&quot;$&quot;#,##0.000\)"/>
    <numFmt numFmtId="179" formatCode="_(* #,##0.0_);_(* \(#,##0.0\);_(* &quot;-&quot;??_);_(@_)"/>
    <numFmt numFmtId="181" formatCode="0.0000"/>
    <numFmt numFmtId="183" formatCode="0.000000"/>
    <numFmt numFmtId="184" formatCode="0.00000"/>
    <numFmt numFmtId="186" formatCode="&quot;$&quot;#,##0.00"/>
    <numFmt numFmtId="194" formatCode="&quot;$&quot;#,##0.0000_);[Red]\(&quot;$&quot;#,##0.0000\)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right"/>
    </xf>
    <xf numFmtId="164" fontId="3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167" fontId="4" fillId="0" borderId="0" xfId="4" applyNumberFormat="1" applyFont="1"/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164" fontId="8" fillId="0" borderId="0" xfId="4" applyNumberFormat="1" applyFont="1"/>
    <xf numFmtId="164" fontId="8" fillId="0" borderId="0" xfId="4" applyNumberFormat="1" applyFont="1" applyBorder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 indent="1"/>
    </xf>
    <xf numFmtId="0" fontId="3" fillId="0" borderId="3" xfId="5" quotePrefix="1" applyFont="1" applyFill="1" applyBorder="1" applyAlignment="1">
      <alignment horizontal="left" indent="1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0" fontId="3" fillId="0" borderId="0" xfId="5" applyFont="1" applyFill="1" applyBorder="1" applyAlignment="1">
      <alignment horizontal="left" indent="1"/>
    </xf>
    <xf numFmtId="165" fontId="3" fillId="0" borderId="0" xfId="4" applyNumberFormat="1" applyFont="1" applyBorder="1"/>
    <xf numFmtId="0" fontId="5" fillId="0" borderId="0" xfId="0" applyFont="1" applyBorder="1" applyAlignment="1">
      <alignment horizontal="center"/>
    </xf>
    <xf numFmtId="165" fontId="5" fillId="0" borderId="6" xfId="4" applyNumberFormat="1" applyFont="1" applyBorder="1" applyAlignment="1">
      <alignment horizontal="center"/>
    </xf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6" xfId="0" applyFont="1" applyBorder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right"/>
    </xf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5" xfId="4" applyFont="1" applyBorder="1" applyAlignment="1">
      <alignment horizontal="center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0" fontId="3" fillId="0" borderId="8" xfId="5" quotePrefix="1" applyFont="1" applyFill="1" applyBorder="1" applyAlignment="1">
      <alignment horizontal="left" indent="1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" fontId="3" fillId="0" borderId="0" xfId="4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 applyProtection="1">
      <alignment horizontal="right"/>
    </xf>
    <xf numFmtId="38" fontId="4" fillId="0" borderId="0" xfId="4" applyNumberFormat="1" applyFont="1" applyBorder="1"/>
    <xf numFmtId="164" fontId="4" fillId="0" borderId="0" xfId="4" applyNumberFormat="1" applyFont="1" applyBorder="1"/>
    <xf numFmtId="0" fontId="4" fillId="0" borderId="0" xfId="0" applyFont="1" applyAlignment="1" applyProtection="1">
      <alignment horizontal="right"/>
    </xf>
    <xf numFmtId="9" fontId="3" fillId="0" borderId="6" xfId="6" applyFont="1" applyBorder="1"/>
    <xf numFmtId="9" fontId="3" fillId="0" borderId="10" xfId="6" applyFont="1" applyBorder="1"/>
    <xf numFmtId="9" fontId="3" fillId="0" borderId="0" xfId="6" applyFont="1" applyBorder="1"/>
    <xf numFmtId="9" fontId="3" fillId="0" borderId="7" xfId="6" applyFont="1" applyBorder="1"/>
    <xf numFmtId="38" fontId="4" fillId="0" borderId="0" xfId="0" applyNumberFormat="1" applyFont="1"/>
    <xf numFmtId="176" fontId="4" fillId="0" borderId="0" xfId="4" applyNumberFormat="1" applyFont="1" applyBorder="1"/>
    <xf numFmtId="0" fontId="5" fillId="0" borderId="0" xfId="4" quotePrefix="1" applyFont="1" applyBorder="1"/>
    <xf numFmtId="0" fontId="3" fillId="0" borderId="0" xfId="4" quotePrefix="1" applyFont="1" applyBorder="1" applyAlignment="1">
      <alignment horizontal="right"/>
    </xf>
    <xf numFmtId="43" fontId="4" fillId="0" borderId="0" xfId="1" applyNumberFormat="1" applyFont="1"/>
    <xf numFmtId="9" fontId="3" fillId="0" borderId="11" xfId="4" applyNumberFormat="1" applyFont="1" applyBorder="1" applyAlignment="1">
      <alignment horizontal="right"/>
    </xf>
    <xf numFmtId="2" fontId="3" fillId="0" borderId="0" xfId="4" applyNumberFormat="1" applyFont="1" applyBorder="1" applyAlignment="1">
      <alignment horizontal="right"/>
    </xf>
    <xf numFmtId="167" fontId="4" fillId="0" borderId="0" xfId="0" applyNumberFormat="1" applyFont="1"/>
    <xf numFmtId="176" fontId="3" fillId="0" borderId="0" xfId="4" applyNumberFormat="1" applyFont="1" applyBorder="1"/>
    <xf numFmtId="164" fontId="3" fillId="0" borderId="0" xfId="4" applyNumberFormat="1" applyFont="1" applyBorder="1"/>
    <xf numFmtId="43" fontId="4" fillId="0" borderId="0" xfId="0" applyNumberFormat="1" applyFont="1" applyBorder="1"/>
    <xf numFmtId="43" fontId="3" fillId="0" borderId="0" xfId="1" applyFont="1" applyBorder="1" applyAlignment="1">
      <alignment horizontal="right"/>
    </xf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170" fontId="3" fillId="0" borderId="12" xfId="1" applyNumberFormat="1" applyFont="1" applyBorder="1"/>
    <xf numFmtId="179" fontId="3" fillId="0" borderId="12" xfId="1" applyNumberFormat="1" applyFont="1" applyBorder="1"/>
    <xf numFmtId="9" fontId="3" fillId="0" borderId="12" xfId="4" applyNumberFormat="1" applyFont="1" applyBorder="1" applyAlignment="1">
      <alignment horizontal="right"/>
    </xf>
    <xf numFmtId="0" fontId="3" fillId="0" borderId="11" xfId="4" applyFont="1" applyFill="1" applyBorder="1" applyAlignment="1">
      <alignment horizontal="left"/>
    </xf>
    <xf numFmtId="9" fontId="4" fillId="0" borderId="0" xfId="4" quotePrefix="1" applyNumberFormat="1" applyFont="1" applyFill="1" applyBorder="1" applyAlignment="1">
      <alignment horizontal="right"/>
    </xf>
    <xf numFmtId="44" fontId="4" fillId="0" borderId="0" xfId="2" applyFont="1" applyBorder="1"/>
    <xf numFmtId="4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0" xfId="6" applyFont="1"/>
    <xf numFmtId="9" fontId="3" fillId="0" borderId="0" xfId="6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/>
    </xf>
    <xf numFmtId="1" fontId="4" fillId="0" borderId="0" xfId="0" applyNumberFormat="1" applyFont="1"/>
    <xf numFmtId="44" fontId="4" fillId="0" borderId="0" xfId="2" applyFont="1"/>
    <xf numFmtId="1" fontId="4" fillId="0" borderId="0" xfId="0" applyNumberFormat="1" applyFont="1" applyBorder="1"/>
    <xf numFmtId="44" fontId="4" fillId="0" borderId="13" xfId="2" applyFont="1" applyBorder="1"/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4" xfId="0" applyFont="1" applyBorder="1" applyAlignment="1">
      <alignment horizontal="right"/>
    </xf>
    <xf numFmtId="0" fontId="4" fillId="0" borderId="15" xfId="0" applyFont="1" applyBorder="1"/>
    <xf numFmtId="44" fontId="4" fillId="0" borderId="16" xfId="0" applyNumberFormat="1" applyFont="1" applyBorder="1"/>
    <xf numFmtId="0" fontId="14" fillId="0" borderId="17" xfId="0" applyFont="1" applyBorder="1" applyAlignment="1">
      <alignment horizontal="right"/>
    </xf>
    <xf numFmtId="174" fontId="4" fillId="0" borderId="18" xfId="0" applyNumberFormat="1" applyFont="1" applyBorder="1"/>
    <xf numFmtId="0" fontId="15" fillId="0" borderId="19" xfId="0" applyFont="1" applyBorder="1" applyAlignment="1">
      <alignment horizontal="right"/>
    </xf>
    <xf numFmtId="0" fontId="4" fillId="0" borderId="13" xfId="0" applyFont="1" applyBorder="1"/>
    <xf numFmtId="0" fontId="4" fillId="0" borderId="20" xfId="0" applyFont="1" applyBorder="1"/>
    <xf numFmtId="43" fontId="4" fillId="0" borderId="0" xfId="1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11" xfId="4" applyFont="1" applyBorder="1" applyAlignment="1">
      <alignment horizontal="right"/>
    </xf>
    <xf numFmtId="176" fontId="3" fillId="0" borderId="11" xfId="4" applyNumberFormat="1" applyFont="1" applyBorder="1"/>
    <xf numFmtId="9" fontId="3" fillId="0" borderId="11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38" fontId="4" fillId="0" borderId="7" xfId="4" applyNumberFormat="1" applyFont="1" applyBorder="1"/>
    <xf numFmtId="164" fontId="4" fillId="0" borderId="7" xfId="4" applyNumberFormat="1" applyFont="1" applyBorder="1"/>
    <xf numFmtId="8" fontId="3" fillId="0" borderId="0" xfId="4" applyNumberFormat="1" applyFont="1" applyBorder="1"/>
    <xf numFmtId="9" fontId="3" fillId="0" borderId="0" xfId="6" applyFont="1" applyBorder="1" applyAlignment="1">
      <alignment horizontal="right"/>
    </xf>
    <xf numFmtId="176" fontId="3" fillId="0" borderId="0" xfId="4" applyNumberFormat="1" applyFont="1" applyBorder="1" applyAlignment="1">
      <alignment horizontal="right"/>
    </xf>
    <xf numFmtId="179" fontId="3" fillId="0" borderId="11" xfId="1" applyNumberFormat="1" applyFont="1" applyBorder="1"/>
    <xf numFmtId="0" fontId="3" fillId="0" borderId="13" xfId="4" applyFont="1" applyBorder="1" applyAlignment="1">
      <alignment horizontal="right"/>
    </xf>
    <xf numFmtId="179" fontId="4" fillId="0" borderId="0" xfId="0" applyNumberFormat="1" applyFont="1"/>
    <xf numFmtId="43" fontId="4" fillId="0" borderId="13" xfId="0" applyNumberFormat="1" applyFont="1" applyBorder="1"/>
    <xf numFmtId="0" fontId="3" fillId="0" borderId="11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1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39" fontId="3" fillId="0" borderId="0" xfId="1" applyNumberFormat="1" applyFont="1" applyBorder="1"/>
    <xf numFmtId="39" fontId="3" fillId="0" borderId="6" xfId="1" applyNumberFormat="1" applyFont="1" applyBorder="1"/>
    <xf numFmtId="179" fontId="4" fillId="0" borderId="0" xfId="1" applyNumberFormat="1" applyFont="1" applyFill="1" applyBorder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 applyAlignment="1">
      <alignment horizontal="left"/>
    </xf>
    <xf numFmtId="179" fontId="3" fillId="0" borderId="7" xfId="1" applyNumberFormat="1" applyFont="1" applyBorder="1"/>
    <xf numFmtId="179" fontId="3" fillId="0" borderId="7" xfId="1" applyNumberFormat="1" applyFont="1" applyBorder="1" applyAlignment="1">
      <alignment horizontal="right"/>
    </xf>
    <xf numFmtId="179" fontId="8" fillId="0" borderId="0" xfId="1" applyNumberFormat="1" applyFont="1" applyBorder="1"/>
    <xf numFmtId="179" fontId="3" fillId="0" borderId="11" xfId="1" applyNumberFormat="1" applyFont="1" applyBorder="1" applyAlignment="1">
      <alignment horizontal="left"/>
    </xf>
    <xf numFmtId="39" fontId="3" fillId="0" borderId="1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67" fontId="4" fillId="0" borderId="0" xfId="4" applyNumberFormat="1" applyFont="1" applyFill="1" applyBorder="1"/>
    <xf numFmtId="167" fontId="4" fillId="0" borderId="0" xfId="4" applyNumberFormat="1" applyFont="1" applyBorder="1"/>
    <xf numFmtId="196" fontId="4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84" fontId="4" fillId="0" borderId="0" xfId="0" applyNumberFormat="1" applyFont="1"/>
    <xf numFmtId="184" fontId="4" fillId="0" borderId="13" xfId="0" applyNumberFormat="1" applyFont="1" applyBorder="1"/>
    <xf numFmtId="8" fontId="3" fillId="0" borderId="11" xfId="4" applyNumberFormat="1" applyFont="1" applyBorder="1"/>
    <xf numFmtId="8" fontId="4" fillId="0" borderId="0" xfId="2" applyNumberFormat="1" applyFont="1" applyBorder="1"/>
    <xf numFmtId="181" fontId="3" fillId="0" borderId="0" xfId="4" applyNumberFormat="1" applyFont="1" applyBorder="1"/>
    <xf numFmtId="179" fontId="3" fillId="0" borderId="0" xfId="1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0" applyNumberFormat="1" applyFont="1"/>
    <xf numFmtId="164" fontId="4" fillId="0" borderId="13" xfId="0" applyNumberFormat="1" applyFont="1" applyBorder="1"/>
    <xf numFmtId="177" fontId="7" fillId="0" borderId="0" xfId="0" applyNumberFormat="1" applyFont="1" applyBorder="1"/>
    <xf numFmtId="194" fontId="7" fillId="0" borderId="0" xfId="0" applyNumberFormat="1" applyFont="1" applyBorder="1"/>
    <xf numFmtId="2" fontId="4" fillId="0" borderId="0" xfId="0" applyNumberFormat="1" applyFont="1"/>
    <xf numFmtId="201" fontId="4" fillId="0" borderId="0" xfId="0" applyNumberFormat="1" applyFont="1"/>
    <xf numFmtId="2" fontId="16" fillId="0" borderId="0" xfId="0" applyNumberFormat="1" applyFont="1"/>
    <xf numFmtId="201" fontId="4" fillId="0" borderId="0" xfId="1" applyNumberFormat="1" applyFont="1"/>
    <xf numFmtId="184" fontId="3" fillId="0" borderId="0" xfId="4" applyNumberFormat="1" applyFont="1" applyFill="1" applyBorder="1" applyAlignment="1">
      <alignment horizontal="right"/>
    </xf>
    <xf numFmtId="40" fontId="3" fillId="0" borderId="6" xfId="1" applyNumberFormat="1" applyFont="1" applyBorder="1" applyAlignment="1">
      <alignment horizontal="right"/>
    </xf>
    <xf numFmtId="40" fontId="3" fillId="0" borderId="10" xfId="1" applyNumberFormat="1" applyFont="1" applyBorder="1" applyAlignment="1">
      <alignment horizontal="right"/>
    </xf>
    <xf numFmtId="38" fontId="4" fillId="0" borderId="0" xfId="0" applyNumberFormat="1" applyFont="1" applyBorder="1"/>
    <xf numFmtId="183" fontId="4" fillId="0" borderId="0" xfId="0" applyNumberFormat="1" applyFont="1" applyBorder="1"/>
    <xf numFmtId="44" fontId="4" fillId="0" borderId="0" xfId="0" applyNumberFormat="1" applyFont="1" applyBorder="1"/>
    <xf numFmtId="196" fontId="4" fillId="0" borderId="0" xfId="0" applyNumberFormat="1" applyFont="1" applyBorder="1"/>
    <xf numFmtId="0" fontId="14" fillId="0" borderId="0" xfId="0" applyFont="1" applyBorder="1" applyAlignment="1">
      <alignment horizontal="right"/>
    </xf>
    <xf numFmtId="174" fontId="4" fillId="0" borderId="0" xfId="0" applyNumberFormat="1" applyFont="1" applyBorder="1"/>
    <xf numFmtId="0" fontId="5" fillId="0" borderId="2" xfId="5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165" fontId="5" fillId="0" borderId="9" xfId="4" applyNumberFormat="1" applyFont="1" applyBorder="1" applyAlignment="1">
      <alignment horizontal="center"/>
    </xf>
    <xf numFmtId="0" fontId="5" fillId="0" borderId="2" xfId="3" applyFont="1" applyBorder="1" applyAlignment="1">
      <alignment horizontal="left"/>
    </xf>
    <xf numFmtId="186" fontId="3" fillId="0" borderId="10" xfId="4" applyNumberFormat="1" applyFont="1" applyBorder="1"/>
    <xf numFmtId="186" fontId="3" fillId="0" borderId="11" xfId="1" applyNumberFormat="1" applyFont="1" applyBorder="1" applyAlignment="1">
      <alignment horizontal="right"/>
    </xf>
    <xf numFmtId="8" fontId="4" fillId="0" borderId="0" xfId="1" applyNumberFormat="1" applyFont="1" applyBorder="1" applyAlignment="1">
      <alignment horizontal="right"/>
    </xf>
    <xf numFmtId="8" fontId="4" fillId="0" borderId="7" xfId="2" applyNumberFormat="1" applyFont="1" applyBorder="1"/>
    <xf numFmtId="8" fontId="4" fillId="0" borderId="7" xfId="4" applyNumberFormat="1" applyFont="1" applyBorder="1" applyAlignment="1">
      <alignment horizontal="right"/>
    </xf>
    <xf numFmtId="8" fontId="3" fillId="0" borderId="7" xfId="1" applyNumberFormat="1" applyFont="1" applyBorder="1"/>
    <xf numFmtId="8" fontId="3" fillId="0" borderId="11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7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1" xfId="2" applyNumberFormat="1" applyFont="1" applyBorder="1"/>
    <xf numFmtId="186" fontId="4" fillId="0" borderId="7" xfId="0" applyNumberFormat="1" applyFont="1" applyBorder="1"/>
    <xf numFmtId="186" fontId="7" fillId="0" borderId="7" xfId="0" applyNumberFormat="1" applyFont="1" applyBorder="1"/>
    <xf numFmtId="9" fontId="3" fillId="0" borderId="12" xfId="6" applyFont="1" applyBorder="1" applyAlignment="1">
      <alignment horizontal="right"/>
    </xf>
    <xf numFmtId="8" fontId="3" fillId="0" borderId="0" xfId="2" applyNumberFormat="1" applyFont="1" applyBorder="1"/>
    <xf numFmtId="43" fontId="4" fillId="0" borderId="0" xfId="1" applyFont="1"/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4" applyNumberFormat="1" applyFont="1" applyAlignment="1">
      <alignment horizontal="center"/>
    </xf>
    <xf numFmtId="43" fontId="3" fillId="0" borderId="11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1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4" applyNumberFormat="1" applyFont="1" applyBorder="1"/>
    <xf numFmtId="43" fontId="4" fillId="0" borderId="0" xfId="1" applyNumberFormat="1" applyFont="1" applyBorder="1"/>
    <xf numFmtId="43" fontId="4" fillId="0" borderId="0" xfId="4" applyNumberFormat="1" applyFont="1"/>
    <xf numFmtId="4" fontId="3" fillId="0" borderId="6" xfId="1" applyNumberFormat="1" applyFont="1" applyBorder="1"/>
    <xf numFmtId="43" fontId="3" fillId="0" borderId="0" xfId="1" applyNumberFormat="1" applyFont="1" applyBorder="1" applyAlignment="1">
      <alignment horizontal="right"/>
    </xf>
    <xf numFmtId="43" fontId="4" fillId="0" borderId="0" xfId="6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right"/>
    </xf>
    <xf numFmtId="43" fontId="3" fillId="0" borderId="0" xfId="4" applyNumberFormat="1" applyFont="1" applyBorder="1"/>
    <xf numFmtId="43" fontId="3" fillId="0" borderId="0" xfId="4" applyNumberFormat="1" applyFont="1" applyBorder="1" applyAlignment="1">
      <alignment horizontal="right"/>
    </xf>
    <xf numFmtId="4" fontId="3" fillId="0" borderId="6" xfId="4" applyNumberFormat="1" applyFont="1" applyBorder="1"/>
    <xf numFmtId="43" fontId="3" fillId="0" borderId="0" xfId="1" applyNumberFormat="1" applyFont="1" applyBorder="1"/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3" fillId="0" borderId="11" xfId="0" applyNumberFormat="1" applyFont="1" applyBorder="1"/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4" fillId="0" borderId="0" xfId="4" applyNumberFormat="1" applyFont="1" applyBorder="1" applyAlignment="1">
      <alignment horizontal="right"/>
    </xf>
    <xf numFmtId="8" fontId="4" fillId="0" borderId="0" xfId="1" applyNumberFormat="1" applyFont="1" applyBorder="1"/>
    <xf numFmtId="8" fontId="4" fillId="0" borderId="0" xfId="1" applyNumberFormat="1" applyFont="1"/>
    <xf numFmtId="8" fontId="7" fillId="0" borderId="0" xfId="0" applyNumberFormat="1" applyFont="1"/>
    <xf numFmtId="8" fontId="3" fillId="0" borderId="11" xfId="0" applyNumberFormat="1" applyFont="1" applyBorder="1"/>
    <xf numFmtId="8" fontId="3" fillId="0" borderId="11" xfId="2" applyNumberFormat="1" applyFont="1" applyBorder="1" applyAlignment="1">
      <alignment horizontal="right"/>
    </xf>
    <xf numFmtId="43" fontId="4" fillId="0" borderId="0" xfId="1" applyFont="1" applyBorder="1" applyAlignment="1">
      <alignment horizontal="left"/>
    </xf>
    <xf numFmtId="8" fontId="3" fillId="0" borderId="0" xfId="0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9" fontId="4" fillId="0" borderId="0" xfId="6" applyNumberFormat="1" applyFont="1"/>
    <xf numFmtId="0" fontId="3" fillId="0" borderId="0" xfId="4" applyFont="1" applyBorder="1"/>
    <xf numFmtId="0" fontId="3" fillId="0" borderId="21" xfId="0" applyFont="1" applyBorder="1" applyAlignment="1">
      <alignment horizontal="right"/>
    </xf>
    <xf numFmtId="179" fontId="3" fillId="0" borderId="21" xfId="0" applyNumberFormat="1" applyFont="1" applyBorder="1"/>
    <xf numFmtId="8" fontId="3" fillId="0" borderId="21" xfId="0" applyNumberFormat="1" applyFont="1" applyBorder="1"/>
    <xf numFmtId="43" fontId="3" fillId="0" borderId="21" xfId="1" applyFont="1" applyBorder="1"/>
    <xf numFmtId="9" fontId="3" fillId="0" borderId="21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left"/>
    </xf>
    <xf numFmtId="186" fontId="3" fillId="0" borderId="0" xfId="1" applyNumberFormat="1" applyFont="1" applyBorder="1" applyAlignment="1">
      <alignment horizontal="right"/>
    </xf>
    <xf numFmtId="184" fontId="4" fillId="0" borderId="18" xfId="0" applyNumberFormat="1" applyFont="1" applyBorder="1"/>
    <xf numFmtId="0" fontId="3" fillId="0" borderId="3" xfId="0" applyFont="1" applyBorder="1"/>
    <xf numFmtId="166" fontId="3" fillId="0" borderId="6" xfId="1" applyNumberFormat="1" applyFont="1" applyFill="1" applyBorder="1" applyAlignment="1">
      <alignment horizontal="left"/>
    </xf>
    <xf numFmtId="8" fontId="3" fillId="0" borderId="12" xfId="1" applyNumberFormat="1" applyFont="1" applyBorder="1"/>
    <xf numFmtId="43" fontId="4" fillId="0" borderId="0" xfId="4" applyNumberFormat="1" applyFont="1" applyFill="1" applyBorder="1" applyAlignment="1">
      <alignment horizontal="right"/>
    </xf>
    <xf numFmtId="43" fontId="3" fillId="0" borderId="0" xfId="2" applyNumberFormat="1" applyFont="1" applyBorder="1"/>
    <xf numFmtId="0" fontId="3" fillId="0" borderId="8" xfId="0" applyFont="1" applyBorder="1"/>
    <xf numFmtId="166" fontId="3" fillId="0" borderId="10" xfId="1" applyNumberFormat="1" applyFont="1" applyFill="1" applyBorder="1" applyAlignment="1">
      <alignment horizontal="left"/>
    </xf>
    <xf numFmtId="0" fontId="4" fillId="0" borderId="8" xfId="0" applyFont="1" applyBorder="1"/>
    <xf numFmtId="0" fontId="5" fillId="0" borderId="6" xfId="0" applyFont="1" applyBorder="1" applyAlignment="1">
      <alignment horizontal="center"/>
    </xf>
    <xf numFmtId="2" fontId="4" fillId="0" borderId="0" xfId="4" applyNumberFormat="1" applyFont="1" applyBorder="1"/>
    <xf numFmtId="9" fontId="4" fillId="0" borderId="0" xfId="6" applyFont="1" applyBorder="1"/>
    <xf numFmtId="8" fontId="4" fillId="0" borderId="0" xfId="1" applyNumberFormat="1" applyFont="1" applyAlignment="1">
      <alignment horizontal="right"/>
    </xf>
    <xf numFmtId="8" fontId="4" fillId="0" borderId="0" xfId="4" applyNumberFormat="1" applyFont="1" applyAlignment="1">
      <alignment horizontal="center"/>
    </xf>
    <xf numFmtId="8" fontId="4" fillId="0" borderId="0" xfId="4" applyNumberFormat="1" applyFont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179" fontId="4" fillId="0" borderId="0" xfId="0" applyNumberFormat="1" applyFont="1" applyBorder="1"/>
    <xf numFmtId="8" fontId="4" fillId="0" borderId="0" xfId="0" applyNumberFormat="1" applyFont="1" applyBorder="1"/>
    <xf numFmtId="8" fontId="3" fillId="0" borderId="0" xfId="1" applyNumberFormat="1" applyFont="1" applyBorder="1"/>
    <xf numFmtId="43" fontId="8" fillId="0" borderId="0" xfId="1" applyFont="1"/>
    <xf numFmtId="43" fontId="3" fillId="0" borderId="11" xfId="1" applyFont="1" applyBorder="1" applyAlignment="1">
      <alignment horizontal="right"/>
    </xf>
    <xf numFmtId="43" fontId="3" fillId="0" borderId="0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3" fillId="0" borderId="12" xfId="1" applyFont="1" applyBorder="1" applyAlignment="1">
      <alignment horizontal="right"/>
    </xf>
    <xf numFmtId="43" fontId="8" fillId="0" borderId="0" xfId="1" applyFont="1" applyBorder="1"/>
    <xf numFmtId="9" fontId="3" fillId="0" borderId="7" xfId="6" applyFont="1" applyBorder="1" applyAlignment="1">
      <alignment horizontal="center"/>
    </xf>
    <xf numFmtId="9" fontId="3" fillId="0" borderId="10" xfId="6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78"/>
  <sheetViews>
    <sheetView tabSelected="1" zoomScaleNormal="100" workbookViewId="0"/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9" width="2.140625" style="6" customWidth="1"/>
    <col min="10" max="10" width="4" style="6" bestFit="1" customWidth="1"/>
    <col min="11" max="12" width="2.140625" style="6" customWidth="1"/>
    <col min="13" max="13" width="41.42578125" style="6" bestFit="1" customWidth="1"/>
    <col min="14" max="14" width="26.85546875" style="6" bestFit="1" customWidth="1"/>
    <col min="15" max="16" width="2.140625" style="6" customWidth="1"/>
    <col min="17" max="17" width="11.42578125" style="6" bestFit="1" customWidth="1"/>
    <col min="18" max="18" width="2.140625" style="6" customWidth="1"/>
    <col min="19" max="19" width="18.42578125" style="6" bestFit="1" customWidth="1"/>
    <col min="20" max="16384" width="2.140625" style="6"/>
  </cols>
  <sheetData>
    <row r="1" spans="1:8" x14ac:dyDescent="0.2">
      <c r="H1" s="45" t="s">
        <v>129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41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218" t="s">
        <v>140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82</v>
      </c>
      <c r="B7" s="31"/>
      <c r="C7" s="236">
        <f>G163-C163</f>
        <v>2.7085977673099979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202</v>
      </c>
      <c r="B9" s="33"/>
      <c r="C9" s="219">
        <f>E163</f>
        <v>174.68649359636998</v>
      </c>
      <c r="E9" s="38"/>
      <c r="F9" s="38"/>
      <c r="G9" s="290"/>
      <c r="H9" s="291"/>
    </row>
    <row r="10" spans="1:8" x14ac:dyDescent="0.2">
      <c r="A10" s="5"/>
      <c r="B10" s="30"/>
      <c r="C10" s="115"/>
      <c r="E10" s="38"/>
      <c r="F10" s="38"/>
      <c r="G10" s="31"/>
      <c r="H10" s="39"/>
    </row>
    <row r="11" spans="1:8" x14ac:dyDescent="0.2">
      <c r="A11" s="41" t="s">
        <v>137</v>
      </c>
      <c r="B11" s="49" t="s">
        <v>4</v>
      </c>
      <c r="C11" s="50" t="s">
        <v>5</v>
      </c>
      <c r="E11" s="38"/>
      <c r="F11" s="38"/>
      <c r="G11" s="31"/>
      <c r="H11" s="39"/>
    </row>
    <row r="12" spans="1:8" x14ac:dyDescent="0.2">
      <c r="A12" s="41"/>
      <c r="B12" s="31"/>
      <c r="C12" s="32"/>
      <c r="E12" s="38"/>
      <c r="F12" s="38"/>
      <c r="G12" s="31"/>
      <c r="H12" s="39"/>
    </row>
    <row r="13" spans="1:8" x14ac:dyDescent="0.2">
      <c r="A13" s="42" t="s">
        <v>54</v>
      </c>
      <c r="B13" s="31"/>
      <c r="C13" s="32"/>
      <c r="E13" s="38"/>
      <c r="F13" s="38"/>
      <c r="G13" s="31"/>
      <c r="H13" s="39"/>
    </row>
    <row r="14" spans="1:8" x14ac:dyDescent="0.2">
      <c r="A14" s="43" t="s">
        <v>175</v>
      </c>
      <c r="B14" s="168">
        <f>6.5+(G34-C34)</f>
        <v>6.5</v>
      </c>
      <c r="C14" s="169">
        <f>6.5+(G51-C51)</f>
        <v>6.4999999999999982</v>
      </c>
      <c r="E14" s="38"/>
      <c r="F14" s="38"/>
      <c r="G14" s="31"/>
      <c r="H14" s="39"/>
    </row>
    <row r="15" spans="1:8" x14ac:dyDescent="0.2">
      <c r="A15" s="43" t="s">
        <v>176</v>
      </c>
      <c r="B15" s="168">
        <f>6.5+(G35-C35)</f>
        <v>6.5</v>
      </c>
      <c r="C15" s="169">
        <f>6.5+(G52-C52)</f>
        <v>6.5</v>
      </c>
      <c r="E15" s="38"/>
      <c r="F15" s="38"/>
      <c r="G15" s="31"/>
      <c r="H15" s="39"/>
    </row>
    <row r="16" spans="1:8" x14ac:dyDescent="0.2">
      <c r="A16" s="43" t="s">
        <v>177</v>
      </c>
      <c r="B16" s="168">
        <f>6.5+(G36-C36)</f>
        <v>10.293178221350482</v>
      </c>
      <c r="C16" s="169">
        <f>6.5+(G53-C53)</f>
        <v>6.5</v>
      </c>
      <c r="E16" s="38"/>
      <c r="F16" s="38"/>
      <c r="G16" s="31"/>
      <c r="H16" s="39"/>
    </row>
    <row r="17" spans="1:19" x14ac:dyDescent="0.2">
      <c r="A17" s="43" t="s">
        <v>178</v>
      </c>
      <c r="B17" s="168">
        <f>6.5+(G37-C37)</f>
        <v>14.087771825136597</v>
      </c>
      <c r="C17" s="169">
        <f>6.5+(G54-C54)</f>
        <v>6.5</v>
      </c>
      <c r="E17" s="38"/>
      <c r="F17" s="38"/>
      <c r="G17" s="31"/>
      <c r="H17" s="39"/>
    </row>
    <row r="18" spans="1:19" x14ac:dyDescent="0.2">
      <c r="A18" s="43" t="s">
        <v>179</v>
      </c>
      <c r="B18" s="168">
        <f>6.5+(G38-C38)</f>
        <v>17.888223528109485</v>
      </c>
      <c r="C18" s="169">
        <f>6.5+(G55-C55)</f>
        <v>6.5</v>
      </c>
      <c r="E18" s="38"/>
      <c r="F18" s="38"/>
      <c r="G18" s="31"/>
      <c r="H18" s="39"/>
    </row>
    <row r="19" spans="1:19" x14ac:dyDescent="0.2">
      <c r="A19" s="40"/>
      <c r="B19" s="31"/>
      <c r="C19" s="65"/>
      <c r="E19" s="38"/>
      <c r="F19" s="38"/>
      <c r="G19" s="31"/>
      <c r="H19" s="39"/>
    </row>
    <row r="20" spans="1:19" x14ac:dyDescent="0.2">
      <c r="A20" s="42" t="s">
        <v>57</v>
      </c>
      <c r="B20" s="31"/>
      <c r="C20" s="32"/>
      <c r="E20" s="38"/>
      <c r="F20" s="38"/>
      <c r="G20" s="31"/>
      <c r="H20" s="39"/>
    </row>
    <row r="21" spans="1:19" x14ac:dyDescent="0.2">
      <c r="A21" s="43" t="s">
        <v>42</v>
      </c>
      <c r="B21" s="99">
        <f>(B34+B42)/$B$49</f>
        <v>0.47999999999999937</v>
      </c>
      <c r="C21" s="97">
        <f>(B51+B58)/$B$65</f>
        <v>0.7</v>
      </c>
      <c r="E21" s="38"/>
      <c r="F21" s="38"/>
      <c r="G21" s="31"/>
      <c r="H21" s="39"/>
    </row>
    <row r="22" spans="1:19" x14ac:dyDescent="0.2">
      <c r="A22" s="43" t="s">
        <v>43</v>
      </c>
      <c r="B22" s="99">
        <f>(B35+B43)/$B$49</f>
        <v>0.11000000000000011</v>
      </c>
      <c r="C22" s="97">
        <f>(B52+B59)/$B$65</f>
        <v>0.10999999999999999</v>
      </c>
      <c r="E22" s="38"/>
      <c r="F22" s="38"/>
      <c r="G22" s="31"/>
      <c r="H22" s="39"/>
    </row>
    <row r="23" spans="1:19" x14ac:dyDescent="0.2">
      <c r="A23" s="43" t="s">
        <v>44</v>
      </c>
      <c r="B23" s="99">
        <f>(B36+B44)/$B$49</f>
        <v>0.17000000000000018</v>
      </c>
      <c r="C23" s="97">
        <f>(B53+B60)/$B$65</f>
        <v>0.12</v>
      </c>
      <c r="E23" s="38"/>
      <c r="F23" s="38"/>
      <c r="G23" s="31"/>
      <c r="H23" s="39"/>
    </row>
    <row r="24" spans="1:19" x14ac:dyDescent="0.2">
      <c r="A24" s="43" t="s">
        <v>45</v>
      </c>
      <c r="B24" s="99">
        <f>(B37+B45)/$B$49</f>
        <v>0.12000000000000018</v>
      </c>
      <c r="C24" s="97">
        <f>(B54+B61)/$B$65</f>
        <v>0.05</v>
      </c>
      <c r="E24" s="38"/>
      <c r="F24" s="38"/>
      <c r="G24" s="31"/>
      <c r="H24" s="39"/>
    </row>
    <row r="25" spans="1:19" ht="13.5" thickBot="1" x14ac:dyDescent="0.25">
      <c r="A25" s="80" t="s">
        <v>180</v>
      </c>
      <c r="B25" s="100">
        <f>(B38+B46)/$B$49</f>
        <v>0.12000000000000018</v>
      </c>
      <c r="C25" s="98">
        <f>(B55+B62)/$B$65</f>
        <v>0.02</v>
      </c>
      <c r="E25" s="38"/>
      <c r="F25" s="38"/>
      <c r="G25" s="31"/>
      <c r="H25" s="39"/>
    </row>
    <row r="26" spans="1:19" ht="13.5" thickBot="1" x14ac:dyDescent="0.25">
      <c r="A26" s="37"/>
      <c r="B26" s="4"/>
      <c r="C26" s="4"/>
      <c r="D26" s="4"/>
      <c r="E26" s="4"/>
      <c r="F26" s="4"/>
      <c r="G26" s="4"/>
      <c r="H26" s="4"/>
    </row>
    <row r="27" spans="1:19" ht="64.5" thickBot="1" x14ac:dyDescent="0.25">
      <c r="A27" s="2" t="s">
        <v>0</v>
      </c>
      <c r="B27" s="9" t="s">
        <v>46</v>
      </c>
      <c r="C27" s="9" t="s">
        <v>86</v>
      </c>
      <c r="D27" s="9" t="s">
        <v>51</v>
      </c>
      <c r="E27" s="9" t="s">
        <v>186</v>
      </c>
      <c r="F27" s="9" t="s">
        <v>6</v>
      </c>
      <c r="G27" s="9" t="s">
        <v>47</v>
      </c>
      <c r="H27" s="3" t="s">
        <v>48</v>
      </c>
    </row>
    <row r="28" spans="1:19" x14ac:dyDescent="0.2">
      <c r="A28" s="72"/>
      <c r="B28" s="73"/>
      <c r="C28" s="73"/>
      <c r="D28" s="73"/>
      <c r="E28" s="73"/>
      <c r="F28" s="73"/>
      <c r="G28" s="73"/>
      <c r="H28" s="74"/>
      <c r="O28" s="121"/>
    </row>
    <row r="29" spans="1:19" x14ac:dyDescent="0.2">
      <c r="A29" s="10" t="s">
        <v>73</v>
      </c>
      <c r="B29" s="10"/>
      <c r="C29" s="10"/>
      <c r="D29" s="10"/>
      <c r="E29" s="10"/>
      <c r="F29" s="10"/>
      <c r="G29" s="10"/>
      <c r="H29" s="10"/>
    </row>
    <row r="30" spans="1:19" x14ac:dyDescent="0.2">
      <c r="A30" s="10"/>
      <c r="B30" s="10"/>
      <c r="C30" s="10"/>
      <c r="D30" s="10"/>
      <c r="E30" s="10"/>
      <c r="F30" s="10"/>
      <c r="G30" s="10"/>
      <c r="H30" s="10"/>
      <c r="M30" s="120" t="s">
        <v>187</v>
      </c>
      <c r="N30" s="121">
        <f>0.0277*B67</f>
        <v>177.18299476672283</v>
      </c>
    </row>
    <row r="31" spans="1:19" x14ac:dyDescent="0.2">
      <c r="A31" s="276" t="s">
        <v>172</v>
      </c>
      <c r="B31" s="10"/>
      <c r="C31" s="10"/>
      <c r="D31" s="10"/>
      <c r="E31" s="10"/>
      <c r="F31" s="10"/>
      <c r="G31" s="10"/>
      <c r="H31" s="10"/>
      <c r="N31" s="122"/>
      <c r="O31" s="122"/>
      <c r="Q31" s="123" t="s">
        <v>90</v>
      </c>
      <c r="S31" s="6" t="s">
        <v>135</v>
      </c>
    </row>
    <row r="32" spans="1:19" x14ac:dyDescent="0.2">
      <c r="A32" s="77" t="s">
        <v>12</v>
      </c>
      <c r="B32" s="10"/>
      <c r="C32" s="10"/>
      <c r="D32" s="10"/>
      <c r="E32" s="10"/>
      <c r="F32" s="10"/>
      <c r="G32" s="10"/>
      <c r="H32" s="10"/>
      <c r="M32" s="18"/>
      <c r="N32" s="150" t="s">
        <v>196</v>
      </c>
      <c r="Q32" s="124" t="s">
        <v>91</v>
      </c>
      <c r="S32" s="124" t="s">
        <v>91</v>
      </c>
    </row>
    <row r="33" spans="1:19" x14ac:dyDescent="0.2">
      <c r="A33" s="12" t="s">
        <v>74</v>
      </c>
      <c r="B33" s="10"/>
      <c r="C33" s="10"/>
      <c r="D33" s="10"/>
      <c r="E33" s="10"/>
      <c r="F33" s="10"/>
      <c r="G33" s="10"/>
      <c r="H33" s="10"/>
      <c r="M33" s="18" t="s">
        <v>92</v>
      </c>
      <c r="N33" s="125">
        <v>0.22539999999999999</v>
      </c>
      <c r="Q33" s="205">
        <f>(N33*N30)/(B36+B53+B44+B60)</f>
        <v>3.7536753346472787E-2</v>
      </c>
      <c r="S33" s="205">
        <f t="shared" ref="S33:S41" si="0">Q33+$N$56</f>
        <v>3.7921523205576679E-2</v>
      </c>
    </row>
    <row r="34" spans="1:19" x14ac:dyDescent="0.2">
      <c r="A34" s="58" t="s">
        <v>1</v>
      </c>
      <c r="B34" s="83">
        <v>1479.4560699130316</v>
      </c>
      <c r="C34" s="105">
        <f>6.326+6.5</f>
        <v>12.826000000000001</v>
      </c>
      <c r="D34" s="266">
        <f>C34*B34/100</f>
        <v>189.75503552704544</v>
      </c>
      <c r="E34" s="149">
        <f>0*B34</f>
        <v>0</v>
      </c>
      <c r="F34" s="149">
        <f>D34+E34</f>
        <v>189.75503552704544</v>
      </c>
      <c r="G34" s="105">
        <f>F34/B34*100</f>
        <v>12.826000000000001</v>
      </c>
      <c r="H34" s="10"/>
      <c r="M34" s="45" t="s">
        <v>93</v>
      </c>
      <c r="N34" s="126">
        <f>B36/(B36+B44)*N33</f>
        <v>0.11720799999999999</v>
      </c>
      <c r="Q34" s="205">
        <f>(N34*N30)/(B36+B53)</f>
        <v>3.7547012354400923E-2</v>
      </c>
      <c r="S34" s="205">
        <f t="shared" si="0"/>
        <v>3.7931782213504815E-2</v>
      </c>
    </row>
    <row r="35" spans="1:19" x14ac:dyDescent="0.2">
      <c r="A35" s="58" t="s">
        <v>7</v>
      </c>
      <c r="B35" s="83">
        <v>339.04201602173748</v>
      </c>
      <c r="C35" s="105">
        <f>8.781+6.5</f>
        <v>15.281000000000001</v>
      </c>
      <c r="D35" s="266">
        <f>C35*B35/100</f>
        <v>51.809010468281706</v>
      </c>
      <c r="E35" s="149">
        <f>0*B35</f>
        <v>0</v>
      </c>
      <c r="F35" s="149">
        <f>D35+E35</f>
        <v>51.809010468281706</v>
      </c>
      <c r="G35" s="105">
        <f>F35/B35*100</f>
        <v>15.281000000000001</v>
      </c>
      <c r="H35" s="10"/>
      <c r="M35" s="45" t="s">
        <v>94</v>
      </c>
      <c r="N35" s="126">
        <f>B44/(B36+B44)*N33</f>
        <v>0.108192</v>
      </c>
      <c r="Q35" s="205">
        <f>(N35*N30)/(B44+B60)</f>
        <v>3.7525645745738932E-2</v>
      </c>
      <c r="S35" s="205">
        <f t="shared" si="0"/>
        <v>3.7910415604842825E-2</v>
      </c>
    </row>
    <row r="36" spans="1:19" x14ac:dyDescent="0.2">
      <c r="A36" s="78" t="s">
        <v>2</v>
      </c>
      <c r="B36" s="83">
        <v>523.97402476086688</v>
      </c>
      <c r="C36" s="105">
        <f>C35</f>
        <v>15.281000000000001</v>
      </c>
      <c r="D36" s="266">
        <f>C36*B36/100</f>
        <v>80.068470723708074</v>
      </c>
      <c r="E36" s="149">
        <f>S34*B36</f>
        <v>19.875268592762783</v>
      </c>
      <c r="F36" s="149">
        <f>D36+E36</f>
        <v>99.943739316470854</v>
      </c>
      <c r="G36" s="105">
        <f>F36/B36*100</f>
        <v>19.074178221350483</v>
      </c>
      <c r="H36" s="144"/>
      <c r="M36" s="45" t="s">
        <v>95</v>
      </c>
      <c r="N36" s="125">
        <v>0.313</v>
      </c>
      <c r="Q36" s="205">
        <f>(N36*$N$30)/(B37+B54+B45+B61)</f>
        <v>7.5480502879978068E-2</v>
      </c>
      <c r="S36" s="205">
        <f t="shared" si="0"/>
        <v>7.586527273908196E-2</v>
      </c>
    </row>
    <row r="37" spans="1:19" x14ac:dyDescent="0.2">
      <c r="A37" s="78" t="s">
        <v>169</v>
      </c>
      <c r="B37" s="83">
        <v>369.86401747825886</v>
      </c>
      <c r="C37" s="105">
        <f>C35</f>
        <v>15.281000000000001</v>
      </c>
      <c r="D37" s="266">
        <f>C37*B37/100</f>
        <v>56.518920510852737</v>
      </c>
      <c r="E37" s="149">
        <f>S37*B37</f>
        <v>28.064437709533617</v>
      </c>
      <c r="F37" s="149">
        <f>D37+E37</f>
        <v>84.583358220386359</v>
      </c>
      <c r="G37" s="105">
        <f>F37/B37*100</f>
        <v>22.868771825136598</v>
      </c>
      <c r="H37" s="144"/>
      <c r="M37" s="45" t="s">
        <v>93</v>
      </c>
      <c r="N37" s="126">
        <f>B37/(B37+B45)*N36</f>
        <v>0.1627599999999999</v>
      </c>
      <c r="Q37" s="205">
        <f>(N37*$N$30)/(B37+B54)</f>
        <v>7.549294839226206E-2</v>
      </c>
      <c r="S37" s="205">
        <f t="shared" si="0"/>
        <v>7.5877718251365953E-2</v>
      </c>
    </row>
    <row r="38" spans="1:19" x14ac:dyDescent="0.2">
      <c r="A38" s="78" t="s">
        <v>170</v>
      </c>
      <c r="B38" s="83">
        <v>369.86401747825886</v>
      </c>
      <c r="C38" s="105">
        <f>C36</f>
        <v>15.281000000000001</v>
      </c>
      <c r="D38" s="266">
        <f>C38*B38/100</f>
        <v>56.518920510852737</v>
      </c>
      <c r="E38" s="149">
        <f>S40*B38</f>
        <v>42.120941060470059</v>
      </c>
      <c r="F38" s="149">
        <f>D38+E38</f>
        <v>98.639861571322797</v>
      </c>
      <c r="G38" s="105">
        <f>F38/B38*100</f>
        <v>26.669223528109487</v>
      </c>
      <c r="H38" s="144"/>
      <c r="M38" s="45" t="s">
        <v>94</v>
      </c>
      <c r="N38" s="126">
        <f>B45/(B37+B45)*N36</f>
        <v>0.1502400000000001</v>
      </c>
      <c r="Q38" s="205">
        <f>(N38*$N$30)/(B45+B61)</f>
        <v>7.5467024871473123E-2</v>
      </c>
      <c r="S38" s="205">
        <f t="shared" si="0"/>
        <v>7.5851794730577016E-2</v>
      </c>
    </row>
    <row r="39" spans="1:19" x14ac:dyDescent="0.2">
      <c r="A39" s="78" t="s">
        <v>71</v>
      </c>
      <c r="B39" s="83">
        <v>2.6501453326658528</v>
      </c>
      <c r="C39" s="237" t="s">
        <v>72</v>
      </c>
      <c r="D39" s="296">
        <v>0.18010605712024408</v>
      </c>
      <c r="E39" s="296" t="s">
        <v>72</v>
      </c>
      <c r="F39" s="296">
        <f>D39</f>
        <v>0.18010605712024408</v>
      </c>
      <c r="G39" s="237" t="s">
        <v>72</v>
      </c>
      <c r="H39" s="144"/>
      <c r="M39" s="45" t="s">
        <v>171</v>
      </c>
      <c r="N39" s="275">
        <f>100%-(N33+N36)</f>
        <v>0.46160000000000001</v>
      </c>
      <c r="Q39" s="205">
        <f>(N39*$N$30)/(B38+B55+B46+B62)</f>
        <v>0.11348983491733168</v>
      </c>
      <c r="S39" s="205">
        <f t="shared" si="0"/>
        <v>0.11387460477643557</v>
      </c>
    </row>
    <row r="40" spans="1:19" x14ac:dyDescent="0.2">
      <c r="B40" s="83"/>
      <c r="C40" s="105"/>
      <c r="D40" s="266"/>
      <c r="E40" s="149"/>
      <c r="F40" s="149"/>
      <c r="G40" s="105"/>
      <c r="H40" s="19"/>
      <c r="M40" s="45" t="s">
        <v>93</v>
      </c>
      <c r="N40" s="126">
        <f>B38/(B38+B46)*N39</f>
        <v>0.24003199999999986</v>
      </c>
      <c r="Q40" s="205">
        <f>(N40*$N$30)/(B38+B55)</f>
        <v>0.11349746542199098</v>
      </c>
      <c r="S40" s="205">
        <f t="shared" si="0"/>
        <v>0.11388223528109487</v>
      </c>
    </row>
    <row r="41" spans="1:19" x14ac:dyDescent="0.2">
      <c r="A41" s="17" t="s">
        <v>75</v>
      </c>
      <c r="B41" s="83"/>
      <c r="C41" s="238"/>
      <c r="D41" s="297"/>
      <c r="E41" s="149"/>
      <c r="F41" s="149"/>
      <c r="G41" s="105"/>
      <c r="H41" s="19"/>
      <c r="M41" s="45" t="s">
        <v>94</v>
      </c>
      <c r="N41" s="126">
        <f>B46/(B38+B46)*N39</f>
        <v>0.22156800000000015</v>
      </c>
      <c r="Q41" s="205">
        <f>(N41*$N$30)/(B46+B62)</f>
        <v>0.11348156969502027</v>
      </c>
      <c r="S41" s="205">
        <f t="shared" si="0"/>
        <v>0.11386633955412416</v>
      </c>
    </row>
    <row r="42" spans="1:19" x14ac:dyDescent="0.2">
      <c r="A42" s="58" t="s">
        <v>1</v>
      </c>
      <c r="B42" s="83">
        <v>1365.6517568427998</v>
      </c>
      <c r="C42" s="105">
        <f>C34</f>
        <v>12.826000000000001</v>
      </c>
      <c r="D42" s="266">
        <f>C42*B42/100</f>
        <v>175.15849433265751</v>
      </c>
      <c r="E42" s="149">
        <f>0*B42</f>
        <v>0</v>
      </c>
      <c r="F42" s="149">
        <f>D42+E42</f>
        <v>175.15849433265751</v>
      </c>
      <c r="G42" s="105">
        <f>F42/B42*100</f>
        <v>12.826000000000001</v>
      </c>
      <c r="H42" s="19"/>
    </row>
    <row r="43" spans="1:19" x14ac:dyDescent="0.2">
      <c r="A43" s="58" t="s">
        <v>7</v>
      </c>
      <c r="B43" s="83">
        <v>312.96186094314209</v>
      </c>
      <c r="C43" s="105">
        <f>8.069+6.5</f>
        <v>14.569000000000001</v>
      </c>
      <c r="D43" s="266">
        <f>C43*B43/100</f>
        <v>45.595413520806368</v>
      </c>
      <c r="E43" s="149">
        <f>0*B43</f>
        <v>0</v>
      </c>
      <c r="F43" s="149">
        <f>D43+E43</f>
        <v>45.595413520806368</v>
      </c>
      <c r="G43" s="105">
        <f>F43/B43*100</f>
        <v>14.568999999999999</v>
      </c>
      <c r="H43" s="18"/>
    </row>
    <row r="44" spans="1:19" x14ac:dyDescent="0.2">
      <c r="A44" s="78" t="s">
        <v>2</v>
      </c>
      <c r="B44" s="83">
        <v>483.66833054849252</v>
      </c>
      <c r="C44" s="105">
        <f>C43</f>
        <v>14.569000000000001</v>
      </c>
      <c r="D44" s="266">
        <f>C44*B44/100</f>
        <v>70.465639077609879</v>
      </c>
      <c r="E44" s="149">
        <f>S35*B44</f>
        <v>18.33606742599385</v>
      </c>
      <c r="F44" s="149">
        <f>D44+E44</f>
        <v>88.801706503603725</v>
      </c>
      <c r="G44" s="105">
        <f>F44/B44*100</f>
        <v>18.360041560484284</v>
      </c>
      <c r="H44" s="288"/>
      <c r="M44" s="45" t="s">
        <v>132</v>
      </c>
      <c r="S44" s="205"/>
    </row>
    <row r="45" spans="1:19" x14ac:dyDescent="0.2">
      <c r="A45" s="78" t="s">
        <v>169</v>
      </c>
      <c r="B45" s="83">
        <v>341.41293921070093</v>
      </c>
      <c r="C45" s="105">
        <f>C43</f>
        <v>14.569000000000001</v>
      </c>
      <c r="D45" s="266">
        <f>C45*B45/100</f>
        <v>49.740451113607023</v>
      </c>
      <c r="E45" s="149">
        <f>S38*B45</f>
        <v>25.896784183373054</v>
      </c>
      <c r="F45" s="149">
        <f>D45+E45</f>
        <v>75.63723529698008</v>
      </c>
      <c r="G45" s="105">
        <f>F45/B45*100</f>
        <v>22.154179473057702</v>
      </c>
      <c r="H45" s="288"/>
      <c r="M45" s="45" t="s">
        <v>92</v>
      </c>
      <c r="S45" s="205"/>
    </row>
    <row r="46" spans="1:19" x14ac:dyDescent="0.2">
      <c r="A46" s="78" t="s">
        <v>170</v>
      </c>
      <c r="B46" s="83">
        <v>341.41293921070093</v>
      </c>
      <c r="C46" s="105">
        <f>C44</f>
        <v>14.569000000000001</v>
      </c>
      <c r="D46" s="266">
        <f>C46*B46/100</f>
        <v>49.740451113607023</v>
      </c>
      <c r="E46" s="149">
        <f>S41*B46</f>
        <v>38.875441664337224</v>
      </c>
      <c r="F46" s="149">
        <f>D46+E46</f>
        <v>88.615892777944254</v>
      </c>
      <c r="G46" s="105">
        <f>F46/B46*100</f>
        <v>25.95563395541242</v>
      </c>
      <c r="H46" s="144"/>
      <c r="M46" s="45" t="s">
        <v>93</v>
      </c>
      <c r="N46" s="202">
        <f>Q34*Residential!B53</f>
        <v>1.0936052695366039</v>
      </c>
      <c r="S46" s="205"/>
    </row>
    <row r="47" spans="1:19" x14ac:dyDescent="0.2">
      <c r="A47" s="78" t="s">
        <v>71</v>
      </c>
      <c r="B47" s="83">
        <v>2.4977617412541471</v>
      </c>
      <c r="C47" s="237" t="s">
        <v>72</v>
      </c>
      <c r="D47" s="296">
        <v>0.16974994287975592</v>
      </c>
      <c r="E47" s="296" t="s">
        <v>72</v>
      </c>
      <c r="F47" s="296">
        <f>D47</f>
        <v>0.16974994287975592</v>
      </c>
      <c r="G47" s="237" t="s">
        <v>72</v>
      </c>
      <c r="H47" s="18"/>
      <c r="M47" s="45" t="s">
        <v>94</v>
      </c>
      <c r="N47" s="202">
        <f>Q35*B60</f>
        <v>1.0198161392055862</v>
      </c>
    </row>
    <row r="48" spans="1:19" x14ac:dyDescent="0.2">
      <c r="D48" s="114"/>
      <c r="E48" s="114"/>
      <c r="F48" s="114"/>
      <c r="H48" s="18"/>
      <c r="M48" s="45" t="s">
        <v>95</v>
      </c>
      <c r="N48" s="202"/>
    </row>
    <row r="49" spans="1:14" x14ac:dyDescent="0.2">
      <c r="A49" s="277" t="s">
        <v>173</v>
      </c>
      <c r="B49" s="278">
        <f>SUM(B34:B47)-B39-B47</f>
        <v>5927.3079724079898</v>
      </c>
      <c r="C49" s="279">
        <f>D49/B49*100</f>
        <v>13.930787243430117</v>
      </c>
      <c r="D49" s="279">
        <f>SUM(D34:D47)</f>
        <v>825.72066289902864</v>
      </c>
      <c r="E49" s="279">
        <f>SUM(E34:E47)</f>
        <v>173.16894063647058</v>
      </c>
      <c r="F49" s="279">
        <f>SUM(F34:F47)</f>
        <v>998.88960353549919</v>
      </c>
      <c r="G49" s="280">
        <f>F49/B49*100</f>
        <v>16.852331753055456</v>
      </c>
      <c r="H49" s="281">
        <f>(G49-C49)/C49</f>
        <v>0.20971855061551992</v>
      </c>
      <c r="M49" s="45" t="s">
        <v>93</v>
      </c>
      <c r="N49" s="202">
        <f>Q37*Residential!B54</f>
        <v>0.91617904459088217</v>
      </c>
    </row>
    <row r="50" spans="1:14" x14ac:dyDescent="0.2">
      <c r="D50" s="114"/>
      <c r="E50" s="114"/>
      <c r="F50" s="114"/>
      <c r="M50" s="45" t="s">
        <v>94</v>
      </c>
      <c r="N50" s="202">
        <f>Q38*B61</f>
        <v>0.85455435889574827</v>
      </c>
    </row>
    <row r="51" spans="1:14" x14ac:dyDescent="0.2">
      <c r="A51" s="58" t="s">
        <v>8</v>
      </c>
      <c r="B51" s="83">
        <v>169.90337372473104</v>
      </c>
      <c r="C51" s="105">
        <f>C34</f>
        <v>12.826000000000001</v>
      </c>
      <c r="D51" s="266">
        <f>C51*B51/100</f>
        <v>21.791806713934001</v>
      </c>
      <c r="E51" s="149">
        <f>0*B51</f>
        <v>0</v>
      </c>
      <c r="F51" s="149">
        <f>D51+E51</f>
        <v>21.791806713934001</v>
      </c>
      <c r="G51" s="105">
        <f>F51/B51*100</f>
        <v>12.825999999999999</v>
      </c>
      <c r="H51" s="18"/>
      <c r="M51" s="45" t="s">
        <v>171</v>
      </c>
      <c r="N51" s="202"/>
    </row>
    <row r="52" spans="1:14" x14ac:dyDescent="0.2">
      <c r="A52" s="58" t="s">
        <v>122</v>
      </c>
      <c r="B52" s="83">
        <v>26.69910158531485</v>
      </c>
      <c r="C52" s="105">
        <f>C35</f>
        <v>15.281000000000001</v>
      </c>
      <c r="D52" s="266">
        <f>C52*B52/100</f>
        <v>4.079889713251962</v>
      </c>
      <c r="E52" s="149">
        <f>0*B52</f>
        <v>0</v>
      </c>
      <c r="F52" s="149">
        <f>D52+E52</f>
        <v>4.079889713251962</v>
      </c>
      <c r="G52" s="105">
        <f>F52/B52*100</f>
        <v>15.281000000000001</v>
      </c>
      <c r="H52" s="144"/>
      <c r="M52" s="45" t="s">
        <v>93</v>
      </c>
      <c r="N52" s="202">
        <f>Q40*Residential!B55</f>
        <v>0.55096006526863472</v>
      </c>
    </row>
    <row r="53" spans="1:14" x14ac:dyDescent="0.2">
      <c r="A53" s="78" t="s">
        <v>123</v>
      </c>
      <c r="B53" s="83">
        <v>29.126292638525239</v>
      </c>
      <c r="C53" s="105">
        <f>C36</f>
        <v>15.281000000000001</v>
      </c>
      <c r="D53" s="266">
        <f>C53*B53/100</f>
        <v>4.4507887780930417</v>
      </c>
      <c r="E53" s="149">
        <f>0*B53</f>
        <v>0</v>
      </c>
      <c r="F53" s="149">
        <f>D53+E53</f>
        <v>4.4507887780930417</v>
      </c>
      <c r="G53" s="105">
        <f>F53/B53*100</f>
        <v>15.281000000000001</v>
      </c>
      <c r="H53" s="18"/>
      <c r="M53" s="45" t="s">
        <v>94</v>
      </c>
      <c r="N53" s="204">
        <f>Q41*B62</f>
        <v>0.51400552865239069</v>
      </c>
    </row>
    <row r="54" spans="1:14" x14ac:dyDescent="0.2">
      <c r="A54" s="78" t="s">
        <v>169</v>
      </c>
      <c r="B54" s="83">
        <v>12.135955266052232</v>
      </c>
      <c r="C54" s="105">
        <f>C37</f>
        <v>15.281000000000001</v>
      </c>
      <c r="D54" s="266">
        <f>C54*B54/100</f>
        <v>1.8544953242054416</v>
      </c>
      <c r="E54" s="149">
        <f>0*B54</f>
        <v>0</v>
      </c>
      <c r="F54" s="149">
        <f>D54+E54</f>
        <v>1.8544953242054416</v>
      </c>
      <c r="G54" s="105">
        <f>F54/B54*100</f>
        <v>15.281000000000001</v>
      </c>
      <c r="H54" s="144"/>
      <c r="M54" s="45" t="s">
        <v>133</v>
      </c>
      <c r="N54" s="202">
        <f>SUM(N46:N53)</f>
        <v>4.9491204061498459</v>
      </c>
    </row>
    <row r="55" spans="1:14" x14ac:dyDescent="0.2">
      <c r="A55" s="78" t="s">
        <v>170</v>
      </c>
      <c r="B55" s="83">
        <v>4.8543821064208732</v>
      </c>
      <c r="C55" s="105">
        <f>C38</f>
        <v>15.281000000000001</v>
      </c>
      <c r="D55" s="266">
        <f>C55*B55/100</f>
        <v>0.74179812968217362</v>
      </c>
      <c r="E55" s="149">
        <f>0*B55</f>
        <v>0</v>
      </c>
      <c r="F55" s="149">
        <f>D55+E55</f>
        <v>0.74179812968217362</v>
      </c>
      <c r="G55" s="105">
        <f>F55/B55*100</f>
        <v>15.281000000000001</v>
      </c>
      <c r="H55" s="144"/>
    </row>
    <row r="56" spans="1:14" x14ac:dyDescent="0.2">
      <c r="A56" s="78" t="s">
        <v>124</v>
      </c>
      <c r="B56" s="83">
        <v>9.7613834194630045E-2</v>
      </c>
      <c r="C56" s="237" t="s">
        <v>72</v>
      </c>
      <c r="D56" s="298">
        <v>6.4370659306444119E-3</v>
      </c>
      <c r="E56" s="298" t="s">
        <v>72</v>
      </c>
      <c r="F56" s="298">
        <f>D56</f>
        <v>6.4370659306444119E-3</v>
      </c>
      <c r="G56" s="237" t="s">
        <v>72</v>
      </c>
      <c r="H56" s="18"/>
      <c r="M56" s="45" t="s">
        <v>134</v>
      </c>
      <c r="N56" s="191">
        <f>N54/N60</f>
        <v>3.8476985910389011E-4</v>
      </c>
    </row>
    <row r="57" spans="1:14" x14ac:dyDescent="0.2">
      <c r="B57" s="83"/>
      <c r="C57" s="105"/>
      <c r="D57" s="266"/>
      <c r="E57" s="149"/>
      <c r="F57" s="149"/>
      <c r="G57" s="105"/>
      <c r="H57" s="144"/>
    </row>
    <row r="58" spans="1:14" x14ac:dyDescent="0.2">
      <c r="A58" s="58" t="s">
        <v>8</v>
      </c>
      <c r="B58" s="83">
        <v>158.5296498028882</v>
      </c>
      <c r="C58" s="105">
        <f>C42</f>
        <v>12.826000000000001</v>
      </c>
      <c r="D58" s="266">
        <f>C58*B58/100</f>
        <v>20.333012883718439</v>
      </c>
      <c r="E58" s="149">
        <f>0*B58</f>
        <v>0</v>
      </c>
      <c r="F58" s="149">
        <f>D58+E58</f>
        <v>20.333012883718439</v>
      </c>
      <c r="G58" s="105">
        <f>F58/B58*100</f>
        <v>12.825999999999999</v>
      </c>
      <c r="H58" s="18"/>
      <c r="M58" s="45" t="s">
        <v>144</v>
      </c>
      <c r="N58" s="191">
        <f>0.0277+N56</f>
        <v>2.8084769859103888E-2</v>
      </c>
    </row>
    <row r="59" spans="1:14" x14ac:dyDescent="0.2">
      <c r="A59" s="58" t="s">
        <v>122</v>
      </c>
      <c r="B59" s="83">
        <v>24.911802111882459</v>
      </c>
      <c r="C59" s="105">
        <f>C43</f>
        <v>14.569000000000001</v>
      </c>
      <c r="D59" s="266">
        <f>C59*B59/100</f>
        <v>3.6294004496801557</v>
      </c>
      <c r="E59" s="149">
        <f>0*B59</f>
        <v>0</v>
      </c>
      <c r="F59" s="149">
        <f>D59+E59</f>
        <v>3.6294004496801557</v>
      </c>
      <c r="G59" s="105">
        <f>F59/B59*100</f>
        <v>14.569000000000001</v>
      </c>
      <c r="H59" s="18"/>
    </row>
    <row r="60" spans="1:14" x14ac:dyDescent="0.2">
      <c r="A60" s="78" t="s">
        <v>123</v>
      </c>
      <c r="B60" s="83">
        <v>27.17651139478092</v>
      </c>
      <c r="C60" s="105">
        <f>C44</f>
        <v>14.569000000000001</v>
      </c>
      <c r="D60" s="266">
        <f>C60*B60/100</f>
        <v>3.9593459451056328</v>
      </c>
      <c r="E60" s="149">
        <f>0*B60</f>
        <v>0</v>
      </c>
      <c r="F60" s="149">
        <f>D60+E60</f>
        <v>3.9593459451056328</v>
      </c>
      <c r="G60" s="105">
        <f>F60/B60*100</f>
        <v>14.569000000000001</v>
      </c>
      <c r="H60" s="18"/>
      <c r="M60" s="45" t="s">
        <v>221</v>
      </c>
      <c r="N60" s="234">
        <v>12862.547024021324</v>
      </c>
    </row>
    <row r="61" spans="1:14" x14ac:dyDescent="0.2">
      <c r="A61" s="78" t="s">
        <v>169</v>
      </c>
      <c r="B61" s="83">
        <v>11.323546414492002</v>
      </c>
      <c r="C61" s="105">
        <f>C45</f>
        <v>14.569000000000001</v>
      </c>
      <c r="D61" s="266">
        <f>C61*B61/100</f>
        <v>1.6497274771273398</v>
      </c>
      <c r="E61" s="149">
        <f>0*B61</f>
        <v>0</v>
      </c>
      <c r="F61" s="149">
        <f>D61+E61</f>
        <v>1.6497274771273398</v>
      </c>
      <c r="G61" s="105">
        <f>F61/B61*100</f>
        <v>14.569000000000001</v>
      </c>
      <c r="H61" s="18"/>
    </row>
    <row r="62" spans="1:14" x14ac:dyDescent="0.2">
      <c r="A62" s="78" t="s">
        <v>170</v>
      </c>
      <c r="B62" s="83">
        <v>4.5294185657968207</v>
      </c>
      <c r="C62" s="105">
        <f>C46</f>
        <v>14.569000000000001</v>
      </c>
      <c r="D62" s="266">
        <f>C62*B62/100</f>
        <v>0.65989099085093883</v>
      </c>
      <c r="E62" s="149">
        <f>0*B62</f>
        <v>0</v>
      </c>
      <c r="F62" s="149">
        <f>D62+E62</f>
        <v>0.65989099085093883</v>
      </c>
      <c r="G62" s="105">
        <f>F62/B62*100</f>
        <v>14.569000000000001</v>
      </c>
      <c r="H62" s="18"/>
    </row>
    <row r="63" spans="1:14" x14ac:dyDescent="0.2">
      <c r="A63" s="78" t="s">
        <v>124</v>
      </c>
      <c r="B63" s="83">
        <v>9.2001030080569951E-2</v>
      </c>
      <c r="C63" s="237" t="s">
        <v>72</v>
      </c>
      <c r="D63" s="298">
        <v>6.0669340693555876E-3</v>
      </c>
      <c r="E63" s="298" t="s">
        <v>72</v>
      </c>
      <c r="F63" s="298">
        <f>D63</f>
        <v>6.0669340693555876E-3</v>
      </c>
      <c r="G63" s="237" t="s">
        <v>72</v>
      </c>
      <c r="H63" s="18"/>
    </row>
    <row r="64" spans="1:14" x14ac:dyDescent="0.2">
      <c r="A64" s="78"/>
      <c r="B64" s="83"/>
      <c r="C64" s="239"/>
      <c r="D64" s="297"/>
      <c r="E64" s="297"/>
      <c r="F64" s="149"/>
      <c r="G64" s="241"/>
      <c r="H64" s="18"/>
    </row>
    <row r="65" spans="1:14" x14ac:dyDescent="0.2">
      <c r="A65" s="277" t="s">
        <v>174</v>
      </c>
      <c r="B65" s="278">
        <f>SUM(B51:B63)-B56-B63</f>
        <v>469.19003361088465</v>
      </c>
      <c r="C65" s="280">
        <f>D65/B65*100</f>
        <v>13.462063530964105</v>
      </c>
      <c r="D65" s="279">
        <f>SUM(D51:D63)</f>
        <v>63.162660405649127</v>
      </c>
      <c r="E65" s="279">
        <f>SUM(E51:E63)</f>
        <v>0</v>
      </c>
      <c r="F65" s="279">
        <f>SUM(F51:F63)</f>
        <v>63.162660405649127</v>
      </c>
      <c r="G65" s="280">
        <f>F65/B65*100</f>
        <v>13.462063530964105</v>
      </c>
      <c r="H65" s="281">
        <f>(G65-C65)/C65</f>
        <v>0</v>
      </c>
    </row>
    <row r="66" spans="1:14" x14ac:dyDescent="0.2">
      <c r="A66" s="12"/>
      <c r="B66" s="87"/>
      <c r="C66" s="107"/>
      <c r="D66" s="107"/>
      <c r="E66" s="87"/>
      <c r="F66" s="87"/>
      <c r="G66" s="87"/>
      <c r="H66" s="45"/>
    </row>
    <row r="67" spans="1:14" ht="13.5" thickBot="1" x14ac:dyDescent="0.25">
      <c r="A67" s="119" t="s">
        <v>76</v>
      </c>
      <c r="B67" s="158">
        <f>B49+B65</f>
        <v>6396.4980060188745</v>
      </c>
      <c r="C67" s="240">
        <f>D67/B67*100</f>
        <v>13.896405853144495</v>
      </c>
      <c r="D67" s="220">
        <f>D49+D65</f>
        <v>888.88332330467779</v>
      </c>
      <c r="E67" s="220">
        <f>E49+E65</f>
        <v>173.16894063647058</v>
      </c>
      <c r="F67" s="220">
        <f>F49+F65</f>
        <v>1062.0522639411483</v>
      </c>
      <c r="G67" s="242">
        <f>F67/B67*100</f>
        <v>16.603651919250119</v>
      </c>
      <c r="H67" s="106">
        <f>(G67-C67)/C67</f>
        <v>0.19481627801573059</v>
      </c>
    </row>
    <row r="68" spans="1:14" ht="13.5" thickTop="1" x14ac:dyDescent="0.2">
      <c r="A68" s="282"/>
      <c r="B68" s="196"/>
      <c r="C68" s="248"/>
      <c r="D68" s="283"/>
      <c r="E68" s="283"/>
      <c r="F68" s="283"/>
      <c r="G68" s="257"/>
      <c r="H68" s="23"/>
    </row>
    <row r="69" spans="1:14" x14ac:dyDescent="0.2">
      <c r="A69" s="282"/>
      <c r="B69" s="196"/>
      <c r="C69" s="248"/>
      <c r="D69" s="283"/>
      <c r="E69" s="283"/>
      <c r="F69" s="283"/>
      <c r="G69" s="257"/>
      <c r="H69" s="23"/>
    </row>
    <row r="70" spans="1:14" x14ac:dyDescent="0.2">
      <c r="A70" s="282"/>
      <c r="B70" s="196"/>
      <c r="C70" s="248"/>
      <c r="D70" s="283"/>
      <c r="E70" s="283"/>
      <c r="F70" s="283"/>
      <c r="G70" s="257"/>
      <c r="H70" s="23"/>
    </row>
    <row r="71" spans="1:14" x14ac:dyDescent="0.2">
      <c r="H71" s="45" t="s">
        <v>130</v>
      </c>
    </row>
    <row r="72" spans="1:14" ht="20.25" x14ac:dyDescent="0.3">
      <c r="A72" s="312" t="s">
        <v>9</v>
      </c>
      <c r="B72" s="312"/>
      <c r="C72" s="312"/>
      <c r="D72" s="312"/>
      <c r="E72" s="312"/>
      <c r="F72" s="312"/>
      <c r="G72" s="312"/>
      <c r="H72" s="312"/>
      <c r="M72" s="45"/>
      <c r="N72" s="191"/>
    </row>
    <row r="73" spans="1:14" ht="20.25" x14ac:dyDescent="0.3">
      <c r="A73" s="312" t="s">
        <v>41</v>
      </c>
      <c r="B73" s="312"/>
      <c r="C73" s="312"/>
      <c r="D73" s="312"/>
      <c r="E73" s="312"/>
      <c r="F73" s="312"/>
      <c r="G73" s="312"/>
      <c r="H73" s="312"/>
    </row>
    <row r="74" spans="1:14" ht="13.5" thickBot="1" x14ac:dyDescent="0.25">
      <c r="A74" s="63"/>
      <c r="B74" s="63"/>
      <c r="C74" s="63"/>
      <c r="D74" s="63"/>
      <c r="E74" s="63"/>
      <c r="F74" s="63"/>
      <c r="G74" s="63"/>
      <c r="H74" s="63"/>
    </row>
    <row r="75" spans="1:14" x14ac:dyDescent="0.2">
      <c r="A75" s="215" t="s">
        <v>138</v>
      </c>
      <c r="B75" s="216"/>
      <c r="C75" s="217"/>
      <c r="D75" s="63"/>
      <c r="E75" s="63"/>
      <c r="F75" s="63"/>
      <c r="G75" s="63"/>
      <c r="H75" s="63"/>
    </row>
    <row r="76" spans="1:14" x14ac:dyDescent="0.2">
      <c r="A76" s="41"/>
      <c r="B76" s="31"/>
      <c r="C76" s="32"/>
      <c r="D76" s="63"/>
      <c r="E76" s="63"/>
      <c r="F76" s="63"/>
      <c r="G76" s="63"/>
      <c r="H76" s="63"/>
    </row>
    <row r="77" spans="1:14" x14ac:dyDescent="0.2">
      <c r="A77" s="42" t="s">
        <v>54</v>
      </c>
      <c r="B77" s="31"/>
      <c r="C77" s="32"/>
      <c r="D77" s="63"/>
      <c r="E77" s="63"/>
      <c r="F77" s="63"/>
      <c r="G77" s="63"/>
      <c r="H77" s="63"/>
    </row>
    <row r="78" spans="1:14" x14ac:dyDescent="0.2">
      <c r="A78" s="43" t="s">
        <v>108</v>
      </c>
      <c r="B78" s="31"/>
      <c r="C78" s="169">
        <f>B14</f>
        <v>6.5</v>
      </c>
      <c r="D78" s="63"/>
      <c r="E78" s="63"/>
      <c r="F78" s="63"/>
      <c r="G78" s="63"/>
      <c r="H78" s="63"/>
    </row>
    <row r="79" spans="1:14" x14ac:dyDescent="0.2">
      <c r="A79" s="43" t="s">
        <v>109</v>
      </c>
      <c r="B79" s="31"/>
      <c r="C79" s="169">
        <f>B15</f>
        <v>6.5</v>
      </c>
      <c r="D79" s="63"/>
      <c r="E79" s="63"/>
      <c r="F79" s="63"/>
      <c r="G79" s="63"/>
      <c r="H79" s="63"/>
    </row>
    <row r="80" spans="1:14" x14ac:dyDescent="0.2">
      <c r="A80" s="43" t="s">
        <v>110</v>
      </c>
      <c r="B80" s="31"/>
      <c r="C80" s="169">
        <f>B16</f>
        <v>10.293178221350482</v>
      </c>
      <c r="D80" s="63"/>
      <c r="E80" s="63"/>
      <c r="F80" s="63"/>
      <c r="G80" s="63"/>
      <c r="H80" s="63"/>
    </row>
    <row r="81" spans="1:19" x14ac:dyDescent="0.2">
      <c r="A81" s="43" t="s">
        <v>111</v>
      </c>
      <c r="B81" s="31"/>
      <c r="C81" s="169">
        <f>B17</f>
        <v>14.087771825136597</v>
      </c>
      <c r="D81" s="63"/>
      <c r="E81" s="63"/>
      <c r="F81" s="63"/>
      <c r="G81" s="63"/>
      <c r="H81" s="63"/>
    </row>
    <row r="82" spans="1:19" x14ac:dyDescent="0.2">
      <c r="A82" s="43" t="s">
        <v>181</v>
      </c>
      <c r="B82" s="31"/>
      <c r="C82" s="169">
        <f>B18</f>
        <v>17.888223528109485</v>
      </c>
      <c r="D82" s="63"/>
      <c r="E82" s="63"/>
      <c r="F82" s="63"/>
      <c r="G82" s="63"/>
      <c r="H82" s="63"/>
    </row>
    <row r="83" spans="1:19" x14ac:dyDescent="0.2">
      <c r="A83" s="40"/>
      <c r="B83" s="31"/>
      <c r="C83" s="65"/>
      <c r="D83" s="63"/>
      <c r="E83" s="63"/>
      <c r="F83" s="63"/>
      <c r="G83" s="63"/>
      <c r="H83" s="63"/>
    </row>
    <row r="84" spans="1:19" x14ac:dyDescent="0.2">
      <c r="A84" s="42" t="s">
        <v>139</v>
      </c>
      <c r="B84" s="31"/>
      <c r="C84" s="32"/>
      <c r="D84" s="63"/>
      <c r="E84" s="63"/>
      <c r="F84" s="63"/>
      <c r="G84" s="63"/>
      <c r="H84" s="63"/>
    </row>
    <row r="85" spans="1:19" x14ac:dyDescent="0.2">
      <c r="A85" s="43" t="s">
        <v>42</v>
      </c>
      <c r="B85" s="99"/>
      <c r="C85" s="97">
        <f>B21</f>
        <v>0.47999999999999937</v>
      </c>
      <c r="D85" s="63"/>
      <c r="E85" s="63"/>
      <c r="F85" s="63"/>
      <c r="G85" s="63"/>
      <c r="H85" s="63"/>
    </row>
    <row r="86" spans="1:19" x14ac:dyDescent="0.2">
      <c r="A86" s="43" t="s">
        <v>43</v>
      </c>
      <c r="B86" s="99"/>
      <c r="C86" s="97">
        <f>B22</f>
        <v>0.11000000000000011</v>
      </c>
      <c r="D86" s="63"/>
      <c r="E86" s="63"/>
      <c r="F86" s="63"/>
      <c r="G86" s="63"/>
      <c r="H86" s="63"/>
    </row>
    <row r="87" spans="1:19" x14ac:dyDescent="0.2">
      <c r="A87" s="43" t="s">
        <v>44</v>
      </c>
      <c r="B87" s="99"/>
      <c r="C87" s="97">
        <f>B23</f>
        <v>0.17000000000000018</v>
      </c>
      <c r="D87" s="63"/>
      <c r="E87" s="63"/>
      <c r="F87" s="63"/>
      <c r="G87" s="63"/>
      <c r="H87" s="63"/>
    </row>
    <row r="88" spans="1:19" x14ac:dyDescent="0.2">
      <c r="A88" s="43" t="s">
        <v>45</v>
      </c>
      <c r="B88" s="99"/>
      <c r="C88" s="97">
        <f>B24</f>
        <v>0.12000000000000018</v>
      </c>
      <c r="D88" s="63"/>
      <c r="E88" s="63"/>
      <c r="F88" s="63"/>
      <c r="G88" s="63"/>
      <c r="H88" s="63"/>
    </row>
    <row r="89" spans="1:19" ht="13.5" thickBot="1" x14ac:dyDescent="0.25">
      <c r="A89" s="80" t="s">
        <v>180</v>
      </c>
      <c r="B89" s="100"/>
      <c r="C89" s="98">
        <f>B24</f>
        <v>0.12000000000000018</v>
      </c>
      <c r="D89" s="63"/>
      <c r="E89" s="63"/>
      <c r="F89" s="63"/>
      <c r="G89" s="63"/>
      <c r="H89" s="63"/>
    </row>
    <row r="90" spans="1:19" ht="13.5" thickBot="1" x14ac:dyDescent="0.25">
      <c r="A90" s="63"/>
      <c r="B90" s="63"/>
      <c r="C90" s="63"/>
      <c r="D90" s="63"/>
      <c r="E90" s="63"/>
      <c r="F90" s="63"/>
      <c r="G90" s="63"/>
      <c r="H90" s="63"/>
    </row>
    <row r="91" spans="1:19" ht="64.5" thickBot="1" x14ac:dyDescent="0.25">
      <c r="A91" s="2" t="s">
        <v>0</v>
      </c>
      <c r="B91" s="3" t="s">
        <v>46</v>
      </c>
      <c r="C91" s="3" t="s">
        <v>86</v>
      </c>
      <c r="D91" s="3" t="s">
        <v>51</v>
      </c>
      <c r="E91" s="3" t="s">
        <v>186</v>
      </c>
      <c r="F91" s="3" t="s">
        <v>6</v>
      </c>
      <c r="G91" s="3" t="s">
        <v>47</v>
      </c>
      <c r="H91" s="3" t="s">
        <v>48</v>
      </c>
    </row>
    <row r="92" spans="1:19" x14ac:dyDescent="0.2">
      <c r="A92" s="12"/>
      <c r="B92" s="87"/>
      <c r="C92" s="87"/>
      <c r="D92" s="87"/>
      <c r="E92" s="87"/>
      <c r="F92" s="87"/>
      <c r="G92" s="87"/>
      <c r="H92" s="45"/>
      <c r="M92" s="31"/>
      <c r="N92" s="31"/>
      <c r="O92" s="31"/>
      <c r="P92" s="31"/>
      <c r="Q92" s="31"/>
      <c r="R92" s="31"/>
      <c r="S92" s="31"/>
    </row>
    <row r="93" spans="1:19" x14ac:dyDescent="0.2">
      <c r="A93" s="44" t="s">
        <v>58</v>
      </c>
      <c r="B93" s="25"/>
      <c r="C93" s="26"/>
      <c r="D93" s="25"/>
      <c r="E93" s="25"/>
      <c r="F93" s="25"/>
      <c r="G93" s="26"/>
      <c r="H93" s="25"/>
      <c r="M93" s="31"/>
      <c r="N93" s="31"/>
      <c r="O93" s="31"/>
      <c r="P93" s="31"/>
      <c r="Q93" s="31"/>
      <c r="R93" s="31"/>
      <c r="S93" s="31"/>
    </row>
    <row r="94" spans="1:19" x14ac:dyDescent="0.2">
      <c r="A94" s="44"/>
      <c r="B94" s="25"/>
      <c r="C94" s="26"/>
      <c r="D94" s="25"/>
      <c r="E94" s="25"/>
      <c r="F94" s="25"/>
      <c r="G94" s="26"/>
      <c r="H94" s="25"/>
      <c r="M94" s="31"/>
      <c r="N94" s="31"/>
      <c r="O94" s="31"/>
      <c r="P94" s="31"/>
      <c r="Q94" s="31"/>
      <c r="R94" s="31"/>
      <c r="S94" s="31"/>
    </row>
    <row r="95" spans="1:19" x14ac:dyDescent="0.2">
      <c r="A95" s="77" t="s">
        <v>12</v>
      </c>
      <c r="B95" s="25"/>
      <c r="C95" s="26"/>
      <c r="D95" s="25"/>
      <c r="E95" s="25"/>
      <c r="F95" s="25"/>
      <c r="G95" s="26"/>
      <c r="H95" s="25"/>
      <c r="M95" s="23"/>
      <c r="N95" s="128"/>
      <c r="O95" s="128"/>
      <c r="P95" s="209"/>
      <c r="Q95" s="128"/>
      <c r="R95" s="31"/>
      <c r="S95" s="128"/>
    </row>
    <row r="96" spans="1:19" x14ac:dyDescent="0.2">
      <c r="A96" s="12" t="s">
        <v>125</v>
      </c>
      <c r="B96" s="25"/>
      <c r="C96" s="26"/>
      <c r="D96" s="25"/>
      <c r="E96" s="25"/>
      <c r="F96" s="25"/>
      <c r="G96" s="26"/>
      <c r="H96" s="25"/>
      <c r="M96" s="23"/>
      <c r="N96" s="128"/>
      <c r="O96" s="128"/>
      <c r="P96" s="209"/>
      <c r="Q96" s="128"/>
      <c r="R96" s="31"/>
      <c r="S96" s="128"/>
    </row>
    <row r="97" spans="1:19" x14ac:dyDescent="0.2">
      <c r="A97" s="96" t="s">
        <v>10</v>
      </c>
      <c r="B97" s="82">
        <f>0.296361052*0.984</f>
        <v>0.29161927516800001</v>
      </c>
      <c r="C97" s="243">
        <f>8.88</f>
        <v>8.8800000000000008</v>
      </c>
      <c r="D97" s="149">
        <f>C97*B97/100</f>
        <v>2.58957916349184E-2</v>
      </c>
      <c r="E97" s="149">
        <f>0*B97</f>
        <v>0</v>
      </c>
      <c r="F97" s="149">
        <f>D97+E97</f>
        <v>2.58957916349184E-2</v>
      </c>
      <c r="G97" s="105">
        <f>F97/B97*100</f>
        <v>8.8800000000000008</v>
      </c>
      <c r="H97" s="12"/>
      <c r="M97" s="127"/>
      <c r="N97" s="128"/>
      <c r="O97" s="128"/>
      <c r="P97" s="128"/>
      <c r="Q97" s="128"/>
      <c r="R97" s="31"/>
      <c r="S97" s="128"/>
    </row>
    <row r="98" spans="1:19" x14ac:dyDescent="0.2">
      <c r="A98" s="96" t="s">
        <v>59</v>
      </c>
      <c r="B98" s="82">
        <f>2.024398948*0.984</f>
        <v>1.9920085648319998</v>
      </c>
      <c r="C98" s="243">
        <f>7.18</f>
        <v>7.18</v>
      </c>
      <c r="D98" s="149">
        <f>C98*B98/100</f>
        <v>0.14302621495493759</v>
      </c>
      <c r="E98" s="149">
        <f>0*B98</f>
        <v>0</v>
      </c>
      <c r="F98" s="149">
        <f>D98+E98</f>
        <v>0.14302621495493759</v>
      </c>
      <c r="G98" s="105">
        <f>F98/B98*100</f>
        <v>7.1800000000000006</v>
      </c>
      <c r="H98" s="12"/>
      <c r="M98" s="129"/>
      <c r="N98" s="132"/>
      <c r="O98" s="132"/>
      <c r="P98" s="31"/>
      <c r="Q98" s="210"/>
      <c r="R98" s="31"/>
      <c r="S98" s="121"/>
    </row>
    <row r="99" spans="1:19" x14ac:dyDescent="0.2">
      <c r="A99" s="96" t="s">
        <v>60</v>
      </c>
      <c r="B99" s="82">
        <f>0.281740264*0.984</f>
        <v>0.27723241977599999</v>
      </c>
      <c r="C99" s="243">
        <f>7.379</f>
        <v>7.3789999999999996</v>
      </c>
      <c r="D99" s="149">
        <f>C99*B99/100</f>
        <v>2.0456980255271037E-2</v>
      </c>
      <c r="E99" s="149">
        <f>0*B99</f>
        <v>0</v>
      </c>
      <c r="F99" s="149">
        <f>D99+E99</f>
        <v>2.0456980255271037E-2</v>
      </c>
      <c r="G99" s="105">
        <f>F99/B99*100</f>
        <v>7.3789999999999996</v>
      </c>
      <c r="H99" s="12"/>
      <c r="M99" s="129"/>
      <c r="N99" s="132"/>
      <c r="O99" s="132"/>
      <c r="P99" s="31"/>
      <c r="Q99" s="210"/>
      <c r="R99" s="31"/>
      <c r="S99" s="121"/>
    </row>
    <row r="100" spans="1:19" x14ac:dyDescent="0.2">
      <c r="A100" s="96" t="s">
        <v>61</v>
      </c>
      <c r="B100" s="170">
        <f>2.039019736*0.984</f>
        <v>2.006395420224</v>
      </c>
      <c r="C100" s="243">
        <f>7.18</f>
        <v>7.18</v>
      </c>
      <c r="D100" s="149">
        <f>C100*B100/100</f>
        <v>0.14405919117208318</v>
      </c>
      <c r="E100" s="149">
        <f>0*B100</f>
        <v>0</v>
      </c>
      <c r="F100" s="149">
        <f>D100+E100</f>
        <v>0.14405919117208318</v>
      </c>
      <c r="G100" s="105">
        <f>F100/B100*100</f>
        <v>7.1799999999999988</v>
      </c>
      <c r="H100" s="12"/>
      <c r="M100" s="129"/>
      <c r="N100" s="132"/>
      <c r="O100" s="132"/>
      <c r="P100" s="31"/>
      <c r="Q100" s="210"/>
      <c r="R100" s="31"/>
      <c r="S100" s="121"/>
    </row>
    <row r="101" spans="1:19" x14ac:dyDescent="0.2">
      <c r="A101" s="78"/>
      <c r="B101" s="82"/>
      <c r="C101" s="243"/>
      <c r="D101" s="149"/>
      <c r="E101" s="149"/>
      <c r="F101" s="149"/>
      <c r="G101" s="105"/>
      <c r="H101" s="12"/>
      <c r="M101" s="129"/>
      <c r="N101" s="132"/>
      <c r="O101" s="132"/>
      <c r="P101" s="31"/>
      <c r="Q101" s="210"/>
      <c r="R101" s="31"/>
      <c r="S101" s="121"/>
    </row>
    <row r="102" spans="1:19" x14ac:dyDescent="0.2">
      <c r="A102" s="78" t="s">
        <v>77</v>
      </c>
      <c r="B102" s="170">
        <f>2.33468456*0.984</f>
        <v>2.29732960704</v>
      </c>
      <c r="C102" s="243">
        <v>-1.0509999999999999</v>
      </c>
      <c r="D102" s="149">
        <f>C102*B102/100</f>
        <v>-2.41449341699904E-2</v>
      </c>
      <c r="E102" s="149" t="s">
        <v>72</v>
      </c>
      <c r="F102" s="149">
        <f>D102</f>
        <v>-2.41449341699904E-2</v>
      </c>
      <c r="G102" s="105">
        <f>F102/B102*100</f>
        <v>-1.0509999999999999</v>
      </c>
      <c r="H102" s="12"/>
      <c r="M102" s="23"/>
      <c r="N102" s="132"/>
      <c r="O102" s="132"/>
      <c r="P102" s="31"/>
      <c r="Q102" s="31"/>
      <c r="R102" s="31"/>
      <c r="S102" s="211"/>
    </row>
    <row r="103" spans="1:19" x14ac:dyDescent="0.2">
      <c r="A103" s="93"/>
      <c r="B103" s="82"/>
      <c r="C103" s="243"/>
      <c r="D103" s="149"/>
      <c r="E103" s="149"/>
      <c r="F103" s="149"/>
      <c r="G103" s="105"/>
      <c r="H103" s="12"/>
      <c r="M103" s="23"/>
      <c r="N103" s="31"/>
      <c r="O103" s="31"/>
      <c r="P103" s="31"/>
      <c r="Q103" s="31"/>
      <c r="R103" s="31"/>
      <c r="S103" s="31"/>
    </row>
    <row r="104" spans="1:19" x14ac:dyDescent="0.2">
      <c r="A104" s="93" t="s">
        <v>182</v>
      </c>
      <c r="B104" s="185"/>
      <c r="C104" s="244"/>
      <c r="D104" s="194"/>
      <c r="E104" s="149"/>
      <c r="F104" s="149"/>
      <c r="G104" s="246"/>
      <c r="H104" s="12"/>
      <c r="M104" s="23"/>
      <c r="N104" s="134"/>
      <c r="O104" s="134"/>
      <c r="P104" s="17"/>
      <c r="Q104" s="212"/>
      <c r="R104" s="31"/>
      <c r="S104" s="111"/>
    </row>
    <row r="105" spans="1:19" x14ac:dyDescent="0.2">
      <c r="A105" s="58" t="s">
        <v>1</v>
      </c>
      <c r="B105" s="170">
        <f>SUM($B$97:$B$100)*B21</f>
        <v>2.1922827263999971</v>
      </c>
      <c r="C105" s="245">
        <v>6.5</v>
      </c>
      <c r="D105" s="194">
        <f>C105*B105/100</f>
        <v>0.14249837721599981</v>
      </c>
      <c r="E105" s="149">
        <f>B105*(B14-C105)/100</f>
        <v>0</v>
      </c>
      <c r="F105" s="149">
        <f>E105+D105</f>
        <v>0.14249837721599981</v>
      </c>
      <c r="G105" s="105">
        <f>F105/B105*100</f>
        <v>6.5</v>
      </c>
      <c r="H105" s="12"/>
      <c r="M105" s="23"/>
      <c r="N105" s="134"/>
      <c r="O105" s="134"/>
      <c r="P105" s="17"/>
      <c r="Q105" s="212"/>
      <c r="R105" s="31"/>
      <c r="S105" s="111"/>
    </row>
    <row r="106" spans="1:19" x14ac:dyDescent="0.2">
      <c r="A106" s="58" t="s">
        <v>7</v>
      </c>
      <c r="B106" s="170">
        <f>SUM($B$97:$B$100)*B22</f>
        <v>0.50239812480000046</v>
      </c>
      <c r="C106" s="245">
        <v>6.5</v>
      </c>
      <c r="D106" s="194">
        <f>C106*B106/100</f>
        <v>3.2655878112000034E-2</v>
      </c>
      <c r="E106" s="149">
        <f>B106*(B15-C106)/100</f>
        <v>0</v>
      </c>
      <c r="F106" s="149">
        <f>E106+D106</f>
        <v>3.2655878112000034E-2</v>
      </c>
      <c r="G106" s="105">
        <f>F106/B106*100</f>
        <v>6.5</v>
      </c>
      <c r="H106" s="12"/>
      <c r="M106" s="213"/>
      <c r="N106" s="31"/>
      <c r="O106" s="31"/>
      <c r="P106" s="31"/>
      <c r="Q106" s="31"/>
      <c r="R106" s="31"/>
      <c r="S106" s="211"/>
    </row>
    <row r="107" spans="1:19" x14ac:dyDescent="0.2">
      <c r="A107" s="78" t="s">
        <v>2</v>
      </c>
      <c r="B107" s="170">
        <f>SUM($B$97:$B$100)*B23</f>
        <v>0.77643346560000082</v>
      </c>
      <c r="C107" s="245">
        <v>6.5</v>
      </c>
      <c r="D107" s="194">
        <f>C107*B107/100</f>
        <v>5.0468175264000055E-2</v>
      </c>
      <c r="E107" s="149">
        <f>B107*(B16-C107)/100</f>
        <v>2.945150512041602E-2</v>
      </c>
      <c r="F107" s="149">
        <f>E107+D107</f>
        <v>7.9919680384416075E-2</v>
      </c>
      <c r="G107" s="105">
        <f>F107/B107*100</f>
        <v>10.293178221350482</v>
      </c>
      <c r="H107" s="12"/>
      <c r="M107" s="213"/>
      <c r="N107" s="31"/>
      <c r="O107" s="31"/>
      <c r="P107" s="31"/>
      <c r="Q107" s="31"/>
      <c r="R107" s="31"/>
      <c r="S107" s="214"/>
    </row>
    <row r="108" spans="1:19" x14ac:dyDescent="0.2">
      <c r="A108" s="78" t="s">
        <v>3</v>
      </c>
      <c r="B108" s="170">
        <f>SUM($B$97:$B$100)*B24</f>
        <v>0.54807068160000072</v>
      </c>
      <c r="C108" s="245">
        <v>6.5</v>
      </c>
      <c r="D108" s="194">
        <f>C108*B108/100</f>
        <v>3.5624594304000043E-2</v>
      </c>
      <c r="E108" s="149">
        <f>B108*(B17-C108)/100</f>
        <v>4.1586352760278958E-2</v>
      </c>
      <c r="F108" s="149">
        <f>E108+D108</f>
        <v>7.7210947064279001E-2</v>
      </c>
      <c r="G108" s="105">
        <f>F108/B108*100</f>
        <v>14.087771825136597</v>
      </c>
      <c r="H108" s="12"/>
      <c r="M108" s="213"/>
      <c r="N108" s="31"/>
      <c r="O108" s="31"/>
      <c r="P108" s="31"/>
      <c r="Q108" s="31"/>
      <c r="R108" s="127"/>
      <c r="S108" s="31"/>
    </row>
    <row r="109" spans="1:19" x14ac:dyDescent="0.2">
      <c r="A109" s="78" t="s">
        <v>170</v>
      </c>
      <c r="B109" s="170">
        <f>SUM($B$97:$B$100)*B25</f>
        <v>0.54807068160000072</v>
      </c>
      <c r="C109" s="245">
        <v>6.5</v>
      </c>
      <c r="D109" s="194">
        <f>C109*B109/100</f>
        <v>3.5624594304000043E-2</v>
      </c>
      <c r="E109" s="149">
        <f>B109*(B18-C109)/100</f>
        <v>6.2415514312641307E-2</v>
      </c>
      <c r="F109" s="149">
        <f>E109+D109</f>
        <v>9.804010861664135E-2</v>
      </c>
      <c r="G109" s="105">
        <f>F109/B109*100</f>
        <v>17.888223528109485</v>
      </c>
      <c r="H109" s="12"/>
      <c r="M109" s="213"/>
      <c r="N109" s="31"/>
      <c r="O109" s="31"/>
      <c r="P109" s="31"/>
      <c r="Q109" s="31"/>
      <c r="R109" s="127"/>
      <c r="S109" s="31"/>
    </row>
    <row r="110" spans="1:19" x14ac:dyDescent="0.2">
      <c r="A110" s="93"/>
      <c r="B110" s="82"/>
      <c r="C110" s="243"/>
      <c r="D110" s="149"/>
      <c r="E110" s="24"/>
      <c r="F110" s="149"/>
      <c r="G110" s="105"/>
      <c r="H110" s="12"/>
      <c r="M110" s="129"/>
      <c r="N110" s="132"/>
      <c r="O110" s="132"/>
      <c r="P110" s="31"/>
      <c r="Q110" s="210"/>
      <c r="R110" s="31"/>
      <c r="S110" s="121"/>
    </row>
    <row r="111" spans="1:19" ht="13.5" thickBot="1" x14ac:dyDescent="0.25">
      <c r="A111" s="146" t="s">
        <v>62</v>
      </c>
      <c r="B111" s="158">
        <f>SUM(B97:B100)</f>
        <v>4.5672556799999997</v>
      </c>
      <c r="C111" s="242">
        <f>D111/B111*100</f>
        <v>13.271971299999999</v>
      </c>
      <c r="D111" s="193">
        <f>SUM(D97:D109)</f>
        <v>0.60616486304721973</v>
      </c>
      <c r="E111" s="193">
        <f>SUM(E97:E109)</f>
        <v>0.13345337219333628</v>
      </c>
      <c r="F111" s="193">
        <f>SUM(F97:F109)</f>
        <v>0.73961823524055603</v>
      </c>
      <c r="G111" s="242">
        <f>F111/B111*100</f>
        <v>16.193931040019113</v>
      </c>
      <c r="H111" s="148">
        <f>(G111-C111)/C111</f>
        <v>0.22016019127611541</v>
      </c>
      <c r="M111" s="213"/>
      <c r="N111" s="31"/>
      <c r="O111" s="31"/>
      <c r="P111" s="31"/>
      <c r="Q111" s="31"/>
      <c r="R111" s="127"/>
      <c r="S111" s="31"/>
    </row>
    <row r="112" spans="1:19" ht="13.5" thickTop="1" x14ac:dyDescent="0.2">
      <c r="A112" s="12"/>
      <c r="B112" s="157"/>
      <c r="C112" s="110"/>
      <c r="D112" s="155"/>
      <c r="E112" s="221"/>
      <c r="F112" s="149"/>
      <c r="G112" s="95"/>
      <c r="H112" s="12"/>
      <c r="M112" s="188"/>
      <c r="N112" s="31"/>
      <c r="O112" s="31"/>
      <c r="P112" s="31"/>
      <c r="Q112" s="31"/>
      <c r="R112" s="31"/>
      <c r="S112" s="31"/>
    </row>
    <row r="113" spans="1:8" x14ac:dyDescent="0.2">
      <c r="A113" s="12"/>
      <c r="B113" s="99"/>
      <c r="C113" s="110"/>
      <c r="D113" s="155"/>
      <c r="E113" s="149"/>
      <c r="F113" s="149"/>
      <c r="G113" s="95"/>
      <c r="H113" s="12"/>
    </row>
    <row r="114" spans="1:8" x14ac:dyDescent="0.2">
      <c r="A114" s="44" t="s">
        <v>63</v>
      </c>
      <c r="B114" s="94"/>
      <c r="C114" s="95"/>
      <c r="D114" s="194"/>
      <c r="E114" s="149"/>
      <c r="F114" s="149"/>
      <c r="G114" s="95"/>
      <c r="H114" s="12"/>
    </row>
    <row r="115" spans="1:8" x14ac:dyDescent="0.2">
      <c r="A115" s="44"/>
      <c r="B115" s="94"/>
      <c r="C115" s="95"/>
      <c r="D115" s="194"/>
      <c r="E115" s="149"/>
      <c r="F115" s="149"/>
      <c r="G115" s="95"/>
      <c r="H115" s="12"/>
    </row>
    <row r="116" spans="1:8" x14ac:dyDescent="0.2">
      <c r="A116" s="77" t="s">
        <v>12</v>
      </c>
      <c r="B116" s="94"/>
      <c r="C116" s="95"/>
      <c r="D116" s="194"/>
      <c r="E116" s="149"/>
      <c r="F116" s="149"/>
      <c r="G116" s="95"/>
      <c r="H116" s="12"/>
    </row>
    <row r="117" spans="1:8" x14ac:dyDescent="0.2">
      <c r="A117" s="12" t="s">
        <v>120</v>
      </c>
      <c r="B117" s="94"/>
      <c r="C117" s="95"/>
      <c r="D117" s="194"/>
      <c r="E117" s="149"/>
      <c r="F117" s="149"/>
      <c r="G117" s="95"/>
      <c r="H117" s="12"/>
    </row>
    <row r="118" spans="1:8" x14ac:dyDescent="0.2">
      <c r="A118" s="96" t="s">
        <v>10</v>
      </c>
      <c r="B118" s="82">
        <f>4.20207008*0.984</f>
        <v>4.1348369587200002</v>
      </c>
      <c r="C118" s="245">
        <f>8.674</f>
        <v>8.6739999999999995</v>
      </c>
      <c r="D118" s="194">
        <f>C118*B118/100</f>
        <v>0.35865575779937281</v>
      </c>
      <c r="E118" s="149">
        <f>0*B118</f>
        <v>0</v>
      </c>
      <c r="F118" s="149">
        <f>E118+D118</f>
        <v>0.35865575779937281</v>
      </c>
      <c r="G118" s="105">
        <f>F118/B118*100</f>
        <v>8.6739999999999995</v>
      </c>
      <c r="H118" s="12"/>
    </row>
    <row r="119" spans="1:8" x14ac:dyDescent="0.2">
      <c r="A119" s="96" t="s">
        <v>59</v>
      </c>
      <c r="B119" s="82">
        <f>20.66224992*0.984</f>
        <v>20.331653921280001</v>
      </c>
      <c r="C119" s="245">
        <f>7.134</f>
        <v>7.1340000000000003</v>
      </c>
      <c r="D119" s="194">
        <f>C119*B119/100</f>
        <v>1.4504601907441153</v>
      </c>
      <c r="E119" s="149">
        <f>0*B119</f>
        <v>0</v>
      </c>
      <c r="F119" s="149">
        <f>E119+D119</f>
        <v>1.4504601907441153</v>
      </c>
      <c r="G119" s="105">
        <f>F119/B119*100</f>
        <v>7.1340000000000003</v>
      </c>
      <c r="H119" s="12"/>
    </row>
    <row r="120" spans="1:8" x14ac:dyDescent="0.2">
      <c r="A120" s="96" t="s">
        <v>60</v>
      </c>
      <c r="B120" s="82">
        <f>3.545652032*0.984</f>
        <v>3.4889215994880001</v>
      </c>
      <c r="C120" s="245">
        <f>7.315</f>
        <v>7.3150000000000004</v>
      </c>
      <c r="D120" s="194">
        <f>C120*B120/100</f>
        <v>0.25521461500254722</v>
      </c>
      <c r="E120" s="149">
        <f>0*B120</f>
        <v>0</v>
      </c>
      <c r="F120" s="149">
        <f>E120+D120</f>
        <v>0.25521461500254722</v>
      </c>
      <c r="G120" s="105">
        <f>F120/B120*100</f>
        <v>7.3150000000000004</v>
      </c>
      <c r="H120" s="12"/>
    </row>
    <row r="121" spans="1:8" x14ac:dyDescent="0.2">
      <c r="A121" s="96" t="s">
        <v>61</v>
      </c>
      <c r="B121" s="170">
        <f>21.318667968*0.984</f>
        <v>20.977569280512</v>
      </c>
      <c r="C121" s="245">
        <f>7.134</f>
        <v>7.1340000000000003</v>
      </c>
      <c r="D121" s="194">
        <f>C121*B121/100</f>
        <v>1.4965397924717263</v>
      </c>
      <c r="E121" s="149">
        <f>0*B121</f>
        <v>0</v>
      </c>
      <c r="F121" s="149">
        <f>E121+D121</f>
        <v>1.4965397924717263</v>
      </c>
      <c r="G121" s="105">
        <f>F121/B121*100</f>
        <v>7.1340000000000012</v>
      </c>
      <c r="H121" s="12"/>
    </row>
    <row r="122" spans="1:8" x14ac:dyDescent="0.2">
      <c r="A122" s="93"/>
      <c r="B122" s="170"/>
      <c r="C122" s="245"/>
      <c r="D122" s="194"/>
      <c r="E122" s="149"/>
      <c r="F122" s="149"/>
      <c r="G122" s="105"/>
      <c r="H122" s="12"/>
    </row>
    <row r="123" spans="1:8" x14ac:dyDescent="0.2">
      <c r="A123" s="93" t="s">
        <v>121</v>
      </c>
      <c r="B123" s="170"/>
      <c r="C123" s="245"/>
      <c r="D123" s="194"/>
      <c r="E123" s="149"/>
      <c r="F123" s="149"/>
      <c r="G123" s="105"/>
      <c r="H123" s="12"/>
    </row>
    <row r="124" spans="1:8" x14ac:dyDescent="0.2">
      <c r="A124" s="58" t="s">
        <v>1</v>
      </c>
      <c r="B124" s="170">
        <f>SUM($B$118:$B$121)*B21</f>
        <v>23.48783124479997</v>
      </c>
      <c r="C124" s="245">
        <v>6.5</v>
      </c>
      <c r="D124" s="194">
        <f>C124*B124/100</f>
        <v>1.5267090309119982</v>
      </c>
      <c r="E124" s="149">
        <f>B124*(B14-C124)/100</f>
        <v>0</v>
      </c>
      <c r="F124" s="149">
        <f>E124+D124</f>
        <v>1.5267090309119982</v>
      </c>
      <c r="G124" s="105">
        <f>F124/B124*100</f>
        <v>6.5</v>
      </c>
      <c r="H124" s="12"/>
    </row>
    <row r="125" spans="1:8" x14ac:dyDescent="0.2">
      <c r="A125" s="58" t="s">
        <v>7</v>
      </c>
      <c r="B125" s="170">
        <f>SUM($B$118:$B$121)*B22</f>
        <v>5.3826279936000061</v>
      </c>
      <c r="C125" s="245">
        <v>6.5</v>
      </c>
      <c r="D125" s="194">
        <f>C125*B125/100</f>
        <v>0.3498708195840004</v>
      </c>
      <c r="E125" s="149">
        <f>B125*(B15-C125)/100</f>
        <v>0</v>
      </c>
      <c r="F125" s="149">
        <f>E125+D125</f>
        <v>0.3498708195840004</v>
      </c>
      <c r="G125" s="105">
        <f>F125/B125*100</f>
        <v>6.5</v>
      </c>
      <c r="H125" s="12"/>
    </row>
    <row r="126" spans="1:8" x14ac:dyDescent="0.2">
      <c r="A126" s="78" t="s">
        <v>2</v>
      </c>
      <c r="B126" s="170">
        <f>SUM($B$118:$B$121)*B23</f>
        <v>8.3186068992000095</v>
      </c>
      <c r="C126" s="245">
        <v>6.5</v>
      </c>
      <c r="D126" s="194">
        <f>C126*B126/100</f>
        <v>0.54070944844800062</v>
      </c>
      <c r="E126" s="149">
        <f>B126*(B16-C126)/100</f>
        <v>0.31553958522021341</v>
      </c>
      <c r="F126" s="149">
        <f>E126+D126</f>
        <v>0.85624903366821403</v>
      </c>
      <c r="G126" s="105">
        <f>F126/B126*100</f>
        <v>10.293178221350482</v>
      </c>
      <c r="H126" s="12"/>
    </row>
    <row r="127" spans="1:8" x14ac:dyDescent="0.2">
      <c r="A127" s="78" t="s">
        <v>3</v>
      </c>
      <c r="B127" s="170">
        <f>SUM($B$118:$B$121)*B24</f>
        <v>5.8719578112000095</v>
      </c>
      <c r="C127" s="245">
        <v>6.5</v>
      </c>
      <c r="D127" s="194">
        <f>C127*B127/100</f>
        <v>0.3816772577280006</v>
      </c>
      <c r="E127" s="149">
        <f>B127*(B17-C127)/100</f>
        <v>0.44555076038214197</v>
      </c>
      <c r="F127" s="149">
        <f>E127+D127</f>
        <v>0.82722801811014257</v>
      </c>
      <c r="G127" s="105">
        <f>F127/B127*100</f>
        <v>14.087771825136597</v>
      </c>
      <c r="H127" s="12"/>
    </row>
    <row r="128" spans="1:8" x14ac:dyDescent="0.2">
      <c r="A128" s="78" t="s">
        <v>170</v>
      </c>
      <c r="B128" s="170">
        <f>SUM($B$118:$B$121)*B25</f>
        <v>5.8719578112000095</v>
      </c>
      <c r="C128" s="245">
        <v>7.5</v>
      </c>
      <c r="D128" s="194">
        <f>C128*B128/100</f>
        <v>0.44039683584000072</v>
      </c>
      <c r="E128" s="149">
        <f>B128*(B18-C128)/100</f>
        <v>0.60999210290374217</v>
      </c>
      <c r="F128" s="149">
        <f>E128+D128</f>
        <v>1.0503889387437428</v>
      </c>
      <c r="G128" s="105">
        <f>F128/B128*100</f>
        <v>17.888223528109485</v>
      </c>
      <c r="H128" s="12"/>
    </row>
    <row r="129" spans="1:8" x14ac:dyDescent="0.2">
      <c r="A129" s="12"/>
      <c r="B129" s="186"/>
      <c r="C129" s="244"/>
      <c r="D129" s="194"/>
      <c r="E129" s="149"/>
      <c r="F129" s="149"/>
      <c r="G129" s="245"/>
      <c r="H129" s="12"/>
    </row>
    <row r="130" spans="1:8" ht="13.5" thickBot="1" x14ac:dyDescent="0.25">
      <c r="A130" s="146" t="s">
        <v>64</v>
      </c>
      <c r="B130" s="158">
        <f>SUM(B118:B121)</f>
        <v>48.932981760000004</v>
      </c>
      <c r="C130" s="242">
        <f>D130/B130*100</f>
        <v>13.897035300000002</v>
      </c>
      <c r="D130" s="193">
        <f>SUM(D118:D128)</f>
        <v>6.8002337485297621</v>
      </c>
      <c r="E130" s="193">
        <f>SUM(E118:E128)</f>
        <v>1.3710824485060975</v>
      </c>
      <c r="F130" s="193">
        <f>SUM(F118:F128)</f>
        <v>8.1713161970358588</v>
      </c>
      <c r="G130" s="242">
        <f>F130/B130*100</f>
        <v>16.698995040019117</v>
      </c>
      <c r="H130" s="148">
        <f>(G130-C130)/C130</f>
        <v>0.20162284109756229</v>
      </c>
    </row>
    <row r="131" spans="1:8" ht="13.5" thickTop="1" x14ac:dyDescent="0.2">
      <c r="A131" s="12"/>
      <c r="B131" s="94"/>
      <c r="C131" s="95"/>
      <c r="D131" s="15"/>
      <c r="E131" s="149"/>
      <c r="F131" s="16"/>
      <c r="G131" s="95"/>
      <c r="H131" s="12"/>
    </row>
    <row r="132" spans="1:8" x14ac:dyDescent="0.2">
      <c r="A132" s="12"/>
      <c r="B132" s="295"/>
      <c r="D132" s="15"/>
      <c r="E132" s="145"/>
      <c r="F132" s="187"/>
      <c r="G132" s="294"/>
      <c r="H132" s="12"/>
    </row>
    <row r="133" spans="1:8" x14ac:dyDescent="0.2">
      <c r="H133" s="45" t="s">
        <v>131</v>
      </c>
    </row>
    <row r="134" spans="1:8" ht="20.25" x14ac:dyDescent="0.3">
      <c r="A134" s="312" t="s">
        <v>9</v>
      </c>
      <c r="B134" s="312"/>
      <c r="C134" s="312"/>
      <c r="D134" s="312"/>
      <c r="E134" s="312"/>
      <c r="F134" s="312"/>
      <c r="G134" s="312"/>
      <c r="H134" s="312"/>
    </row>
    <row r="135" spans="1:8" ht="20.25" x14ac:dyDescent="0.3">
      <c r="A135" s="312" t="s">
        <v>41</v>
      </c>
      <c r="B135" s="312"/>
      <c r="C135" s="312"/>
      <c r="D135" s="312"/>
      <c r="E135" s="312"/>
      <c r="F135" s="312"/>
      <c r="G135" s="312"/>
      <c r="H135" s="312"/>
    </row>
    <row r="136" spans="1:8" ht="13.5" thickBot="1" x14ac:dyDescent="0.25">
      <c r="A136" s="63"/>
      <c r="B136" s="63"/>
      <c r="C136" s="63"/>
      <c r="D136" s="63"/>
      <c r="E136" s="63"/>
      <c r="F136" s="63"/>
      <c r="G136" s="63"/>
      <c r="H136" s="63"/>
    </row>
    <row r="137" spans="1:8" x14ac:dyDescent="0.2">
      <c r="A137" s="67" t="s">
        <v>65</v>
      </c>
      <c r="B137" s="88"/>
      <c r="C137" s="89"/>
      <c r="D137" s="63"/>
      <c r="E137" s="63"/>
      <c r="F137" s="63"/>
      <c r="G137" s="63"/>
      <c r="H137" s="63"/>
    </row>
    <row r="138" spans="1:8" x14ac:dyDescent="0.2">
      <c r="A138" s="8"/>
      <c r="B138" s="90"/>
      <c r="C138" s="91"/>
      <c r="D138" s="63"/>
      <c r="E138" s="63"/>
      <c r="F138" s="63"/>
      <c r="G138" s="63"/>
      <c r="H138" s="63"/>
    </row>
    <row r="139" spans="1:8" x14ac:dyDescent="0.2">
      <c r="A139" s="42" t="s">
        <v>66</v>
      </c>
      <c r="B139" s="90"/>
      <c r="C139" s="91"/>
      <c r="D139" s="63"/>
      <c r="E139" s="63"/>
      <c r="F139" s="63"/>
      <c r="G139" s="63"/>
      <c r="H139" s="63"/>
    </row>
    <row r="140" spans="1:8" x14ac:dyDescent="0.2">
      <c r="A140" s="43" t="s">
        <v>52</v>
      </c>
      <c r="B140" s="90"/>
      <c r="C140" s="207">
        <f>G153-C153</f>
        <v>16.122753191309904</v>
      </c>
      <c r="D140" s="63"/>
      <c r="E140" s="63"/>
      <c r="F140" s="63"/>
      <c r="G140" s="63"/>
      <c r="H140" s="63"/>
    </row>
    <row r="141" spans="1:8" x14ac:dyDescent="0.2">
      <c r="A141" s="43" t="s">
        <v>53</v>
      </c>
      <c r="B141" s="90"/>
      <c r="C141" s="207">
        <f>G154-C154</f>
        <v>2.2010589197345762</v>
      </c>
      <c r="D141" s="63"/>
      <c r="E141" s="63"/>
      <c r="F141" s="63"/>
      <c r="G141" s="63"/>
      <c r="H141" s="63"/>
    </row>
    <row r="142" spans="1:8" x14ac:dyDescent="0.2">
      <c r="A142" s="43" t="s">
        <v>112</v>
      </c>
      <c r="B142" s="90"/>
      <c r="C142" s="207">
        <f>G155-C155</f>
        <v>-1.6660783779252348</v>
      </c>
      <c r="D142" s="63"/>
      <c r="E142" s="63"/>
      <c r="F142" s="63"/>
      <c r="G142" s="63"/>
      <c r="H142" s="63"/>
    </row>
    <row r="143" spans="1:8" x14ac:dyDescent="0.2">
      <c r="A143" s="43"/>
      <c r="B143" s="90"/>
      <c r="C143" s="207"/>
      <c r="D143" s="63"/>
      <c r="E143" s="63"/>
      <c r="F143" s="63"/>
      <c r="G143" s="63"/>
      <c r="H143" s="63"/>
    </row>
    <row r="144" spans="1:8" x14ac:dyDescent="0.2">
      <c r="A144" s="8" t="s">
        <v>67</v>
      </c>
      <c r="B144" s="90"/>
      <c r="C144" s="207"/>
      <c r="D144" s="63"/>
      <c r="E144" s="190"/>
      <c r="F144" s="63"/>
      <c r="G144" s="63"/>
      <c r="H144" s="63"/>
    </row>
    <row r="145" spans="1:19" x14ac:dyDescent="0.2">
      <c r="A145" s="43" t="s">
        <v>68</v>
      </c>
      <c r="B145" s="90"/>
      <c r="C145" s="207">
        <v>2.6</v>
      </c>
      <c r="D145" s="63"/>
      <c r="E145" s="63"/>
      <c r="F145" s="63"/>
      <c r="G145" s="63"/>
      <c r="H145" s="63"/>
    </row>
    <row r="146" spans="1:19" ht="13.5" thickBot="1" x14ac:dyDescent="0.25">
      <c r="A146" s="80" t="s">
        <v>128</v>
      </c>
      <c r="B146" s="92"/>
      <c r="C146" s="208">
        <v>1.23</v>
      </c>
      <c r="D146" s="63"/>
      <c r="E146" s="63"/>
      <c r="F146" s="63"/>
      <c r="G146" s="63"/>
      <c r="H146" s="63"/>
    </row>
    <row r="147" spans="1:19" ht="13.5" thickBot="1" x14ac:dyDescent="0.25">
      <c r="A147" s="47"/>
      <c r="B147" s="90"/>
      <c r="C147" s="90"/>
      <c r="D147" s="63"/>
      <c r="E147" s="63"/>
      <c r="F147" s="63"/>
      <c r="G147" s="63"/>
      <c r="H147" s="63"/>
    </row>
    <row r="148" spans="1:19" ht="64.5" thickBot="1" x14ac:dyDescent="0.25">
      <c r="A148" s="2" t="s">
        <v>0</v>
      </c>
      <c r="B148" s="3" t="s">
        <v>46</v>
      </c>
      <c r="C148" s="3" t="s">
        <v>86</v>
      </c>
      <c r="D148" s="3" t="s">
        <v>51</v>
      </c>
      <c r="E148" s="3" t="s">
        <v>186</v>
      </c>
      <c r="F148" s="3" t="s">
        <v>6</v>
      </c>
      <c r="G148" s="3" t="s">
        <v>47</v>
      </c>
      <c r="H148" s="3" t="s">
        <v>48</v>
      </c>
    </row>
    <row r="149" spans="1:19" x14ac:dyDescent="0.2">
      <c r="A149" s="12"/>
      <c r="B149" s="94"/>
      <c r="C149" s="95"/>
      <c r="D149" s="15"/>
      <c r="E149" s="16"/>
      <c r="F149" s="16"/>
      <c r="G149" s="95"/>
      <c r="H149" s="12"/>
      <c r="M149" s="23"/>
      <c r="N149" s="123" t="s">
        <v>96</v>
      </c>
      <c r="O149" s="123"/>
      <c r="P149" s="101"/>
      <c r="Q149" s="123" t="s">
        <v>90</v>
      </c>
      <c r="S149" s="123" t="s">
        <v>97</v>
      </c>
    </row>
    <row r="150" spans="1:19" x14ac:dyDescent="0.2">
      <c r="A150" s="44" t="s">
        <v>87</v>
      </c>
      <c r="B150" s="94"/>
      <c r="C150" s="95"/>
      <c r="D150" s="15"/>
      <c r="E150" s="16"/>
      <c r="F150" s="16"/>
      <c r="G150" s="36"/>
      <c r="H150" s="12"/>
      <c r="M150" s="127"/>
      <c r="N150" s="124" t="s">
        <v>98</v>
      </c>
      <c r="O150" s="128"/>
      <c r="P150" s="128"/>
      <c r="Q150" s="124" t="s">
        <v>107</v>
      </c>
      <c r="S150" s="124" t="s">
        <v>100</v>
      </c>
    </row>
    <row r="151" spans="1:19" x14ac:dyDescent="0.2">
      <c r="A151" s="44"/>
      <c r="B151" s="94"/>
      <c r="C151" s="95"/>
      <c r="D151" s="15"/>
      <c r="E151" s="16"/>
      <c r="F151" s="16"/>
      <c r="G151" s="36"/>
      <c r="H151" s="12"/>
      <c r="M151" s="129" t="s">
        <v>10</v>
      </c>
      <c r="N151" s="198">
        <f t="shared" ref="N151:N156" si="1">B153</f>
        <v>1.7240750592E-2</v>
      </c>
      <c r="O151" s="130"/>
      <c r="Q151" s="191">
        <f>Q152*2.6</f>
        <v>0.22622753191309899</v>
      </c>
      <c r="S151" s="131">
        <f t="shared" ref="S151:S156" si="2">Q151*N151</f>
        <v>3.9003324547574603E-3</v>
      </c>
    </row>
    <row r="152" spans="1:19" x14ac:dyDescent="0.2">
      <c r="A152" s="77" t="s">
        <v>12</v>
      </c>
      <c r="B152" s="94"/>
      <c r="C152" s="95"/>
      <c r="D152" s="15"/>
      <c r="E152" s="16"/>
      <c r="F152" s="16"/>
      <c r="G152" s="36"/>
      <c r="H152" s="12"/>
      <c r="M152" s="129" t="s">
        <v>59</v>
      </c>
      <c r="N152" s="198">
        <f t="shared" si="1"/>
        <v>5.0682722688000004E-2</v>
      </c>
      <c r="O152" s="130"/>
      <c r="Q152" s="191">
        <f>0.095*S164</f>
        <v>8.7010589197345764E-2</v>
      </c>
      <c r="S152" s="131">
        <f t="shared" si="2"/>
        <v>4.4099335632085644E-3</v>
      </c>
    </row>
    <row r="153" spans="1:19" x14ac:dyDescent="0.2">
      <c r="A153" s="96" t="s">
        <v>10</v>
      </c>
      <c r="B153" s="102">
        <f>0.017521088*0.984</f>
        <v>1.7240750592E-2</v>
      </c>
      <c r="C153" s="245">
        <f>8.671+6.5</f>
        <v>15.170999999999999</v>
      </c>
      <c r="D153" s="194">
        <f t="shared" ref="D153:D158" si="3">C153*B153/100</f>
        <v>2.61559427231232E-3</v>
      </c>
      <c r="E153" s="149">
        <f t="shared" ref="E153:E158" si="4">B153*(Q151-0.065)</f>
        <v>2.7796836662774605E-3</v>
      </c>
      <c r="F153" s="149">
        <f t="shared" ref="F153:F158" si="5">D153+E153</f>
        <v>5.395277938589781E-3</v>
      </c>
      <c r="G153" s="245">
        <f t="shared" ref="G153:G158" si="6">F153/B153*100</f>
        <v>31.293753191309904</v>
      </c>
      <c r="H153" s="12"/>
      <c r="M153" s="45" t="s">
        <v>106</v>
      </c>
      <c r="N153" s="198">
        <f t="shared" si="1"/>
        <v>4.0552686719999995E-2</v>
      </c>
      <c r="Q153" s="191">
        <f>Q152/1.8</f>
        <v>4.8339216220747647E-2</v>
      </c>
      <c r="S153" s="131">
        <f t="shared" si="2"/>
        <v>1.9602850916903215E-3</v>
      </c>
    </row>
    <row r="154" spans="1:19" x14ac:dyDescent="0.2">
      <c r="A154" s="96" t="s">
        <v>59</v>
      </c>
      <c r="B154" s="102">
        <f>0.051506832*0.984</f>
        <v>5.0682722688000004E-2</v>
      </c>
      <c r="C154" s="245">
        <f>7.158+6.5</f>
        <v>13.658000000000001</v>
      </c>
      <c r="D154" s="194">
        <f t="shared" si="3"/>
        <v>6.9222462647270415E-3</v>
      </c>
      <c r="E154" s="149">
        <f t="shared" si="4"/>
        <v>1.1155565884885638E-3</v>
      </c>
      <c r="F154" s="149">
        <f t="shared" si="5"/>
        <v>8.0378028532156059E-3</v>
      </c>
      <c r="G154" s="245">
        <f t="shared" si="6"/>
        <v>15.859058919734577</v>
      </c>
      <c r="H154" s="12"/>
      <c r="M154" s="129" t="s">
        <v>60</v>
      </c>
      <c r="N154" s="198">
        <f t="shared" si="1"/>
        <v>1.7326098816000002E-2</v>
      </c>
      <c r="O154" s="130"/>
      <c r="Q154" s="191">
        <f>Q151</f>
        <v>0.22622753191309899</v>
      </c>
      <c r="S154" s="131">
        <f t="shared" si="2"/>
        <v>3.919640572826147E-3</v>
      </c>
    </row>
    <row r="155" spans="1:19" x14ac:dyDescent="0.2">
      <c r="A155" s="96" t="s">
        <v>69</v>
      </c>
      <c r="B155" s="102">
        <f>0.04121208*0.984</f>
        <v>4.0552686719999995E-2</v>
      </c>
      <c r="C155" s="245">
        <f>6.954+6.5</f>
        <v>13.454000000000001</v>
      </c>
      <c r="D155" s="194">
        <f t="shared" si="3"/>
        <v>5.4559584713087996E-3</v>
      </c>
      <c r="E155" s="149">
        <f t="shared" si="4"/>
        <v>-6.7563954510967833E-4</v>
      </c>
      <c r="F155" s="149">
        <f t="shared" si="5"/>
        <v>4.7803189261991213E-3</v>
      </c>
      <c r="G155" s="245">
        <f t="shared" si="6"/>
        <v>11.787921622074766</v>
      </c>
      <c r="H155" s="12"/>
      <c r="M155" s="129" t="s">
        <v>61</v>
      </c>
      <c r="N155" s="198">
        <f t="shared" si="1"/>
        <v>5.2083907200000001E-2</v>
      </c>
      <c r="O155" s="132"/>
      <c r="Q155" s="191">
        <f>Q152</f>
        <v>8.7010589197345764E-2</v>
      </c>
      <c r="S155" s="121">
        <f t="shared" si="2"/>
        <v>4.5318514531718793E-3</v>
      </c>
    </row>
    <row r="156" spans="1:19" x14ac:dyDescent="0.2">
      <c r="A156" s="96" t="s">
        <v>60</v>
      </c>
      <c r="B156" s="102">
        <f>0.017607824*0.984</f>
        <v>1.7326098816000002E-2</v>
      </c>
      <c r="C156" s="245">
        <f>7.376+6.5</f>
        <v>13.876000000000001</v>
      </c>
      <c r="D156" s="194">
        <f t="shared" si="3"/>
        <v>2.4041694717081607E-3</v>
      </c>
      <c r="E156" s="149">
        <f t="shared" si="4"/>
        <v>2.793444149786147E-3</v>
      </c>
      <c r="F156" s="149">
        <f t="shared" si="5"/>
        <v>5.1976136214943076E-3</v>
      </c>
      <c r="G156" s="245">
        <f t="shared" si="6"/>
        <v>29.998753191309902</v>
      </c>
      <c r="H156" s="12"/>
      <c r="M156" s="150" t="s">
        <v>106</v>
      </c>
      <c r="N156" s="199">
        <f t="shared" si="1"/>
        <v>3.9066153983999999E-2</v>
      </c>
      <c r="O156" s="142"/>
      <c r="P156" s="142"/>
      <c r="Q156" s="192">
        <f>Q153</f>
        <v>4.8339216220747647E-2</v>
      </c>
      <c r="R156" s="142"/>
      <c r="S156" s="133">
        <f t="shared" si="2"/>
        <v>1.888427264345598E-3</v>
      </c>
    </row>
    <row r="157" spans="1:19" x14ac:dyDescent="0.2">
      <c r="A157" s="96" t="s">
        <v>61</v>
      </c>
      <c r="B157" s="102">
        <f>0.0529308*0.984</f>
        <v>5.2083907200000001E-2</v>
      </c>
      <c r="C157" s="245">
        <f>7.158+6.5</f>
        <v>13.658000000000001</v>
      </c>
      <c r="D157" s="194">
        <f t="shared" si="3"/>
        <v>7.1136200453760009E-3</v>
      </c>
      <c r="E157" s="149">
        <f t="shared" si="4"/>
        <v>1.1463974851718792E-3</v>
      </c>
      <c r="F157" s="149">
        <f t="shared" si="5"/>
        <v>8.2600175305478796E-3</v>
      </c>
      <c r="G157" s="245">
        <f t="shared" si="6"/>
        <v>15.859058919734576</v>
      </c>
      <c r="H157" s="12"/>
      <c r="M157" s="23" t="s">
        <v>101</v>
      </c>
      <c r="N157" s="198">
        <f>SUM(N151:N156)</f>
        <v>0.21695231999999998</v>
      </c>
      <c r="O157" s="130"/>
      <c r="S157" s="122">
        <f>SUM(S151:S156)</f>
        <v>2.0610470399999969E-2</v>
      </c>
    </row>
    <row r="158" spans="1:19" x14ac:dyDescent="0.2">
      <c r="A158" s="96" t="s">
        <v>69</v>
      </c>
      <c r="B158" s="102">
        <f>0.039701376*0.984</f>
        <v>3.9066153983999999E-2</v>
      </c>
      <c r="C158" s="245">
        <f>6.954+6.5</f>
        <v>13.454000000000001</v>
      </c>
      <c r="D158" s="194">
        <f t="shared" si="3"/>
        <v>5.2559603570073599E-3</v>
      </c>
      <c r="E158" s="149">
        <f t="shared" si="4"/>
        <v>-6.5087274461440197E-4</v>
      </c>
      <c r="F158" s="149">
        <f t="shared" si="5"/>
        <v>4.6050876123929583E-3</v>
      </c>
      <c r="G158" s="245">
        <f t="shared" si="6"/>
        <v>11.787921622074766</v>
      </c>
      <c r="H158" s="12"/>
      <c r="M158" s="23"/>
      <c r="N158" s="198"/>
    </row>
    <row r="159" spans="1:19" x14ac:dyDescent="0.2">
      <c r="A159" s="93"/>
      <c r="B159" s="94"/>
      <c r="C159" s="245"/>
      <c r="D159" s="194"/>
      <c r="E159" s="149"/>
      <c r="F159" s="149"/>
      <c r="G159" s="245"/>
      <c r="H159" s="12"/>
      <c r="M159" s="23" t="s">
        <v>101</v>
      </c>
      <c r="N159" s="197">
        <f>N157</f>
        <v>0.21695231999999998</v>
      </c>
      <c r="O159" s="134"/>
      <c r="P159" s="17"/>
      <c r="Q159" s="203">
        <f>0.065+0.0277+N56</f>
        <v>9.3084769859103897E-2</v>
      </c>
      <c r="S159" s="113">
        <f>Q159*N159</f>
        <v>2.0194956777598663E-2</v>
      </c>
    </row>
    <row r="160" spans="1:19" ht="13.5" thickBot="1" x14ac:dyDescent="0.25">
      <c r="A160" s="146" t="s">
        <v>89</v>
      </c>
      <c r="B160" s="147">
        <f>SUM(B153:B158)</f>
        <v>0.21695231999999998</v>
      </c>
      <c r="C160" s="242">
        <f>B153/B160*C153+B154/B160*C154+B155/B160*C155+B156/B160*C156+B157/B160*C157+B158/B160*C158</f>
        <v>13.720779239622644</v>
      </c>
      <c r="D160" s="193">
        <f>SUM(D153:D158)</f>
        <v>2.9767548882439682E-2</v>
      </c>
      <c r="E160" s="193">
        <f>SUM(E153:E158)</f>
        <v>6.5085695999999704E-3</v>
      </c>
      <c r="F160" s="193">
        <f>SUM(F153:F158)</f>
        <v>3.6276118482439654E-2</v>
      </c>
      <c r="G160" s="242">
        <f>F160/B160*100</f>
        <v>16.720779239622633</v>
      </c>
      <c r="H160" s="148">
        <f>(G160-C160)/C160</f>
        <v>0.21864647390700945</v>
      </c>
      <c r="M160" s="23"/>
      <c r="N160" s="134"/>
      <c r="O160" s="134"/>
      <c r="P160" s="17"/>
      <c r="Q160" s="135"/>
      <c r="S160" s="113"/>
    </row>
    <row r="161" spans="1:19" ht="13.5" thickTop="1" x14ac:dyDescent="0.2">
      <c r="A161" s="12"/>
      <c r="B161" s="109"/>
      <c r="C161" s="110"/>
      <c r="D161" s="155"/>
      <c r="E161" s="155"/>
      <c r="F161" s="155"/>
      <c r="G161" s="195"/>
      <c r="H161" s="156"/>
      <c r="M161" s="23"/>
      <c r="N161" s="197"/>
      <c r="O161" s="134"/>
      <c r="P161" s="17"/>
      <c r="Q161" s="135"/>
      <c r="S161" s="113"/>
    </row>
    <row r="162" spans="1:19" ht="13.5" thickBot="1" x14ac:dyDescent="0.25">
      <c r="A162" s="70"/>
      <c r="B162" s="153"/>
      <c r="C162" s="154"/>
      <c r="D162" s="222"/>
      <c r="E162" s="223"/>
      <c r="F162" s="223"/>
      <c r="G162" s="154"/>
      <c r="H162" s="70"/>
      <c r="M162" s="136" t="s">
        <v>102</v>
      </c>
      <c r="N162" s="137"/>
      <c r="O162" s="137"/>
      <c r="P162" s="137"/>
      <c r="Q162" s="137"/>
      <c r="R162" s="137"/>
      <c r="S162" s="138">
        <f>S159</f>
        <v>2.0194956777598663E-2</v>
      </c>
    </row>
    <row r="163" spans="1:19" ht="13.5" thickBot="1" x14ac:dyDescent="0.25">
      <c r="A163" s="69" t="s">
        <v>70</v>
      </c>
      <c r="B163" s="69">
        <f>B67+B111+B130+B160+B160</f>
        <v>6450.4321480988747</v>
      </c>
      <c r="C163" s="176">
        <f>B67/B163*C67+B111/B163*C111+B130/B163*C130+B160/B163*C160</f>
        <v>13.895495199175267</v>
      </c>
      <c r="D163" s="224">
        <f>D67+D111+D130+D160+D160</f>
        <v>896.3492570140196</v>
      </c>
      <c r="E163" s="224">
        <f>E67+E111+E130+E160+E160</f>
        <v>174.68649359636998</v>
      </c>
      <c r="F163" s="224">
        <f>F67+F111+F130+F160+F160</f>
        <v>1071.0357506103896</v>
      </c>
      <c r="G163" s="175">
        <f>F163/B163*100</f>
        <v>16.604092966485265</v>
      </c>
      <c r="H163" s="152">
        <f>(G163-C163)/C163</f>
        <v>0.19492632169530455</v>
      </c>
      <c r="M163" s="139" t="s">
        <v>103</v>
      </c>
      <c r="N163" s="31"/>
      <c r="O163" s="31"/>
      <c r="P163" s="31"/>
      <c r="Q163" s="31"/>
      <c r="R163" s="31"/>
      <c r="S163" s="140">
        <f>S157-S162</f>
        <v>4.1551362240130688E-4</v>
      </c>
    </row>
    <row r="164" spans="1:19" x14ac:dyDescent="0.2">
      <c r="A164" s="31"/>
      <c r="B164" s="31"/>
      <c r="C164" s="31"/>
      <c r="D164" s="31"/>
      <c r="E164" s="46"/>
      <c r="F164" s="31"/>
      <c r="G164" s="31"/>
      <c r="H164" s="31"/>
      <c r="M164" s="139" t="s">
        <v>104</v>
      </c>
      <c r="N164" s="31"/>
      <c r="O164" s="31"/>
      <c r="P164" s="31"/>
      <c r="Q164" s="31"/>
      <c r="R164" s="127"/>
      <c r="S164" s="284">
        <v>0.91590093891942903</v>
      </c>
    </row>
    <row r="165" spans="1:19" x14ac:dyDescent="0.2">
      <c r="A165" s="31"/>
      <c r="B165" s="31"/>
      <c r="C165" s="31"/>
      <c r="D165" s="111"/>
      <c r="E165" s="200"/>
      <c r="F165" s="31"/>
      <c r="G165" s="31"/>
      <c r="H165" s="31"/>
      <c r="M165" s="141" t="s">
        <v>105</v>
      </c>
      <c r="N165" s="142"/>
      <c r="O165" s="142"/>
      <c r="P165" s="142"/>
      <c r="Q165" s="142"/>
      <c r="R165" s="142"/>
      <c r="S165" s="143"/>
    </row>
    <row r="166" spans="1:19" x14ac:dyDescent="0.2">
      <c r="A166" s="31"/>
      <c r="B166" s="31"/>
      <c r="C166" s="31"/>
      <c r="D166" s="111"/>
      <c r="E166" s="201"/>
      <c r="F166" s="31"/>
      <c r="G166" s="31"/>
      <c r="H166" s="31"/>
      <c r="M166" s="188"/>
      <c r="N166" s="31"/>
      <c r="O166" s="31"/>
      <c r="P166" s="31"/>
      <c r="Q166" s="31"/>
      <c r="R166" s="31"/>
      <c r="S166" s="31"/>
    </row>
    <row r="167" spans="1:19" x14ac:dyDescent="0.2">
      <c r="A167" s="189" t="s">
        <v>127</v>
      </c>
      <c r="B167" s="31"/>
      <c r="C167" s="31"/>
      <c r="D167" s="31"/>
      <c r="E167" s="46"/>
      <c r="F167" s="31"/>
      <c r="G167" s="31"/>
      <c r="H167" s="31"/>
    </row>
    <row r="168" spans="1:19" x14ac:dyDescent="0.2">
      <c r="A168" s="31" t="s">
        <v>141</v>
      </c>
      <c r="C168" s="31"/>
      <c r="D168" s="31"/>
      <c r="E168" s="46"/>
      <c r="F168" s="31"/>
      <c r="G168" s="31"/>
      <c r="H168" s="31"/>
    </row>
    <row r="169" spans="1:19" x14ac:dyDescent="0.2">
      <c r="A169" s="31" t="s">
        <v>142</v>
      </c>
      <c r="C169" s="31"/>
      <c r="D169" s="31"/>
      <c r="E169" s="46"/>
      <c r="F169" s="31"/>
      <c r="G169" s="31"/>
      <c r="H169" s="31"/>
    </row>
    <row r="170" spans="1:19" x14ac:dyDescent="0.2">
      <c r="A170" s="189" t="s">
        <v>149</v>
      </c>
      <c r="C170" s="31"/>
      <c r="D170" s="31"/>
      <c r="E170" s="46"/>
      <c r="F170" s="31"/>
      <c r="G170" s="31"/>
      <c r="H170" s="31"/>
    </row>
    <row r="171" spans="1:19" x14ac:dyDescent="0.2">
      <c r="A171" s="189" t="s">
        <v>150</v>
      </c>
      <c r="C171" s="31"/>
      <c r="D171" s="31"/>
      <c r="E171" s="46"/>
      <c r="F171" s="31"/>
      <c r="G171" s="31"/>
      <c r="H171" s="31"/>
    </row>
    <row r="172" spans="1:19" x14ac:dyDescent="0.2">
      <c r="A172" s="31" t="s">
        <v>151</v>
      </c>
      <c r="C172" s="31"/>
      <c r="D172" s="31"/>
      <c r="E172" s="46"/>
      <c r="F172" s="31"/>
      <c r="G172" s="31"/>
      <c r="H172" s="31"/>
    </row>
    <row r="173" spans="1:19" x14ac:dyDescent="0.2">
      <c r="A173" s="31" t="s">
        <v>136</v>
      </c>
      <c r="C173" s="31"/>
      <c r="D173" s="31"/>
      <c r="E173" s="46"/>
      <c r="F173" s="31"/>
      <c r="G173" s="31"/>
      <c r="H173" s="31"/>
    </row>
    <row r="174" spans="1:19" x14ac:dyDescent="0.2">
      <c r="A174" s="31" t="s">
        <v>152</v>
      </c>
      <c r="C174" s="31"/>
      <c r="D174" s="31"/>
      <c r="E174" s="46"/>
      <c r="F174" s="31"/>
      <c r="G174" s="31"/>
      <c r="H174" s="31"/>
    </row>
    <row r="175" spans="1:19" x14ac:dyDescent="0.2">
      <c r="A175" s="31" t="s">
        <v>126</v>
      </c>
      <c r="C175" s="31"/>
      <c r="D175" s="31"/>
      <c r="E175" s="46"/>
      <c r="F175" s="31"/>
      <c r="G175" s="31"/>
      <c r="H175" s="31"/>
    </row>
    <row r="176" spans="1:19" x14ac:dyDescent="0.2">
      <c r="A176" s="6" t="s">
        <v>197</v>
      </c>
      <c r="C176" s="31"/>
      <c r="D176" s="31"/>
      <c r="E176" s="46"/>
      <c r="F176" s="31"/>
      <c r="G176" s="31"/>
      <c r="H176" s="31"/>
    </row>
    <row r="177" spans="1:8" x14ac:dyDescent="0.2">
      <c r="A177" s="31"/>
      <c r="B177" s="31"/>
      <c r="C177" s="31"/>
      <c r="D177" s="31"/>
      <c r="E177" s="46"/>
      <c r="F177" s="31"/>
      <c r="G177" s="31"/>
      <c r="H177" s="31"/>
    </row>
    <row r="178" spans="1:8" x14ac:dyDescent="0.2">
      <c r="A178" s="31"/>
      <c r="B178" s="31"/>
      <c r="C178" s="31"/>
      <c r="D178" s="31"/>
      <c r="E178" s="46"/>
      <c r="F178" s="31"/>
      <c r="G178" s="31"/>
      <c r="H178" s="31"/>
    </row>
    <row r="179" spans="1:8" x14ac:dyDescent="0.2">
      <c r="A179" s="31"/>
      <c r="B179" s="31"/>
      <c r="C179" s="31"/>
      <c r="D179" s="31"/>
      <c r="E179" s="46"/>
      <c r="F179" s="31"/>
      <c r="G179" s="31"/>
      <c r="H179" s="31"/>
    </row>
    <row r="180" spans="1:8" x14ac:dyDescent="0.2">
      <c r="A180" s="31"/>
      <c r="B180" s="31"/>
      <c r="C180" s="31"/>
      <c r="D180" s="31"/>
      <c r="E180" s="46"/>
      <c r="F180" s="31"/>
      <c r="G180" s="31"/>
      <c r="H180" s="31"/>
    </row>
    <row r="181" spans="1:8" x14ac:dyDescent="0.2">
      <c r="A181" s="31"/>
      <c r="B181" s="31"/>
      <c r="C181" s="31"/>
      <c r="D181" s="31"/>
      <c r="E181" s="46"/>
      <c r="F181" s="31"/>
      <c r="G181" s="31"/>
      <c r="H181" s="31"/>
    </row>
    <row r="182" spans="1:8" x14ac:dyDescent="0.2">
      <c r="A182" s="31"/>
      <c r="B182" s="31"/>
      <c r="C182" s="31"/>
      <c r="D182" s="31"/>
      <c r="E182" s="46"/>
      <c r="F182" s="31"/>
      <c r="G182" s="31"/>
      <c r="H182" s="31"/>
    </row>
    <row r="183" spans="1:8" x14ac:dyDescent="0.2">
      <c r="A183" s="31"/>
      <c r="B183" s="31"/>
      <c r="C183" s="31"/>
      <c r="D183" s="31"/>
      <c r="E183" s="46"/>
      <c r="F183" s="31"/>
      <c r="G183" s="31"/>
      <c r="H183" s="31"/>
    </row>
    <row r="184" spans="1:8" x14ac:dyDescent="0.2">
      <c r="A184" s="31"/>
      <c r="B184" s="31"/>
      <c r="C184" s="31"/>
      <c r="D184" s="31"/>
      <c r="E184" s="46"/>
      <c r="F184" s="31"/>
      <c r="G184" s="31"/>
      <c r="H184" s="31"/>
    </row>
    <row r="185" spans="1:8" x14ac:dyDescent="0.2">
      <c r="A185" s="31"/>
      <c r="B185" s="31"/>
      <c r="C185" s="31"/>
      <c r="D185" s="31"/>
      <c r="E185" s="46"/>
      <c r="F185" s="31"/>
      <c r="G185" s="31"/>
      <c r="H185" s="31"/>
    </row>
    <row r="186" spans="1:8" x14ac:dyDescent="0.2">
      <c r="E186" s="34"/>
    </row>
    <row r="187" spans="1:8" x14ac:dyDescent="0.2">
      <c r="E187" s="34"/>
    </row>
    <row r="188" spans="1:8" x14ac:dyDescent="0.2">
      <c r="E188" s="34"/>
    </row>
    <row r="189" spans="1:8" x14ac:dyDescent="0.2">
      <c r="E189" s="34"/>
    </row>
    <row r="190" spans="1:8" x14ac:dyDescent="0.2">
      <c r="E190" s="34"/>
    </row>
    <row r="191" spans="1:8" x14ac:dyDescent="0.2">
      <c r="E191" s="34"/>
    </row>
    <row r="192" spans="1:8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  <row r="2840" spans="5:5" x14ac:dyDescent="0.2">
      <c r="E2840" s="34"/>
    </row>
    <row r="2841" spans="5:5" x14ac:dyDescent="0.2">
      <c r="E2841" s="34"/>
    </row>
    <row r="2842" spans="5:5" x14ac:dyDescent="0.2">
      <c r="E2842" s="34"/>
    </row>
    <row r="2843" spans="5:5" x14ac:dyDescent="0.2">
      <c r="E2843" s="34"/>
    </row>
    <row r="2844" spans="5:5" x14ac:dyDescent="0.2">
      <c r="E2844" s="34"/>
    </row>
    <row r="2845" spans="5:5" x14ac:dyDescent="0.2">
      <c r="E2845" s="34"/>
    </row>
    <row r="2846" spans="5:5" x14ac:dyDescent="0.2">
      <c r="E2846" s="34"/>
    </row>
    <row r="2847" spans="5:5" x14ac:dyDescent="0.2">
      <c r="E2847" s="34"/>
    </row>
    <row r="2848" spans="5:5" x14ac:dyDescent="0.2">
      <c r="E2848" s="34"/>
    </row>
    <row r="2849" spans="5:5" x14ac:dyDescent="0.2">
      <c r="E2849" s="34"/>
    </row>
    <row r="2850" spans="5:5" x14ac:dyDescent="0.2">
      <c r="E2850" s="34"/>
    </row>
    <row r="2851" spans="5:5" x14ac:dyDescent="0.2">
      <c r="E2851" s="34"/>
    </row>
    <row r="2852" spans="5:5" x14ac:dyDescent="0.2">
      <c r="E2852" s="34"/>
    </row>
    <row r="2853" spans="5:5" x14ac:dyDescent="0.2">
      <c r="E2853" s="34"/>
    </row>
    <row r="2854" spans="5:5" x14ac:dyDescent="0.2">
      <c r="E2854" s="34"/>
    </row>
    <row r="2855" spans="5:5" x14ac:dyDescent="0.2">
      <c r="E2855" s="34"/>
    </row>
    <row r="2856" spans="5:5" x14ac:dyDescent="0.2">
      <c r="E2856" s="34"/>
    </row>
    <row r="2857" spans="5:5" x14ac:dyDescent="0.2">
      <c r="E2857" s="34"/>
    </row>
    <row r="2858" spans="5:5" x14ac:dyDescent="0.2">
      <c r="E2858" s="34"/>
    </row>
    <row r="2859" spans="5:5" x14ac:dyDescent="0.2">
      <c r="E2859" s="34"/>
    </row>
    <row r="2860" spans="5:5" x14ac:dyDescent="0.2">
      <c r="E2860" s="34"/>
    </row>
    <row r="2861" spans="5:5" x14ac:dyDescent="0.2">
      <c r="E2861" s="34"/>
    </row>
    <row r="2862" spans="5:5" x14ac:dyDescent="0.2">
      <c r="E2862" s="34"/>
    </row>
    <row r="2863" spans="5:5" x14ac:dyDescent="0.2">
      <c r="E2863" s="34"/>
    </row>
    <row r="2864" spans="5:5" x14ac:dyDescent="0.2">
      <c r="E2864" s="34"/>
    </row>
    <row r="2865" spans="5:5" x14ac:dyDescent="0.2">
      <c r="E2865" s="34"/>
    </row>
    <row r="2866" spans="5:5" x14ac:dyDescent="0.2">
      <c r="E2866" s="34"/>
    </row>
    <row r="2867" spans="5:5" x14ac:dyDescent="0.2">
      <c r="E2867" s="34"/>
    </row>
    <row r="2868" spans="5:5" x14ac:dyDescent="0.2">
      <c r="E2868" s="34"/>
    </row>
    <row r="2869" spans="5:5" x14ac:dyDescent="0.2">
      <c r="E2869" s="34"/>
    </row>
    <row r="2870" spans="5:5" x14ac:dyDescent="0.2">
      <c r="E2870" s="34"/>
    </row>
    <row r="2871" spans="5:5" x14ac:dyDescent="0.2">
      <c r="E2871" s="34"/>
    </row>
    <row r="2872" spans="5:5" x14ac:dyDescent="0.2">
      <c r="E2872" s="34"/>
    </row>
    <row r="2873" spans="5:5" x14ac:dyDescent="0.2">
      <c r="E2873" s="34"/>
    </row>
    <row r="2874" spans="5:5" x14ac:dyDescent="0.2">
      <c r="E2874" s="34"/>
    </row>
    <row r="2875" spans="5:5" x14ac:dyDescent="0.2">
      <c r="E2875" s="34"/>
    </row>
    <row r="2876" spans="5:5" x14ac:dyDescent="0.2">
      <c r="E2876" s="34"/>
    </row>
    <row r="2877" spans="5:5" x14ac:dyDescent="0.2">
      <c r="E2877" s="34"/>
    </row>
    <row r="2878" spans="5:5" x14ac:dyDescent="0.2">
      <c r="E2878" s="34"/>
    </row>
    <row r="2879" spans="5:5" x14ac:dyDescent="0.2">
      <c r="E2879" s="34"/>
    </row>
    <row r="2880" spans="5:5" x14ac:dyDescent="0.2">
      <c r="E2880" s="34"/>
    </row>
    <row r="2881" spans="5:5" x14ac:dyDescent="0.2">
      <c r="E2881" s="34"/>
    </row>
    <row r="2882" spans="5:5" x14ac:dyDescent="0.2">
      <c r="E2882" s="34"/>
    </row>
    <row r="2883" spans="5:5" x14ac:dyDescent="0.2">
      <c r="E2883" s="34"/>
    </row>
    <row r="2884" spans="5:5" x14ac:dyDescent="0.2">
      <c r="E2884" s="34"/>
    </row>
    <row r="2885" spans="5:5" x14ac:dyDescent="0.2">
      <c r="E2885" s="34"/>
    </row>
    <row r="2886" spans="5:5" x14ac:dyDescent="0.2">
      <c r="E2886" s="34"/>
    </row>
    <row r="2887" spans="5:5" x14ac:dyDescent="0.2">
      <c r="E2887" s="34"/>
    </row>
    <row r="2888" spans="5:5" x14ac:dyDescent="0.2">
      <c r="E2888" s="34"/>
    </row>
    <row r="2889" spans="5:5" x14ac:dyDescent="0.2">
      <c r="E2889" s="34"/>
    </row>
    <row r="2890" spans="5:5" x14ac:dyDescent="0.2">
      <c r="E2890" s="34"/>
    </row>
    <row r="2891" spans="5:5" x14ac:dyDescent="0.2">
      <c r="E2891" s="34"/>
    </row>
    <row r="2892" spans="5:5" x14ac:dyDescent="0.2">
      <c r="E2892" s="34"/>
    </row>
    <row r="2893" spans="5:5" x14ac:dyDescent="0.2">
      <c r="E2893" s="34"/>
    </row>
    <row r="2894" spans="5:5" x14ac:dyDescent="0.2">
      <c r="E2894" s="34"/>
    </row>
    <row r="2895" spans="5:5" x14ac:dyDescent="0.2">
      <c r="E2895" s="34"/>
    </row>
    <row r="2896" spans="5:5" x14ac:dyDescent="0.2">
      <c r="E2896" s="34"/>
    </row>
    <row r="2897" spans="5:5" x14ac:dyDescent="0.2">
      <c r="E2897" s="34"/>
    </row>
    <row r="2898" spans="5:5" x14ac:dyDescent="0.2">
      <c r="E2898" s="34"/>
    </row>
    <row r="2899" spans="5:5" x14ac:dyDescent="0.2">
      <c r="E2899" s="34"/>
    </row>
    <row r="2900" spans="5:5" x14ac:dyDescent="0.2">
      <c r="E2900" s="34"/>
    </row>
    <row r="2901" spans="5:5" x14ac:dyDescent="0.2">
      <c r="E2901" s="34"/>
    </row>
    <row r="2902" spans="5:5" x14ac:dyDescent="0.2">
      <c r="E2902" s="34"/>
    </row>
    <row r="2903" spans="5:5" x14ac:dyDescent="0.2">
      <c r="E2903" s="34"/>
    </row>
    <row r="2904" spans="5:5" x14ac:dyDescent="0.2">
      <c r="E2904" s="34"/>
    </row>
    <row r="2905" spans="5:5" x14ac:dyDescent="0.2">
      <c r="E2905" s="34"/>
    </row>
    <row r="2906" spans="5:5" x14ac:dyDescent="0.2">
      <c r="E2906" s="34"/>
    </row>
    <row r="2907" spans="5:5" x14ac:dyDescent="0.2">
      <c r="E2907" s="34"/>
    </row>
    <row r="2908" spans="5:5" x14ac:dyDescent="0.2">
      <c r="E2908" s="34"/>
    </row>
    <row r="2909" spans="5:5" x14ac:dyDescent="0.2">
      <c r="E2909" s="34"/>
    </row>
    <row r="2910" spans="5:5" x14ac:dyDescent="0.2">
      <c r="E2910" s="34"/>
    </row>
    <row r="2911" spans="5:5" x14ac:dyDescent="0.2">
      <c r="E2911" s="34"/>
    </row>
    <row r="2912" spans="5:5" x14ac:dyDescent="0.2">
      <c r="E2912" s="34"/>
    </row>
    <row r="2913" spans="5:5" x14ac:dyDescent="0.2">
      <c r="E2913" s="34"/>
    </row>
    <row r="2914" spans="5:5" x14ac:dyDescent="0.2">
      <c r="E2914" s="34"/>
    </row>
    <row r="2915" spans="5:5" x14ac:dyDescent="0.2">
      <c r="E2915" s="34"/>
    </row>
    <row r="2916" spans="5:5" x14ac:dyDescent="0.2">
      <c r="E2916" s="34"/>
    </row>
    <row r="2917" spans="5:5" x14ac:dyDescent="0.2">
      <c r="E2917" s="34"/>
    </row>
    <row r="2918" spans="5:5" x14ac:dyDescent="0.2">
      <c r="E2918" s="34"/>
    </row>
    <row r="2919" spans="5:5" x14ac:dyDescent="0.2">
      <c r="E2919" s="34"/>
    </row>
    <row r="2920" spans="5:5" x14ac:dyDescent="0.2">
      <c r="E2920" s="34"/>
    </row>
    <row r="2921" spans="5:5" x14ac:dyDescent="0.2">
      <c r="E2921" s="34"/>
    </row>
    <row r="2922" spans="5:5" x14ac:dyDescent="0.2">
      <c r="E2922" s="34"/>
    </row>
    <row r="2923" spans="5:5" x14ac:dyDescent="0.2">
      <c r="E2923" s="34"/>
    </row>
    <row r="2924" spans="5:5" x14ac:dyDescent="0.2">
      <c r="E2924" s="34"/>
    </row>
    <row r="2925" spans="5:5" x14ac:dyDescent="0.2">
      <c r="E2925" s="34"/>
    </row>
    <row r="2926" spans="5:5" x14ac:dyDescent="0.2">
      <c r="E2926" s="34"/>
    </row>
    <row r="2927" spans="5:5" x14ac:dyDescent="0.2">
      <c r="E2927" s="34"/>
    </row>
    <row r="2928" spans="5:5" x14ac:dyDescent="0.2">
      <c r="E2928" s="34"/>
    </row>
    <row r="2929" spans="5:5" x14ac:dyDescent="0.2">
      <c r="E2929" s="34"/>
    </row>
    <row r="2930" spans="5:5" x14ac:dyDescent="0.2">
      <c r="E2930" s="34"/>
    </row>
    <row r="2931" spans="5:5" x14ac:dyDescent="0.2">
      <c r="E2931" s="34"/>
    </row>
    <row r="2932" spans="5:5" x14ac:dyDescent="0.2">
      <c r="E2932" s="34"/>
    </row>
    <row r="2933" spans="5:5" x14ac:dyDescent="0.2">
      <c r="E2933" s="34"/>
    </row>
    <row r="2934" spans="5:5" x14ac:dyDescent="0.2">
      <c r="E2934" s="34"/>
    </row>
    <row r="2935" spans="5:5" x14ac:dyDescent="0.2">
      <c r="E2935" s="34"/>
    </row>
    <row r="2936" spans="5:5" x14ac:dyDescent="0.2">
      <c r="E2936" s="34"/>
    </row>
    <row r="2937" spans="5:5" x14ac:dyDescent="0.2">
      <c r="E2937" s="34"/>
    </row>
    <row r="2938" spans="5:5" x14ac:dyDescent="0.2">
      <c r="E2938" s="34"/>
    </row>
    <row r="2939" spans="5:5" x14ac:dyDescent="0.2">
      <c r="E2939" s="34"/>
    </row>
    <row r="2940" spans="5:5" x14ac:dyDescent="0.2">
      <c r="E2940" s="34"/>
    </row>
    <row r="2941" spans="5:5" x14ac:dyDescent="0.2">
      <c r="E2941" s="34"/>
    </row>
    <row r="2942" spans="5:5" x14ac:dyDescent="0.2">
      <c r="E2942" s="34"/>
    </row>
    <row r="2943" spans="5:5" x14ac:dyDescent="0.2">
      <c r="E2943" s="34"/>
    </row>
    <row r="2944" spans="5:5" x14ac:dyDescent="0.2">
      <c r="E2944" s="34"/>
    </row>
    <row r="2945" spans="5:5" x14ac:dyDescent="0.2">
      <c r="E2945" s="34"/>
    </row>
    <row r="2946" spans="5:5" x14ac:dyDescent="0.2">
      <c r="E2946" s="34"/>
    </row>
    <row r="2947" spans="5:5" x14ac:dyDescent="0.2">
      <c r="E2947" s="34"/>
    </row>
    <row r="2948" spans="5:5" x14ac:dyDescent="0.2">
      <c r="E2948" s="34"/>
    </row>
    <row r="2949" spans="5:5" x14ac:dyDescent="0.2">
      <c r="E2949" s="34"/>
    </row>
    <row r="2950" spans="5:5" x14ac:dyDescent="0.2">
      <c r="E2950" s="34"/>
    </row>
    <row r="2951" spans="5:5" x14ac:dyDescent="0.2">
      <c r="E2951" s="34"/>
    </row>
    <row r="2952" spans="5:5" x14ac:dyDescent="0.2">
      <c r="E2952" s="34"/>
    </row>
    <row r="2953" spans="5:5" x14ac:dyDescent="0.2">
      <c r="E2953" s="34"/>
    </row>
    <row r="2954" spans="5:5" x14ac:dyDescent="0.2">
      <c r="E2954" s="34"/>
    </row>
    <row r="2955" spans="5:5" x14ac:dyDescent="0.2">
      <c r="E2955" s="34"/>
    </row>
    <row r="2956" spans="5:5" x14ac:dyDescent="0.2">
      <c r="E2956" s="34"/>
    </row>
    <row r="2957" spans="5:5" x14ac:dyDescent="0.2">
      <c r="E2957" s="34"/>
    </row>
    <row r="2958" spans="5:5" x14ac:dyDescent="0.2">
      <c r="E2958" s="34"/>
    </row>
    <row r="2959" spans="5:5" x14ac:dyDescent="0.2">
      <c r="E2959" s="34"/>
    </row>
    <row r="2960" spans="5:5" x14ac:dyDescent="0.2">
      <c r="E2960" s="34"/>
    </row>
    <row r="2961" spans="5:5" x14ac:dyDescent="0.2">
      <c r="E2961" s="34"/>
    </row>
    <row r="2962" spans="5:5" x14ac:dyDescent="0.2">
      <c r="E2962" s="34"/>
    </row>
    <row r="2963" spans="5:5" x14ac:dyDescent="0.2">
      <c r="E2963" s="34"/>
    </row>
    <row r="2964" spans="5:5" x14ac:dyDescent="0.2">
      <c r="E2964" s="34"/>
    </row>
    <row r="2965" spans="5:5" x14ac:dyDescent="0.2">
      <c r="E2965" s="34"/>
    </row>
    <row r="2966" spans="5:5" x14ac:dyDescent="0.2">
      <c r="E2966" s="34"/>
    </row>
    <row r="2967" spans="5:5" x14ac:dyDescent="0.2">
      <c r="E2967" s="34"/>
    </row>
    <row r="2968" spans="5:5" x14ac:dyDescent="0.2">
      <c r="E2968" s="34"/>
    </row>
    <row r="2969" spans="5:5" x14ac:dyDescent="0.2">
      <c r="E2969" s="34"/>
    </row>
    <row r="2970" spans="5:5" x14ac:dyDescent="0.2">
      <c r="E2970" s="34"/>
    </row>
    <row r="2971" spans="5:5" x14ac:dyDescent="0.2">
      <c r="E2971" s="34"/>
    </row>
    <row r="2972" spans="5:5" x14ac:dyDescent="0.2">
      <c r="E2972" s="34"/>
    </row>
    <row r="2973" spans="5:5" x14ac:dyDescent="0.2">
      <c r="E2973" s="34"/>
    </row>
    <row r="2974" spans="5:5" x14ac:dyDescent="0.2">
      <c r="E2974" s="34"/>
    </row>
    <row r="2975" spans="5:5" x14ac:dyDescent="0.2">
      <c r="E2975" s="34"/>
    </row>
    <row r="2976" spans="5:5" x14ac:dyDescent="0.2">
      <c r="E2976" s="34"/>
    </row>
    <row r="2977" spans="5:5" x14ac:dyDescent="0.2">
      <c r="E2977" s="34"/>
    </row>
    <row r="2978" spans="5:5" x14ac:dyDescent="0.2">
      <c r="E2978" s="34"/>
    </row>
  </sheetData>
  <mergeCells count="10">
    <mergeCell ref="A73:H73"/>
    <mergeCell ref="A3:H3"/>
    <mergeCell ref="A135:H135"/>
    <mergeCell ref="A2:H2"/>
    <mergeCell ref="A72:H72"/>
    <mergeCell ref="A134:H134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 xml:space="preserve">&amp;CATTACHMENT A
</oddHeader>
    <oddFooter>&amp;L&amp;F&amp;C&amp;A&amp;RSDGE ---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58"/>
  <sheetViews>
    <sheetView zoomScaleNormal="100" workbookViewId="0">
      <selection activeCell="A4" sqref="A4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9" width="2.140625" style="6" customWidth="1"/>
    <col min="10" max="10" width="4.7109375" style="6" bestFit="1" customWidth="1"/>
    <col min="11" max="11" width="4" style="6" bestFit="1" customWidth="1"/>
    <col min="12" max="12" width="38.7109375" style="6" bestFit="1" customWidth="1"/>
    <col min="13" max="13" width="9.28515625" style="6" bestFit="1" customWidth="1"/>
    <col min="14" max="14" width="2.140625" style="6" customWidth="1"/>
    <col min="15" max="15" width="15.5703125" style="6" bestFit="1" customWidth="1"/>
    <col min="16" max="16" width="2.140625" style="6" customWidth="1"/>
    <col min="17" max="17" width="12.42578125" style="6" bestFit="1" customWidth="1"/>
    <col min="18" max="16384" width="2.140625" style="6"/>
  </cols>
  <sheetData>
    <row r="1" spans="1:8" x14ac:dyDescent="0.2">
      <c r="H1" s="45" t="s">
        <v>27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0.25" x14ac:dyDescent="0.3">
      <c r="A3" s="312" t="s">
        <v>154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63"/>
      <c r="H4" s="63"/>
    </row>
    <row r="5" spans="1:8" x14ac:dyDescent="0.2">
      <c r="A5" s="67" t="s">
        <v>163</v>
      </c>
      <c r="B5" s="61"/>
      <c r="C5" s="62"/>
      <c r="D5" s="1"/>
      <c r="G5" s="313" t="s">
        <v>185</v>
      </c>
      <c r="H5" s="314"/>
    </row>
    <row r="6" spans="1:8" x14ac:dyDescent="0.2">
      <c r="A6" s="8"/>
      <c r="B6" s="31"/>
      <c r="C6" s="68"/>
      <c r="E6" s="66"/>
      <c r="F6" s="66"/>
      <c r="G6" s="315" t="s">
        <v>183</v>
      </c>
      <c r="H6" s="316"/>
    </row>
    <row r="7" spans="1:8" x14ac:dyDescent="0.2">
      <c r="A7" s="8" t="s">
        <v>164</v>
      </c>
      <c r="B7" s="31"/>
      <c r="C7" s="247">
        <f>G39-C39</f>
        <v>2.8084769859103851</v>
      </c>
      <c r="E7" s="38"/>
      <c r="F7" s="38"/>
      <c r="G7" s="317" t="s">
        <v>91</v>
      </c>
      <c r="H7" s="318"/>
    </row>
    <row r="8" spans="1:8" x14ac:dyDescent="0.2">
      <c r="A8" s="8"/>
      <c r="B8" s="31"/>
      <c r="C8" s="32"/>
      <c r="E8" s="38"/>
      <c r="F8" s="38"/>
      <c r="G8" s="285"/>
      <c r="H8" s="286"/>
    </row>
    <row r="9" spans="1:8" ht="13.5" thickBot="1" x14ac:dyDescent="0.25">
      <c r="A9" s="51" t="s">
        <v>165</v>
      </c>
      <c r="B9" s="33"/>
      <c r="C9" s="219">
        <f>E39</f>
        <v>60.254738821504219</v>
      </c>
      <c r="E9" s="38"/>
      <c r="F9" s="38"/>
      <c r="G9" s="319">
        <f>'Street Lighting'!G62-'Street Lighting'!C62</f>
        <v>2.7515977510158844</v>
      </c>
      <c r="H9" s="320"/>
    </row>
    <row r="10" spans="1:8" ht="13.5" thickBot="1" x14ac:dyDescent="0.25">
      <c r="A10" s="5"/>
      <c r="B10" s="30"/>
      <c r="C10" s="115"/>
      <c r="E10" s="38"/>
      <c r="F10" s="38"/>
      <c r="G10" s="290"/>
      <c r="H10" s="291"/>
    </row>
    <row r="11" spans="1:8" x14ac:dyDescent="0.2">
      <c r="A11" s="41" t="s">
        <v>193</v>
      </c>
      <c r="B11" s="31"/>
      <c r="C11" s="65"/>
      <c r="E11" s="38"/>
      <c r="F11" s="38"/>
    </row>
    <row r="12" spans="1:8" x14ac:dyDescent="0.2">
      <c r="A12" s="41"/>
      <c r="B12" s="49" t="s">
        <v>194</v>
      </c>
      <c r="C12" s="293" t="s">
        <v>195</v>
      </c>
      <c r="E12" s="38"/>
      <c r="F12" s="38"/>
    </row>
    <row r="13" spans="1:8" ht="13.5" thickBot="1" x14ac:dyDescent="0.25">
      <c r="A13" s="51" t="s">
        <v>198</v>
      </c>
      <c r="B13" s="310">
        <f>O21/O20</f>
        <v>0.7</v>
      </c>
      <c r="C13" s="311">
        <f>O22/O20</f>
        <v>0.3</v>
      </c>
      <c r="E13" s="38"/>
      <c r="F13" s="38"/>
    </row>
    <row r="14" spans="1:8" ht="13.5" thickBot="1" x14ac:dyDescent="0.25">
      <c r="A14" s="47"/>
      <c r="B14" s="31"/>
      <c r="C14" s="48"/>
      <c r="D14" s="7"/>
      <c r="E14" s="7"/>
      <c r="F14" s="7"/>
      <c r="G14" s="127"/>
      <c r="H14" s="39"/>
    </row>
    <row r="15" spans="1:8" ht="64.5" thickBot="1" x14ac:dyDescent="0.25">
      <c r="A15" s="2" t="s">
        <v>0</v>
      </c>
      <c r="B15" s="9" t="s">
        <v>46</v>
      </c>
      <c r="C15" s="9" t="s">
        <v>199</v>
      </c>
      <c r="D15" s="9" t="s">
        <v>51</v>
      </c>
      <c r="E15" s="9" t="s">
        <v>84</v>
      </c>
      <c r="F15" s="3" t="s">
        <v>6</v>
      </c>
      <c r="G15" s="3" t="s">
        <v>47</v>
      </c>
      <c r="H15" s="3" t="s">
        <v>48</v>
      </c>
    </row>
    <row r="16" spans="1:8" x14ac:dyDescent="0.2">
      <c r="A16" s="10"/>
      <c r="B16" s="11"/>
      <c r="C16" s="11"/>
      <c r="D16" s="11"/>
      <c r="E16" s="11"/>
      <c r="F16" s="11"/>
      <c r="G16" s="11"/>
      <c r="H16" s="10"/>
    </row>
    <row r="17" spans="1:17" x14ac:dyDescent="0.2">
      <c r="A17" s="44" t="s">
        <v>11</v>
      </c>
      <c r="B17" s="13"/>
      <c r="C17" s="14"/>
      <c r="D17" s="15"/>
      <c r="E17" s="16"/>
      <c r="F17" s="16"/>
      <c r="G17" s="14"/>
      <c r="H17" s="10"/>
      <c r="O17" s="6" t="s">
        <v>162</v>
      </c>
      <c r="Q17" s="6" t="s">
        <v>192</v>
      </c>
    </row>
    <row r="18" spans="1:17" x14ac:dyDescent="0.2">
      <c r="A18" s="44"/>
      <c r="B18" s="13"/>
      <c r="C18" s="14"/>
      <c r="D18" s="15"/>
      <c r="E18" s="16"/>
      <c r="F18" s="16"/>
      <c r="G18" s="14"/>
      <c r="H18" s="10"/>
      <c r="L18" s="142" t="s">
        <v>188</v>
      </c>
      <c r="O18" s="124" t="s">
        <v>100</v>
      </c>
      <c r="Q18" s="124" t="s">
        <v>107</v>
      </c>
    </row>
    <row r="19" spans="1:17" x14ac:dyDescent="0.2">
      <c r="A19" s="79" t="s">
        <v>119</v>
      </c>
      <c r="B19" s="13"/>
      <c r="C19" s="234">
        <f>D19/B27*100</f>
        <v>0.48256275161809226</v>
      </c>
      <c r="D19" s="194">
        <v>10.012568984716953</v>
      </c>
      <c r="E19" s="149">
        <f>F19-D19</f>
        <v>0</v>
      </c>
      <c r="F19" s="149">
        <f>D19</f>
        <v>10.012568984716953</v>
      </c>
      <c r="G19" s="234">
        <f>F19/B27*100</f>
        <v>0.48256275161809226</v>
      </c>
      <c r="H19" s="18"/>
    </row>
    <row r="20" spans="1:17" x14ac:dyDescent="0.2">
      <c r="A20" s="79"/>
      <c r="B20" s="13"/>
      <c r="D20" s="194"/>
      <c r="E20" s="149"/>
      <c r="F20" s="149"/>
      <c r="G20" s="35"/>
      <c r="H20" s="18"/>
      <c r="L20" s="6" t="s">
        <v>189</v>
      </c>
      <c r="M20" s="160">
        <f>B27</f>
        <v>2074.873982947001</v>
      </c>
      <c r="O20" s="113">
        <f>M20*Residential!N58</f>
        <v>58.27235829770877</v>
      </c>
      <c r="Q20" s="234">
        <f>O20/M20*100</f>
        <v>2.8084769859103886</v>
      </c>
    </row>
    <row r="21" spans="1:17" x14ac:dyDescent="0.2">
      <c r="A21" s="63" t="s">
        <v>12</v>
      </c>
      <c r="B21" s="13"/>
      <c r="C21" s="14"/>
      <c r="D21" s="194"/>
      <c r="E21" s="149"/>
      <c r="F21" s="149"/>
      <c r="G21" s="14"/>
      <c r="H21" s="19"/>
      <c r="L21" s="6" t="s">
        <v>190</v>
      </c>
      <c r="M21" s="160">
        <f>B22+B23</f>
        <v>916.17175171512781</v>
      </c>
      <c r="O21" s="113">
        <f>O20*0.7</f>
        <v>40.790650808396137</v>
      </c>
      <c r="Q21" s="234">
        <f>O21/M21*100</f>
        <v>4.4522930042356821</v>
      </c>
    </row>
    <row r="22" spans="1:17" x14ac:dyDescent="0.2">
      <c r="A22" s="45" t="s">
        <v>18</v>
      </c>
      <c r="B22" s="83">
        <f>927.066576705018*0.986</f>
        <v>914.08764463114767</v>
      </c>
      <c r="C22" s="105">
        <f>7.534+6.5</f>
        <v>14.033999999999999</v>
      </c>
      <c r="D22" s="194">
        <f>C22*B22/100</f>
        <v>128.28306004753526</v>
      </c>
      <c r="E22" s="149">
        <f>$Q$21*B22/100</f>
        <v>40.697860254495311</v>
      </c>
      <c r="F22" s="149">
        <f>E22+D22</f>
        <v>168.98092030203057</v>
      </c>
      <c r="G22" s="105">
        <f>F22/B22*100</f>
        <v>18.486293004235684</v>
      </c>
      <c r="H22" s="19"/>
      <c r="L22" s="6" t="s">
        <v>191</v>
      </c>
      <c r="M22" s="160">
        <f>B24+B25</f>
        <v>1158.7022312318729</v>
      </c>
      <c r="O22" s="113">
        <f>O20*0.3</f>
        <v>17.48170748931263</v>
      </c>
      <c r="Q22" s="234">
        <f>O22/M22*100</f>
        <v>1.5087316670415809</v>
      </c>
    </row>
    <row r="23" spans="1:17" x14ac:dyDescent="0.2">
      <c r="A23" s="45" t="s">
        <v>78</v>
      </c>
      <c r="B23" s="83">
        <f>2.11369886813403*0.986</f>
        <v>2.0841070839801534</v>
      </c>
      <c r="C23" s="105">
        <f>7.096+6.5</f>
        <v>13.596</v>
      </c>
      <c r="D23" s="194">
        <f>C23*B23/100</f>
        <v>0.28335519913794166</v>
      </c>
      <c r="E23" s="149">
        <f>$Q$21*B23/100</f>
        <v>9.2790553900828646E-2</v>
      </c>
      <c r="F23" s="149">
        <f>E23+D23</f>
        <v>0.37614575303877029</v>
      </c>
      <c r="G23" s="105">
        <f>F23/B23*100</f>
        <v>18.048293004235681</v>
      </c>
      <c r="H23" s="19"/>
    </row>
    <row r="24" spans="1:17" x14ac:dyDescent="0.2">
      <c r="A24" s="45" t="s">
        <v>19</v>
      </c>
      <c r="B24" s="83">
        <f>1172.48115205216*0.986</f>
        <v>1156.0664159234298</v>
      </c>
      <c r="C24" s="105">
        <f>6.691+6.5</f>
        <v>13.190999999999999</v>
      </c>
      <c r="D24" s="194">
        <f>C24*B24/100</f>
        <v>152.49672092445959</v>
      </c>
      <c r="E24" s="149">
        <f>$Q$22*B24/100</f>
        <v>17.441940109069421</v>
      </c>
      <c r="F24" s="149">
        <f>E24+D24</f>
        <v>169.938661033529</v>
      </c>
      <c r="G24" s="105">
        <f>F24/B24*100</f>
        <v>14.699731667041577</v>
      </c>
      <c r="H24" s="19"/>
      <c r="M24" s="113"/>
    </row>
    <row r="25" spans="1:17" x14ac:dyDescent="0.2">
      <c r="A25" s="45" t="s">
        <v>20</v>
      </c>
      <c r="B25" s="83">
        <f>2.67324067793429*0.986</f>
        <v>2.6358153084432097</v>
      </c>
      <c r="C25" s="105">
        <f>6.335+6.5</f>
        <v>12.835000000000001</v>
      </c>
      <c r="D25" s="194">
        <f>C25*B25/100</f>
        <v>0.33830689483868598</v>
      </c>
      <c r="E25" s="149">
        <f>$Q$22*B25/100</f>
        <v>3.9767380243212427E-2</v>
      </c>
      <c r="F25" s="149">
        <f>E25+D25</f>
        <v>0.37807427508189839</v>
      </c>
      <c r="G25" s="105">
        <f>F25/B25*100</f>
        <v>14.343731667041581</v>
      </c>
      <c r="H25" s="19"/>
    </row>
    <row r="26" spans="1:17" x14ac:dyDescent="0.2">
      <c r="A26" s="104"/>
      <c r="B26" s="83"/>
      <c r="C26" s="105"/>
      <c r="D26" s="194"/>
      <c r="E26" s="149"/>
      <c r="F26" s="149"/>
      <c r="G26" s="105"/>
      <c r="H26" s="19"/>
    </row>
    <row r="27" spans="1:17" ht="13.5" thickBot="1" x14ac:dyDescent="0.25">
      <c r="A27" s="146" t="s">
        <v>14</v>
      </c>
      <c r="B27" s="166">
        <f>SUM(B22:B25)</f>
        <v>2074.873982947001</v>
      </c>
      <c r="C27" s="240">
        <f>D27/B27*100</f>
        <v>14.044901735997723</v>
      </c>
      <c r="D27" s="225">
        <f>SUM(D19:D25)</f>
        <v>291.41401205068843</v>
      </c>
      <c r="E27" s="225">
        <f>SUM(E19:E25)</f>
        <v>58.27235829770877</v>
      </c>
      <c r="F27" s="225">
        <f>SUM(F19:F25)</f>
        <v>349.68637034839719</v>
      </c>
      <c r="G27" s="242">
        <f>F27/B27*100</f>
        <v>16.853378721908111</v>
      </c>
      <c r="H27" s="106">
        <f>(G27-C27)/C27</f>
        <v>0.19996416056882294</v>
      </c>
    </row>
    <row r="28" spans="1:17" ht="13.5" thickTop="1" x14ac:dyDescent="0.2">
      <c r="A28" s="12"/>
      <c r="B28" s="157"/>
      <c r="C28" s="248"/>
      <c r="D28" s="24"/>
      <c r="E28" s="24"/>
      <c r="F28" s="24"/>
      <c r="G28" s="254"/>
      <c r="H28" s="23"/>
    </row>
    <row r="29" spans="1:17" x14ac:dyDescent="0.2">
      <c r="A29" s="12"/>
      <c r="B29" s="20"/>
      <c r="C29" s="249"/>
      <c r="D29" s="24"/>
      <c r="E29" s="24"/>
      <c r="F29" s="24"/>
      <c r="G29" s="255"/>
      <c r="H29" s="23"/>
    </row>
    <row r="30" spans="1:17" x14ac:dyDescent="0.2">
      <c r="A30" s="10" t="s">
        <v>15</v>
      </c>
      <c r="B30" s="10"/>
      <c r="C30" s="249"/>
      <c r="D30" s="24"/>
      <c r="E30" s="24"/>
      <c r="F30" s="24"/>
      <c r="G30" s="255"/>
      <c r="H30" s="24"/>
    </row>
    <row r="31" spans="1:17" x14ac:dyDescent="0.2">
      <c r="A31" s="10"/>
      <c r="B31" s="10"/>
      <c r="C31" s="249"/>
      <c r="D31" s="24"/>
      <c r="E31" s="24"/>
      <c r="F31" s="24"/>
      <c r="G31" s="255"/>
      <c r="H31" s="24"/>
    </row>
    <row r="32" spans="1:17" x14ac:dyDescent="0.2">
      <c r="A32" s="79" t="s">
        <v>119</v>
      </c>
      <c r="B32" s="83"/>
      <c r="C32" s="105">
        <f>D32/B36*100</f>
        <v>1.0939746512476769</v>
      </c>
      <c r="D32" s="194">
        <v>0.77218864638704643</v>
      </c>
      <c r="E32" s="149">
        <f>F32-D32</f>
        <v>0</v>
      </c>
      <c r="F32" s="149">
        <f>D32</f>
        <v>0.77218864638704643</v>
      </c>
      <c r="G32" s="265">
        <f>F32/B36*100</f>
        <v>1.0939746512476769</v>
      </c>
      <c r="H32" s="24"/>
    </row>
    <row r="33" spans="1:8" x14ac:dyDescent="0.2">
      <c r="A33" s="79"/>
      <c r="B33" s="172"/>
      <c r="C33" s="248"/>
      <c r="D33" s="24"/>
      <c r="E33" s="24"/>
      <c r="F33" s="24"/>
      <c r="G33" s="255"/>
      <c r="H33" s="24"/>
    </row>
    <row r="34" spans="1:8" x14ac:dyDescent="0.2">
      <c r="A34" s="63" t="s">
        <v>12</v>
      </c>
      <c r="B34" s="83">
        <f>71.5878365636*0.986</f>
        <v>70.585606851709599</v>
      </c>
      <c r="C34" s="243">
        <f>4.496+6.5</f>
        <v>10.996</v>
      </c>
      <c r="D34" s="194">
        <f>C34*B34/100</f>
        <v>7.7615933294139881</v>
      </c>
      <c r="E34" s="194">
        <f>Residential!N58*B34</f>
        <v>1.9823805237954506</v>
      </c>
      <c r="F34" s="149">
        <f>D34+E34</f>
        <v>9.7439738532094395</v>
      </c>
      <c r="G34" s="243">
        <f>F34/B34*100</f>
        <v>13.804476985910391</v>
      </c>
      <c r="H34" s="25"/>
    </row>
    <row r="35" spans="1:8" x14ac:dyDescent="0.2">
      <c r="A35" s="53"/>
      <c r="B35" s="85"/>
      <c r="C35" s="250"/>
      <c r="D35" s="194"/>
      <c r="E35" s="226"/>
      <c r="F35" s="226"/>
      <c r="G35" s="250"/>
      <c r="H35" s="25"/>
    </row>
    <row r="36" spans="1:8" ht="13.5" thickBot="1" x14ac:dyDescent="0.25">
      <c r="A36" s="146" t="s">
        <v>16</v>
      </c>
      <c r="B36" s="166">
        <f>B34</f>
        <v>70.585606851709599</v>
      </c>
      <c r="C36" s="240">
        <f>D36/B36*100</f>
        <v>12.089974651247678</v>
      </c>
      <c r="D36" s="225">
        <f>SUM(D32:D34)</f>
        <v>8.533781975801034</v>
      </c>
      <c r="E36" s="225">
        <f>SUM(E32:E34)</f>
        <v>1.9823805237954506</v>
      </c>
      <c r="F36" s="225">
        <f>SUM(F32:F34)</f>
        <v>10.516162499596486</v>
      </c>
      <c r="G36" s="240">
        <f>F36/B36*100</f>
        <v>14.89845163715807</v>
      </c>
      <c r="H36" s="148">
        <f>(G36-C36)/C36</f>
        <v>0.23229800449751639</v>
      </c>
    </row>
    <row r="37" spans="1:8" ht="13.5" thickTop="1" x14ac:dyDescent="0.2">
      <c r="A37" s="12"/>
      <c r="B37" s="25"/>
      <c r="C37" s="251"/>
      <c r="D37" s="194"/>
      <c r="E37" s="226"/>
      <c r="F37" s="149"/>
      <c r="G37" s="251"/>
      <c r="H37" s="25"/>
    </row>
    <row r="38" spans="1:8" ht="13.5" thickBot="1" x14ac:dyDescent="0.25">
      <c r="A38" s="70"/>
      <c r="B38" s="174"/>
      <c r="C38" s="252"/>
      <c r="D38" s="222"/>
      <c r="E38" s="227"/>
      <c r="F38" s="223"/>
      <c r="G38" s="252"/>
      <c r="H38" s="71"/>
    </row>
    <row r="39" spans="1:8" ht="13.5" thickBot="1" x14ac:dyDescent="0.25">
      <c r="A39" s="69" t="s">
        <v>166</v>
      </c>
      <c r="B39" s="175">
        <f>B27+B36</f>
        <v>2145.4595897987106</v>
      </c>
      <c r="C39" s="253">
        <f>(D39-(D19+D32))/B39*100</f>
        <v>13.477906448124482</v>
      </c>
      <c r="D39" s="224">
        <f>D27+D36</f>
        <v>299.94779402648948</v>
      </c>
      <c r="E39" s="224">
        <f>E27+E36</f>
        <v>60.254738821504219</v>
      </c>
      <c r="F39" s="224">
        <f>F27+F36</f>
        <v>360.20253284799367</v>
      </c>
      <c r="G39" s="253">
        <f>(F39-(F19+F32))/B39*100</f>
        <v>16.286383434034867</v>
      </c>
      <c r="H39" s="152">
        <f>(G39-C39)/C39</f>
        <v>0.20837635256781284</v>
      </c>
    </row>
    <row r="40" spans="1:8" x14ac:dyDescent="0.2">
      <c r="A40" s="53"/>
      <c r="B40" s="13"/>
      <c r="C40" s="27"/>
      <c r="D40" s="15"/>
      <c r="E40" s="16"/>
      <c r="F40" s="16"/>
      <c r="G40" s="36"/>
      <c r="H40" s="12"/>
    </row>
    <row r="41" spans="1:8" x14ac:dyDescent="0.2">
      <c r="A41" s="12"/>
      <c r="B41" s="20"/>
      <c r="C41" s="21"/>
      <c r="D41" s="112"/>
      <c r="E41" s="24"/>
      <c r="F41" s="22"/>
      <c r="G41" s="21"/>
      <c r="H41" s="23"/>
    </row>
    <row r="42" spans="1:8" x14ac:dyDescent="0.2">
      <c r="A42" s="12"/>
      <c r="B42" s="20"/>
      <c r="C42" s="21"/>
      <c r="D42" s="112"/>
      <c r="E42" s="24"/>
      <c r="F42" s="22"/>
      <c r="G42" s="21"/>
      <c r="H42" s="23"/>
    </row>
    <row r="43" spans="1:8" x14ac:dyDescent="0.2">
      <c r="A43" s="189" t="s">
        <v>127</v>
      </c>
      <c r="B43" s="20"/>
      <c r="C43" s="21"/>
      <c r="D43" s="22"/>
      <c r="E43" s="22"/>
      <c r="F43" s="22"/>
      <c r="G43" s="21"/>
      <c r="H43" s="23"/>
    </row>
    <row r="44" spans="1:8" x14ac:dyDescent="0.2">
      <c r="A44" s="31" t="s">
        <v>141</v>
      </c>
      <c r="C44" s="31"/>
      <c r="D44" s="31"/>
      <c r="E44" s="46"/>
      <c r="F44" s="31"/>
      <c r="G44" s="31"/>
      <c r="H44" s="31"/>
    </row>
    <row r="45" spans="1:8" x14ac:dyDescent="0.2">
      <c r="A45" s="31" t="s">
        <v>143</v>
      </c>
      <c r="C45" s="31"/>
      <c r="D45" s="31"/>
      <c r="E45" s="46"/>
      <c r="F45" s="31"/>
      <c r="G45" s="31"/>
      <c r="H45" s="31"/>
    </row>
    <row r="46" spans="1:8" x14ac:dyDescent="0.2">
      <c r="A46" s="189" t="s">
        <v>153</v>
      </c>
      <c r="E46" s="34"/>
    </row>
    <row r="47" spans="1:8" x14ac:dyDescent="0.2">
      <c r="A47" s="189" t="s">
        <v>150</v>
      </c>
      <c r="E47" s="34"/>
    </row>
    <row r="48" spans="1:8" x14ac:dyDescent="0.2">
      <c r="E48" s="34"/>
    </row>
    <row r="49" spans="5:5" x14ac:dyDescent="0.2">
      <c r="E49" s="34"/>
    </row>
    <row r="50" spans="5:5" x14ac:dyDescent="0.2">
      <c r="E50" s="34"/>
    </row>
    <row r="51" spans="5:5" x14ac:dyDescent="0.2">
      <c r="E51" s="34"/>
    </row>
    <row r="52" spans="5:5" x14ac:dyDescent="0.2">
      <c r="E52" s="34"/>
    </row>
    <row r="53" spans="5:5" x14ac:dyDescent="0.2">
      <c r="E53" s="34"/>
    </row>
    <row r="54" spans="5:5" x14ac:dyDescent="0.2">
      <c r="E54" s="34"/>
    </row>
    <row r="55" spans="5:5" x14ac:dyDescent="0.2">
      <c r="E55" s="34"/>
    </row>
    <row r="56" spans="5:5" x14ac:dyDescent="0.2">
      <c r="E56" s="34"/>
    </row>
    <row r="57" spans="5:5" x14ac:dyDescent="0.2">
      <c r="E57" s="34"/>
    </row>
    <row r="58" spans="5:5" x14ac:dyDescent="0.2">
      <c r="E58" s="34"/>
    </row>
    <row r="59" spans="5:5" x14ac:dyDescent="0.2">
      <c r="E59" s="34"/>
    </row>
    <row r="60" spans="5:5" x14ac:dyDescent="0.2">
      <c r="E60" s="34"/>
    </row>
    <row r="61" spans="5:5" x14ac:dyDescent="0.2">
      <c r="E61" s="34"/>
    </row>
    <row r="62" spans="5:5" x14ac:dyDescent="0.2">
      <c r="E62" s="34"/>
    </row>
    <row r="63" spans="5:5" x14ac:dyDescent="0.2">
      <c r="E63" s="34"/>
    </row>
    <row r="64" spans="5:5" x14ac:dyDescent="0.2">
      <c r="E64" s="34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</sheetData>
  <mergeCells count="6">
    <mergeCell ref="A2:H2"/>
    <mergeCell ref="G6:H6"/>
    <mergeCell ref="G7:H7"/>
    <mergeCell ref="G9:H9"/>
    <mergeCell ref="G5:H5"/>
    <mergeCell ref="A3:H3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39"/>
  <sheetViews>
    <sheetView zoomScaleNormal="100" workbookViewId="0">
      <selection activeCell="E11" sqref="E11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10" width="2.140625" style="6" customWidth="1"/>
    <col min="11" max="11" width="33" style="6" bestFit="1" customWidth="1"/>
    <col min="12" max="12" width="12.5703125" style="6" bestFit="1" customWidth="1"/>
    <col min="13" max="13" width="2.140625" style="6" customWidth="1"/>
    <col min="14" max="14" width="7.5703125" style="6" bestFit="1" customWidth="1"/>
    <col min="15" max="15" width="2.140625" style="6" customWidth="1"/>
    <col min="16" max="16" width="9" style="6" bestFit="1" customWidth="1"/>
    <col min="17" max="17" width="13.28515625" style="6" bestFit="1" customWidth="1"/>
    <col min="18" max="16384" width="2.140625" style="6"/>
  </cols>
  <sheetData>
    <row r="1" spans="1:8" x14ac:dyDescent="0.2">
      <c r="H1" s="45" t="s">
        <v>129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155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67" t="s">
        <v>156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157</v>
      </c>
      <c r="B7" s="31"/>
      <c r="C7" s="256">
        <f>G170-C170</f>
        <v>2.8094825977177766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158</v>
      </c>
      <c r="B9" s="33"/>
      <c r="C9" s="219">
        <f>E170</f>
        <v>74.223795297894839</v>
      </c>
      <c r="E9" s="38"/>
      <c r="F9" s="38"/>
      <c r="G9" s="292"/>
      <c r="H9" s="291"/>
    </row>
    <row r="10" spans="1:8" x14ac:dyDescent="0.2">
      <c r="A10" s="8"/>
      <c r="B10" s="31"/>
      <c r="C10" s="32"/>
      <c r="E10" s="38"/>
      <c r="F10" s="38"/>
      <c r="G10" s="31"/>
      <c r="H10" s="39"/>
    </row>
    <row r="11" spans="1:8" x14ac:dyDescent="0.2">
      <c r="A11" s="8" t="s">
        <v>159</v>
      </c>
      <c r="B11" s="31"/>
      <c r="C11" s="32"/>
      <c r="E11" s="38"/>
      <c r="F11" s="38"/>
      <c r="G11" s="31"/>
      <c r="H11" s="39"/>
    </row>
    <row r="12" spans="1:8" x14ac:dyDescent="0.2">
      <c r="A12" s="40" t="s">
        <v>203</v>
      </c>
      <c r="B12" s="31"/>
      <c r="C12" s="236">
        <f>N51*100</f>
        <v>14.066954298317984</v>
      </c>
      <c r="E12" s="38"/>
      <c r="F12" s="38"/>
      <c r="G12" s="31"/>
      <c r="H12" s="39"/>
    </row>
    <row r="13" spans="1:8" x14ac:dyDescent="0.2">
      <c r="A13" s="40" t="s">
        <v>204</v>
      </c>
      <c r="B13" s="31"/>
      <c r="C13" s="236">
        <f>N52*100</f>
        <v>9.8468680088225895</v>
      </c>
      <c r="E13" s="38"/>
      <c r="F13" s="38"/>
      <c r="G13" s="31"/>
      <c r="H13" s="39"/>
    </row>
    <row r="14" spans="1:8" x14ac:dyDescent="0.2">
      <c r="A14" s="40" t="s">
        <v>205</v>
      </c>
      <c r="B14" s="31"/>
      <c r="C14" s="236">
        <f>N53*100</f>
        <v>7.0334771491589922</v>
      </c>
      <c r="E14" s="38"/>
      <c r="F14" s="38"/>
      <c r="G14" s="31"/>
      <c r="H14" s="39"/>
    </row>
    <row r="15" spans="1:8" x14ac:dyDescent="0.2">
      <c r="A15" s="8"/>
      <c r="B15" s="31"/>
      <c r="C15" s="32"/>
      <c r="E15" s="38"/>
      <c r="F15" s="38"/>
      <c r="G15" s="31"/>
      <c r="H15" s="39"/>
    </row>
    <row r="16" spans="1:8" ht="15.75" x14ac:dyDescent="0.25">
      <c r="A16" s="8" t="s">
        <v>160</v>
      </c>
      <c r="B16" s="59"/>
      <c r="C16" s="60"/>
      <c r="E16" s="38"/>
      <c r="F16" s="38"/>
      <c r="G16" s="31"/>
      <c r="H16" s="39"/>
    </row>
    <row r="17" spans="1:12" ht="15" x14ac:dyDescent="0.2">
      <c r="A17" s="40" t="s">
        <v>55</v>
      </c>
      <c r="B17" s="59"/>
      <c r="C17" s="169">
        <v>2</v>
      </c>
      <c r="E17" s="38"/>
      <c r="F17" s="38"/>
      <c r="G17" s="31"/>
      <c r="H17" s="39"/>
    </row>
    <row r="18" spans="1:12" ht="15.75" thickBot="1" x14ac:dyDescent="0.25">
      <c r="A18" s="75" t="s">
        <v>117</v>
      </c>
      <c r="B18" s="76"/>
      <c r="C18" s="179">
        <v>1.4</v>
      </c>
      <c r="E18" s="7"/>
      <c r="F18" s="7"/>
      <c r="G18" s="7"/>
      <c r="H18" s="7"/>
    </row>
    <row r="19" spans="1:12" ht="13.5" thickBot="1" x14ac:dyDescent="0.25">
      <c r="A19" s="37"/>
      <c r="B19" s="4"/>
      <c r="C19" s="4"/>
      <c r="D19" s="4"/>
      <c r="E19" s="4"/>
      <c r="F19" s="4"/>
      <c r="G19" s="4"/>
      <c r="H19" s="4"/>
    </row>
    <row r="20" spans="1:12" ht="64.5" thickBot="1" x14ac:dyDescent="0.25">
      <c r="A20" s="2" t="s">
        <v>0</v>
      </c>
      <c r="B20" s="9" t="s">
        <v>46</v>
      </c>
      <c r="C20" s="9" t="s">
        <v>200</v>
      </c>
      <c r="D20" s="9" t="s">
        <v>51</v>
      </c>
      <c r="E20" s="9" t="s">
        <v>186</v>
      </c>
      <c r="F20" s="9" t="s">
        <v>6</v>
      </c>
      <c r="G20" s="9" t="s">
        <v>47</v>
      </c>
      <c r="H20" s="3" t="s">
        <v>48</v>
      </c>
    </row>
    <row r="21" spans="1:12" x14ac:dyDescent="0.2">
      <c r="A21" s="103"/>
      <c r="B21" s="11"/>
      <c r="C21" s="11"/>
      <c r="D21" s="11"/>
      <c r="E21" s="11"/>
      <c r="F21" s="11"/>
      <c r="G21" s="11"/>
      <c r="H21" s="10"/>
      <c r="K21" s="25"/>
      <c r="L21" s="123"/>
    </row>
    <row r="22" spans="1:12" x14ac:dyDescent="0.2">
      <c r="A22" s="44" t="s">
        <v>17</v>
      </c>
      <c r="B22" s="81"/>
      <c r="C22" s="26"/>
      <c r="D22" s="194"/>
      <c r="E22" s="226"/>
      <c r="F22" s="149"/>
      <c r="G22" s="26"/>
      <c r="H22" s="25"/>
      <c r="K22" s="25"/>
      <c r="L22" s="123"/>
    </row>
    <row r="23" spans="1:12" x14ac:dyDescent="0.2">
      <c r="A23" s="44"/>
      <c r="B23" s="81"/>
      <c r="C23" s="26"/>
      <c r="D23" s="194"/>
      <c r="E23" s="226"/>
      <c r="F23" s="149"/>
      <c r="G23" s="26"/>
      <c r="H23" s="25"/>
      <c r="K23" s="25"/>
      <c r="L23" s="123"/>
    </row>
    <row r="24" spans="1:12" x14ac:dyDescent="0.2">
      <c r="A24" s="79" t="s">
        <v>13</v>
      </c>
      <c r="B24" s="81"/>
      <c r="C24" s="26"/>
      <c r="D24" s="114"/>
      <c r="E24" s="226"/>
      <c r="F24" s="149"/>
      <c r="G24" s="26"/>
      <c r="H24" s="25"/>
      <c r="K24" s="25"/>
      <c r="L24" s="123"/>
    </row>
    <row r="25" spans="1:12" x14ac:dyDescent="0.2">
      <c r="A25" s="78" t="s">
        <v>79</v>
      </c>
      <c r="B25" s="81"/>
      <c r="C25" s="145">
        <f>D25/B33*100</f>
        <v>0.11736337652848512</v>
      </c>
      <c r="D25" s="194">
        <v>7.5024742751999982E-2</v>
      </c>
      <c r="E25" s="149">
        <f>F25-D25</f>
        <v>0</v>
      </c>
      <c r="F25" s="149">
        <f>D25</f>
        <v>7.5024742751999982E-2</v>
      </c>
      <c r="G25" s="271">
        <f>F25/B33*100</f>
        <v>0.11736337652848512</v>
      </c>
      <c r="H25" s="25"/>
      <c r="K25" s="25"/>
      <c r="L25" s="123"/>
    </row>
    <row r="26" spans="1:12" x14ac:dyDescent="0.2">
      <c r="A26" s="78" t="s">
        <v>80</v>
      </c>
      <c r="B26" s="81"/>
      <c r="C26" s="145">
        <f>D26/B30*100</f>
        <v>4.9988888888888878</v>
      </c>
      <c r="D26" s="114">
        <v>3.1258854686385207</v>
      </c>
      <c r="E26" s="149">
        <f>F26-D26</f>
        <v>0</v>
      </c>
      <c r="F26" s="149">
        <f>D26</f>
        <v>3.1258854686385207</v>
      </c>
      <c r="G26" s="271">
        <f>F26/B30*100</f>
        <v>4.9988888888888878</v>
      </c>
      <c r="H26" s="25"/>
      <c r="K26" s="25"/>
      <c r="L26" s="123"/>
    </row>
    <row r="27" spans="1:12" x14ac:dyDescent="0.2">
      <c r="A27" s="78" t="s">
        <v>81</v>
      </c>
      <c r="B27" s="81"/>
      <c r="C27" s="145">
        <f>D27/B31*100</f>
        <v>2.2240888888888892</v>
      </c>
      <c r="D27" s="114">
        <v>3.0994208727372293E-2</v>
      </c>
      <c r="E27" s="149">
        <f>F27-D27</f>
        <v>0</v>
      </c>
      <c r="F27" s="149">
        <f>D27</f>
        <v>3.0994208727372293E-2</v>
      </c>
      <c r="G27" s="271">
        <f>F27/B31*100</f>
        <v>2.2240888888888892</v>
      </c>
      <c r="H27" s="25"/>
      <c r="K27" s="25"/>
      <c r="L27" s="123"/>
    </row>
    <row r="28" spans="1:12" x14ac:dyDescent="0.2">
      <c r="A28" s="79"/>
      <c r="B28" s="81"/>
      <c r="C28" s="26"/>
      <c r="D28" s="114"/>
      <c r="E28" s="24"/>
      <c r="F28" s="149"/>
      <c r="G28" s="26"/>
      <c r="H28" s="25"/>
      <c r="K28" s="25"/>
      <c r="L28" s="123"/>
    </row>
    <row r="29" spans="1:12" x14ac:dyDescent="0.2">
      <c r="A29" s="63" t="s">
        <v>12</v>
      </c>
      <c r="B29" s="81"/>
      <c r="C29" s="26"/>
      <c r="D29" s="194"/>
      <c r="E29" s="24"/>
      <c r="F29" s="149"/>
      <c r="G29" s="26"/>
      <c r="H29" s="25"/>
      <c r="K29" s="25"/>
      <c r="L29" s="123"/>
    </row>
    <row r="30" spans="1:12" x14ac:dyDescent="0.2">
      <c r="A30" s="45" t="s">
        <v>21</v>
      </c>
      <c r="B30" s="83">
        <f>122.90016762*0.6*0.848</f>
        <v>62.531605285056003</v>
      </c>
      <c r="C30" s="243">
        <f>1.387+6.5</f>
        <v>7.8870000000000005</v>
      </c>
      <c r="D30" s="194">
        <f>C30*B30/100</f>
        <v>4.9318677088323675</v>
      </c>
      <c r="E30" s="149">
        <f>Residential!$N$58*B30</f>
        <v>1.7561857433511221</v>
      </c>
      <c r="F30" s="149">
        <f>D30+E30</f>
        <v>6.6880534521834898</v>
      </c>
      <c r="G30" s="243">
        <f>F30/B30*100</f>
        <v>10.695476985910391</v>
      </c>
      <c r="H30" s="25"/>
      <c r="K30" s="25"/>
      <c r="L30" s="123"/>
    </row>
    <row r="31" spans="1:12" x14ac:dyDescent="0.2">
      <c r="A31" s="45" t="s">
        <v>22</v>
      </c>
      <c r="B31" s="83">
        <f>2.73893238*0.6*0.848</f>
        <v>1.3935687949439999</v>
      </c>
      <c r="C31" s="243">
        <f>1.353+6.5</f>
        <v>7.8529999999999998</v>
      </c>
      <c r="D31" s="194">
        <f>C31*B31/100</f>
        <v>0.1094369574669523</v>
      </c>
      <c r="E31" s="149">
        <f>Residential!$N$58*B31</f>
        <v>3.9138058888830977E-2</v>
      </c>
      <c r="F31" s="149">
        <f>D31+E31</f>
        <v>0.14857501635578327</v>
      </c>
      <c r="G31" s="243">
        <f>F31/B31*100</f>
        <v>10.661476985910387</v>
      </c>
      <c r="H31" s="25"/>
      <c r="K31" s="25"/>
      <c r="L31" s="123"/>
    </row>
    <row r="32" spans="1:12" x14ac:dyDescent="0.2">
      <c r="A32" s="53"/>
      <c r="B32" s="85"/>
      <c r="C32" s="250"/>
      <c r="D32" s="194"/>
      <c r="E32" s="24"/>
      <c r="F32" s="149"/>
      <c r="G32" s="250"/>
      <c r="H32" s="25"/>
      <c r="K32" s="25"/>
      <c r="L32" s="123"/>
    </row>
    <row r="33" spans="1:12" ht="13.5" thickBot="1" x14ac:dyDescent="0.25">
      <c r="A33" s="146" t="s">
        <v>88</v>
      </c>
      <c r="B33" s="166">
        <f>B30+B31</f>
        <v>63.925174080000005</v>
      </c>
      <c r="C33" s="240">
        <f>D33/B33*100</f>
        <v>12.942020425417372</v>
      </c>
      <c r="D33" s="229">
        <f>SUM(D25:D31)</f>
        <v>8.2732090864172125</v>
      </c>
      <c r="E33" s="270">
        <f>SUM(E25:E31)</f>
        <v>1.7953238022399531</v>
      </c>
      <c r="F33" s="229">
        <f>SUM(F25:F31)</f>
        <v>10.068532888657167</v>
      </c>
      <c r="G33" s="240">
        <f>F33/B33*100</f>
        <v>15.750497411327762</v>
      </c>
      <c r="H33" s="148">
        <f>(G33-C33)/C33</f>
        <v>0.21700452430091252</v>
      </c>
      <c r="K33" s="25"/>
      <c r="L33" s="123"/>
    </row>
    <row r="34" spans="1:12" ht="13.5" thickTop="1" x14ac:dyDescent="0.2">
      <c r="A34" s="12"/>
      <c r="B34" s="173"/>
      <c r="C34" s="248"/>
      <c r="D34" s="233"/>
      <c r="E34" s="233"/>
      <c r="F34" s="233"/>
      <c r="G34" s="248"/>
      <c r="H34" s="156"/>
      <c r="K34" s="25"/>
      <c r="L34" s="123"/>
    </row>
    <row r="35" spans="1:12" x14ac:dyDescent="0.2">
      <c r="A35" s="12"/>
      <c r="B35" s="173"/>
      <c r="C35" s="248"/>
      <c r="D35" s="233"/>
      <c r="E35" s="233"/>
      <c r="F35" s="289"/>
      <c r="G35" s="248"/>
      <c r="H35" s="156"/>
      <c r="K35" s="25"/>
      <c r="L35" s="123"/>
    </row>
    <row r="36" spans="1:12" x14ac:dyDescent="0.2">
      <c r="A36" s="64" t="s">
        <v>145</v>
      </c>
      <c r="C36" s="113"/>
      <c r="D36" s="114"/>
      <c r="E36" s="268"/>
      <c r="F36" s="114"/>
      <c r="G36" s="113"/>
      <c r="K36" s="25"/>
      <c r="L36" s="123"/>
    </row>
    <row r="37" spans="1:12" x14ac:dyDescent="0.2">
      <c r="A37" s="77"/>
      <c r="B37" s="83"/>
      <c r="C37" s="105"/>
      <c r="D37" s="114"/>
      <c r="E37" s="268"/>
      <c r="F37" s="114"/>
      <c r="G37" s="105"/>
      <c r="K37" s="25"/>
      <c r="L37" s="123"/>
    </row>
    <row r="38" spans="1:12" x14ac:dyDescent="0.2">
      <c r="A38" s="63" t="s">
        <v>85</v>
      </c>
      <c r="B38" s="83"/>
      <c r="C38" s="234">
        <f>D38/B46*100</f>
        <v>0.16283235324768125</v>
      </c>
      <c r="D38" s="114">
        <v>0.18550189951999999</v>
      </c>
      <c r="E38" s="114">
        <f>F38-D38</f>
        <v>0</v>
      </c>
      <c r="F38" s="114">
        <f>D38</f>
        <v>0.18550189951999999</v>
      </c>
      <c r="G38" s="105">
        <f>F38/B46*100</f>
        <v>0.16283235324768125</v>
      </c>
      <c r="K38" s="25"/>
      <c r="L38" s="123"/>
    </row>
    <row r="39" spans="1:12" x14ac:dyDescent="0.2">
      <c r="A39" s="53"/>
      <c r="B39" s="83"/>
      <c r="C39" s="105"/>
      <c r="D39" s="114"/>
      <c r="E39" s="268"/>
      <c r="F39" s="114"/>
      <c r="G39" s="105"/>
      <c r="K39" s="25"/>
      <c r="L39" s="123"/>
    </row>
    <row r="40" spans="1:12" x14ac:dyDescent="0.2">
      <c r="A40" s="63" t="s">
        <v>12</v>
      </c>
      <c r="B40" s="83"/>
      <c r="C40" s="105"/>
      <c r="D40" s="114"/>
      <c r="E40" s="268"/>
      <c r="F40" s="114"/>
      <c r="G40" s="105"/>
      <c r="K40" s="25"/>
      <c r="L40" s="123"/>
    </row>
    <row r="41" spans="1:12" x14ac:dyDescent="0.2">
      <c r="A41" s="45" t="s">
        <v>10</v>
      </c>
      <c r="B41" s="83">
        <f>15.274148032*0.848</f>
        <v>12.952477531135999</v>
      </c>
      <c r="C41" s="105">
        <f>7.609+6.5</f>
        <v>14.109</v>
      </c>
      <c r="D41" s="114">
        <f>C41*B41/100</f>
        <v>1.8274650548679781</v>
      </c>
      <c r="E41" s="149">
        <f>($N$51-0.065)*B41</f>
        <v>0.98010805528096667</v>
      </c>
      <c r="F41" s="114">
        <f>D41+E41</f>
        <v>2.8075731101489447</v>
      </c>
      <c r="G41" s="105">
        <f>F41/B41*100</f>
        <v>21.675954298317983</v>
      </c>
      <c r="K41" s="25"/>
      <c r="L41" s="123"/>
    </row>
    <row r="42" spans="1:12" x14ac:dyDescent="0.2">
      <c r="A42" s="45" t="s">
        <v>146</v>
      </c>
      <c r="B42" s="83">
        <f>8.072342096*0.848</f>
        <v>6.845346097408</v>
      </c>
      <c r="C42" s="105">
        <f>6.558+6.5</f>
        <v>13.058</v>
      </c>
      <c r="D42" s="114">
        <f>C42*B42/100</f>
        <v>0.89386529339953669</v>
      </c>
      <c r="E42" s="149">
        <f>($N$51-0.065)*B42</f>
        <v>0.51798421075255707</v>
      </c>
      <c r="F42" s="114">
        <f>D42+E42</f>
        <v>1.4118495041520938</v>
      </c>
      <c r="G42" s="105">
        <f>F42/B42*100</f>
        <v>20.624954298317984</v>
      </c>
      <c r="K42" s="25"/>
      <c r="L42" s="123"/>
    </row>
    <row r="43" spans="1:12" x14ac:dyDescent="0.2">
      <c r="A43" s="45" t="s">
        <v>147</v>
      </c>
      <c r="B43" s="83">
        <f>48.100347048*0.848</f>
        <v>40.789094296704</v>
      </c>
      <c r="C43" s="105">
        <f>5.535+6.5</f>
        <v>12.035</v>
      </c>
      <c r="D43" s="114">
        <f>C43*B43/100</f>
        <v>4.9089674986083267</v>
      </c>
      <c r="E43" s="149">
        <f>($N$52-0.065)*B43</f>
        <v>1.3651571481048652</v>
      </c>
      <c r="F43" s="114">
        <f>D43+E43</f>
        <v>6.2741246467131919</v>
      </c>
      <c r="G43" s="105">
        <f>F43/B43*100</f>
        <v>15.381868008822588</v>
      </c>
      <c r="K43" s="25"/>
      <c r="L43" s="123"/>
    </row>
    <row r="44" spans="1:12" x14ac:dyDescent="0.2">
      <c r="A44" s="45" t="s">
        <v>26</v>
      </c>
      <c r="B44" s="83">
        <f>62.895162824*0.848</f>
        <v>53.335098074752004</v>
      </c>
      <c r="C44" s="105">
        <f>5.492+6.5</f>
        <v>11.992000000000001</v>
      </c>
      <c r="D44" s="114">
        <f>C44*B44/100</f>
        <v>6.3959449611242611</v>
      </c>
      <c r="E44" s="149">
        <f>($N$53-0.065)*B44</f>
        <v>0.28453056071033961</v>
      </c>
      <c r="F44" s="114">
        <f>D44+E44</f>
        <v>6.6804755218346008</v>
      </c>
      <c r="G44" s="105">
        <f>F44/B44*100</f>
        <v>12.525477149158995</v>
      </c>
      <c r="K44" s="25"/>
      <c r="L44" s="123"/>
    </row>
    <row r="45" spans="1:12" x14ac:dyDescent="0.2">
      <c r="A45" s="45"/>
      <c r="B45" s="83"/>
      <c r="C45" s="105"/>
      <c r="D45" s="114"/>
      <c r="E45" s="268"/>
      <c r="F45" s="114"/>
      <c r="G45" s="105"/>
      <c r="K45" s="25"/>
      <c r="L45" s="123"/>
    </row>
    <row r="46" spans="1:12" ht="13.5" thickBot="1" x14ac:dyDescent="0.25">
      <c r="A46" s="162" t="s">
        <v>148</v>
      </c>
      <c r="B46" s="158">
        <f>SUM(B41:B44)</f>
        <v>113.92201600000001</v>
      </c>
      <c r="C46" s="242">
        <f>D46/B46*100</f>
        <v>12.474976485247682</v>
      </c>
      <c r="D46" s="269">
        <f>SUM(D38:D44)</f>
        <v>14.211744707520102</v>
      </c>
      <c r="E46" s="269">
        <f>SUM(E38:E44)</f>
        <v>3.1477799748487287</v>
      </c>
      <c r="F46" s="269">
        <f>SUM(F38:F44)</f>
        <v>17.359524682368832</v>
      </c>
      <c r="G46" s="242">
        <f>F46/B46*100</f>
        <v>15.238077144253511</v>
      </c>
      <c r="H46" s="148">
        <f>(G46-C46)/C46</f>
        <v>0.22149145229037839</v>
      </c>
      <c r="K46" s="25"/>
      <c r="L46" s="123"/>
    </row>
    <row r="47" spans="1:12" ht="13.5" thickTop="1" x14ac:dyDescent="0.2">
      <c r="A47" s="28"/>
      <c r="B47" s="196"/>
      <c r="C47" s="257"/>
      <c r="D47" s="272"/>
      <c r="E47" s="272"/>
      <c r="F47" s="272"/>
      <c r="G47" s="257"/>
      <c r="H47" s="156"/>
      <c r="K47" s="25"/>
      <c r="L47" s="123"/>
    </row>
    <row r="48" spans="1:12" x14ac:dyDescent="0.2">
      <c r="A48" s="103"/>
      <c r="B48" s="258"/>
      <c r="C48" s="258"/>
      <c r="D48" s="273"/>
      <c r="E48" s="273"/>
      <c r="F48" s="258"/>
      <c r="G48" s="258"/>
      <c r="H48" s="10"/>
      <c r="K48" s="25"/>
      <c r="L48" s="123"/>
    </row>
    <row r="49" spans="1:17" x14ac:dyDescent="0.2">
      <c r="A49" s="44" t="s">
        <v>49</v>
      </c>
      <c r="B49" s="13"/>
      <c r="C49" s="246"/>
      <c r="D49" s="194"/>
      <c r="E49" s="149"/>
      <c r="F49" s="149"/>
      <c r="G49" s="246"/>
      <c r="H49" s="10"/>
      <c r="K49" s="25"/>
      <c r="L49" s="123" t="s">
        <v>113</v>
      </c>
      <c r="M49" s="101"/>
      <c r="N49" s="123" t="s">
        <v>90</v>
      </c>
      <c r="P49" s="6" t="s">
        <v>97</v>
      </c>
    </row>
    <row r="50" spans="1:17" x14ac:dyDescent="0.2">
      <c r="A50" s="44"/>
      <c r="B50" s="13"/>
      <c r="C50" s="246"/>
      <c r="D50" s="194"/>
      <c r="E50" s="149"/>
      <c r="F50" s="149"/>
      <c r="G50" s="246"/>
      <c r="H50" s="10"/>
      <c r="K50" s="159"/>
      <c r="L50" s="124" t="s">
        <v>98</v>
      </c>
      <c r="M50" s="128"/>
      <c r="N50" s="124" t="s">
        <v>99</v>
      </c>
      <c r="P50" s="124" t="s">
        <v>100</v>
      </c>
    </row>
    <row r="51" spans="1:17" x14ac:dyDescent="0.2">
      <c r="A51" s="77" t="s">
        <v>13</v>
      </c>
      <c r="B51" s="13"/>
      <c r="C51" s="246"/>
      <c r="D51" s="194"/>
      <c r="E51" s="149"/>
      <c r="F51" s="149"/>
      <c r="G51" s="259"/>
      <c r="H51" s="18"/>
      <c r="K51" s="55" t="s">
        <v>114</v>
      </c>
      <c r="L51" s="160">
        <f>SUM(B41:B42)+SUM(B68:B72)+SUM(B108:B112)+SUM(B152:B154)</f>
        <v>444.50306788954936</v>
      </c>
      <c r="N51" s="191">
        <f>N53*2</f>
        <v>0.14066954298317985</v>
      </c>
      <c r="P51" s="113">
        <f>N51*L51</f>
        <v>62.528043414644273</v>
      </c>
      <c r="Q51" s="203"/>
    </row>
    <row r="52" spans="1:17" x14ac:dyDescent="0.2">
      <c r="A52" s="12" t="s">
        <v>79</v>
      </c>
      <c r="B52" s="13"/>
      <c r="C52" s="246"/>
      <c r="D52" s="194"/>
      <c r="E52" s="149"/>
      <c r="F52" s="149"/>
      <c r="G52" s="259"/>
      <c r="H52" s="18"/>
      <c r="K52" s="55" t="s">
        <v>115</v>
      </c>
      <c r="L52" s="111">
        <f>B43+SUM(B94:B98)+SUM(B115:B119)+SUM(B157:B159)</f>
        <v>974.32352604563721</v>
      </c>
      <c r="N52" s="191">
        <f>N53*1.4</f>
        <v>9.8468680088225888E-2</v>
      </c>
      <c r="P52" s="113">
        <f>N52*L52</f>
        <v>95.940351588620075</v>
      </c>
    </row>
    <row r="53" spans="1:17" x14ac:dyDescent="0.2">
      <c r="A53" s="56" t="s">
        <v>21</v>
      </c>
      <c r="B53" s="83"/>
      <c r="C53" s="105">
        <f>D53/(B68+B94+B101+B108+B115+B122)*100</f>
        <v>0.10802616001289028</v>
      </c>
      <c r="D53" s="274">
        <v>1.6210030264887321</v>
      </c>
      <c r="E53" s="149">
        <f>F53-D53</f>
        <v>0</v>
      </c>
      <c r="F53" s="149">
        <f>D53</f>
        <v>1.6210030264887321</v>
      </c>
      <c r="G53" s="105">
        <f>F53/(B68+B94+B101+B108+B115+B122)*100</f>
        <v>0.10802616001289028</v>
      </c>
      <c r="H53" s="180"/>
      <c r="K53" s="55" t="s">
        <v>116</v>
      </c>
      <c r="L53" s="161">
        <f>B44+SUM(B101:B105)+SUM(B122:B126)+SUM(B162:B164)</f>
        <v>1159.1508854552108</v>
      </c>
      <c r="N53" s="191">
        <f>0.095*P60</f>
        <v>7.0334771491589926E-2</v>
      </c>
      <c r="P53" s="161">
        <f>N53*L53</f>
        <v>81.528612652766384</v>
      </c>
    </row>
    <row r="54" spans="1:17" x14ac:dyDescent="0.2">
      <c r="A54" s="56" t="s">
        <v>22</v>
      </c>
      <c r="B54" s="83"/>
      <c r="C54" s="105">
        <f>D54/(B69+B95+B102+B109+B116+B123)*100</f>
        <v>5.6049221393619425E-5</v>
      </c>
      <c r="D54" s="274">
        <v>1.3032708620622227E-4</v>
      </c>
      <c r="E54" s="149">
        <f>F54-D54</f>
        <v>0</v>
      </c>
      <c r="F54" s="149">
        <f>D54</f>
        <v>1.3032708620622227E-4</v>
      </c>
      <c r="G54" s="105">
        <f>F54/(B69+B95+B102+B109+B116+B123)*100</f>
        <v>5.6049221393619425E-5</v>
      </c>
      <c r="H54" s="171"/>
      <c r="K54" s="55"/>
      <c r="L54" s="160">
        <f>SUM(L51:L53)</f>
        <v>2577.9774793903971</v>
      </c>
      <c r="P54" s="113">
        <f>SUM(P51:P53)</f>
        <v>239.99700765603072</v>
      </c>
    </row>
    <row r="55" spans="1:17" x14ac:dyDescent="0.2">
      <c r="A55" s="56" t="s">
        <v>38</v>
      </c>
      <c r="B55" s="83"/>
      <c r="C55" s="105">
        <f>D55/(B70+B96+B103+B110+B117+B124)*100</f>
        <v>0</v>
      </c>
      <c r="D55" s="274">
        <v>0</v>
      </c>
      <c r="E55" s="149">
        <f>F55-D55</f>
        <v>0</v>
      </c>
      <c r="F55" s="149">
        <f>D55</f>
        <v>0</v>
      </c>
      <c r="G55" s="105">
        <f>F55/(B70+B96+B103+B110+B117+B124)*100</f>
        <v>0</v>
      </c>
      <c r="H55" s="171"/>
      <c r="K55" s="55"/>
    </row>
    <row r="56" spans="1:17" x14ac:dyDescent="0.2">
      <c r="A56" s="56" t="s">
        <v>39</v>
      </c>
      <c r="B56" s="83"/>
      <c r="C56" s="105">
        <f>D56/(B71+B97+B104+B111+B118+B125)*100</f>
        <v>6.7130501999987785E-6</v>
      </c>
      <c r="D56" s="274">
        <v>1.9824050906236168E-5</v>
      </c>
      <c r="E56" s="149">
        <f>F56-D56</f>
        <v>0</v>
      </c>
      <c r="F56" s="149">
        <f>D56</f>
        <v>1.9824050906236168E-5</v>
      </c>
      <c r="G56" s="105">
        <f>F56/(B71+B97+B104+B111+B118+B125)*100</f>
        <v>6.7130501999987785E-6</v>
      </c>
      <c r="H56" s="171"/>
      <c r="K56" s="23" t="s">
        <v>101</v>
      </c>
      <c r="L56" s="171">
        <f>L54</f>
        <v>2577.9774793903971</v>
      </c>
      <c r="M56" s="134"/>
      <c r="N56" s="206">
        <f>0.065+Residential!N58</f>
        <v>9.3084769859103883E-2</v>
      </c>
      <c r="O56" s="135"/>
      <c r="P56" s="202">
        <f>L56*N56</f>
        <v>239.97044037100784</v>
      </c>
      <c r="Q56" s="113"/>
    </row>
    <row r="57" spans="1:17" x14ac:dyDescent="0.2">
      <c r="A57" s="56" t="s">
        <v>40</v>
      </c>
      <c r="B57" s="83"/>
      <c r="C57" s="105">
        <f>D57/(B72+B98+B105+B112+B119+B126)*100</f>
        <v>7.4028805170440629E-6</v>
      </c>
      <c r="D57" s="274">
        <v>5.8402063630127537E-6</v>
      </c>
      <c r="E57" s="149">
        <f>F57-D57</f>
        <v>0</v>
      </c>
      <c r="F57" s="149">
        <f>D57</f>
        <v>5.8402063630127537E-6</v>
      </c>
      <c r="G57" s="105">
        <f>F57/(B72+B98+B105+B112+B119+B126)*100</f>
        <v>7.4028805170440629E-6</v>
      </c>
      <c r="H57" s="171"/>
      <c r="K57" s="23"/>
      <c r="L57" s="134"/>
      <c r="M57" s="134"/>
      <c r="N57" s="17"/>
      <c r="O57" s="135"/>
      <c r="Q57" s="113"/>
    </row>
    <row r="58" spans="1:17" x14ac:dyDescent="0.2">
      <c r="B58" s="83"/>
      <c r="C58" s="105"/>
      <c r="D58" s="274"/>
      <c r="E58" s="149"/>
      <c r="F58" s="149"/>
      <c r="G58" s="241"/>
      <c r="H58" s="171"/>
      <c r="K58" s="136" t="s">
        <v>102</v>
      </c>
      <c r="L58" s="137"/>
      <c r="M58" s="137"/>
      <c r="N58" s="137"/>
      <c r="O58" s="137"/>
      <c r="P58" s="138">
        <f>P56</f>
        <v>239.97044037100784</v>
      </c>
    </row>
    <row r="59" spans="1:17" x14ac:dyDescent="0.2">
      <c r="A59" s="12" t="s">
        <v>83</v>
      </c>
      <c r="B59" s="83"/>
      <c r="C59" s="105"/>
      <c r="D59" s="274"/>
      <c r="E59" s="149"/>
      <c r="F59" s="149"/>
      <c r="G59" s="241"/>
      <c r="H59" s="171"/>
      <c r="K59" s="139" t="s">
        <v>103</v>
      </c>
      <c r="L59" s="31"/>
      <c r="M59" s="31"/>
      <c r="N59" s="31"/>
      <c r="O59" s="31"/>
      <c r="P59" s="140">
        <f>P54-P58</f>
        <v>2.6567285022878195E-2</v>
      </c>
    </row>
    <row r="60" spans="1:17" x14ac:dyDescent="0.2">
      <c r="A60" s="56" t="s">
        <v>21</v>
      </c>
      <c r="B60" s="83"/>
      <c r="C60" s="105">
        <f>D60/(B68+B94+B101+B108+B115+B122)*100</f>
        <v>2.8555312400000044</v>
      </c>
      <c r="D60" s="274">
        <v>42.849109713062013</v>
      </c>
      <c r="E60" s="149">
        <f>F60-D60</f>
        <v>0</v>
      </c>
      <c r="F60" s="149">
        <f>D60</f>
        <v>42.849109713062013</v>
      </c>
      <c r="G60" s="105">
        <f>F60/(B68+B94+B101+B108+B115+B122)*100</f>
        <v>2.8555312400000044</v>
      </c>
      <c r="H60" s="171"/>
      <c r="K60" s="139" t="s">
        <v>104</v>
      </c>
      <c r="L60" s="31"/>
      <c r="M60" s="31"/>
      <c r="N60" s="31"/>
      <c r="O60" s="31"/>
      <c r="P60" s="284">
        <v>0.74036601570094662</v>
      </c>
    </row>
    <row r="61" spans="1:17" x14ac:dyDescent="0.2">
      <c r="A61" s="56" t="s">
        <v>22</v>
      </c>
      <c r="B61" s="83"/>
      <c r="C61" s="105">
        <f>D61/(B69+B95+B102+B109+B116+B123)*100</f>
        <v>2.3867589600000025</v>
      </c>
      <c r="D61" s="274">
        <v>5.5497531098407791</v>
      </c>
      <c r="E61" s="149">
        <f>F61-D61</f>
        <v>0</v>
      </c>
      <c r="F61" s="149">
        <f>D61</f>
        <v>5.5497531098407791</v>
      </c>
      <c r="G61" s="105">
        <f>F61/(B69+B95+B102+B109+B116+B123)*100</f>
        <v>2.3867589600000025</v>
      </c>
      <c r="H61" s="171"/>
      <c r="K61" s="141" t="s">
        <v>105</v>
      </c>
      <c r="L61" s="142"/>
      <c r="M61" s="142"/>
      <c r="N61" s="142"/>
      <c r="O61" s="142"/>
      <c r="P61" s="143"/>
    </row>
    <row r="62" spans="1:17" x14ac:dyDescent="0.2">
      <c r="A62" s="56" t="s">
        <v>38</v>
      </c>
      <c r="B62" s="83"/>
      <c r="C62" s="105">
        <f>D62/(B70+B96+B103+B110+B117+B124)*100</f>
        <v>0.92892043999999985</v>
      </c>
      <c r="D62" s="274">
        <v>0.66904910585827326</v>
      </c>
      <c r="E62" s="149">
        <f>F62-D62</f>
        <v>0</v>
      </c>
      <c r="F62" s="149">
        <f>D62</f>
        <v>0.66904910585827326</v>
      </c>
      <c r="G62" s="105">
        <f>F62/(B70+B96+B103+B110+B117+B124)*100</f>
        <v>0.92892043999999985</v>
      </c>
      <c r="H62" s="171"/>
    </row>
    <row r="63" spans="1:17" x14ac:dyDescent="0.2">
      <c r="A63" s="56" t="s">
        <v>39</v>
      </c>
      <c r="B63" s="83"/>
      <c r="C63" s="105">
        <f>D63/(B71+B97+B104+B111+B118+B125)*100</f>
        <v>0.62387170402777836</v>
      </c>
      <c r="D63" s="274">
        <v>1.8423315856641787</v>
      </c>
      <c r="E63" s="149">
        <f>F63-D63</f>
        <v>0</v>
      </c>
      <c r="F63" s="149">
        <f>D63</f>
        <v>1.8423315856641787</v>
      </c>
      <c r="G63" s="105">
        <f>F63/(B71+B97+B104+B111+B118+B125)*100</f>
        <v>0.62387170402777836</v>
      </c>
      <c r="H63" s="171"/>
    </row>
    <row r="64" spans="1:17" x14ac:dyDescent="0.2">
      <c r="A64" s="56" t="s">
        <v>40</v>
      </c>
      <c r="B64" s="83"/>
      <c r="C64" s="105">
        <f>D64/(B72+B98+B105+B112+B119+B126)*100</f>
        <v>0.59140680000000012</v>
      </c>
      <c r="D64" s="274">
        <v>0.46656673014468064</v>
      </c>
      <c r="E64" s="149">
        <f>F64-D64</f>
        <v>0</v>
      </c>
      <c r="F64" s="149">
        <f>D64</f>
        <v>0.46656673014468064</v>
      </c>
      <c r="G64" s="105">
        <f>F64/(B72+B98+B105+B112+B119+B126)*100</f>
        <v>0.59140680000000012</v>
      </c>
      <c r="H64" s="171"/>
    </row>
    <row r="65" spans="1:8" x14ac:dyDescent="0.2">
      <c r="A65" s="57"/>
      <c r="B65" s="83"/>
      <c r="C65" s="105"/>
      <c r="D65" s="194"/>
      <c r="E65" s="149"/>
      <c r="F65" s="149"/>
      <c r="G65" s="241"/>
      <c r="H65" s="171"/>
    </row>
    <row r="66" spans="1:8" x14ac:dyDescent="0.2">
      <c r="A66" s="63" t="s">
        <v>12</v>
      </c>
      <c r="B66" s="83"/>
      <c r="C66" s="105"/>
      <c r="D66" s="194"/>
      <c r="E66" s="149"/>
      <c r="F66" s="149"/>
      <c r="G66" s="241"/>
      <c r="H66" s="171"/>
    </row>
    <row r="67" spans="1:8" x14ac:dyDescent="0.2">
      <c r="A67" s="55" t="s">
        <v>23</v>
      </c>
      <c r="B67" s="83"/>
      <c r="C67" s="105"/>
      <c r="D67" s="194"/>
      <c r="E67" s="149"/>
      <c r="F67" s="149"/>
      <c r="G67" s="105"/>
      <c r="H67" s="82"/>
    </row>
    <row r="68" spans="1:8" x14ac:dyDescent="0.2">
      <c r="A68" s="56" t="s">
        <v>21</v>
      </c>
      <c r="B68" s="83">
        <f>642.584335264508*0.32*0.848</f>
        <v>174.37168521737689</v>
      </c>
      <c r="C68" s="105">
        <f>1.542+6.5</f>
        <v>8.0419999999999998</v>
      </c>
      <c r="D68" s="194">
        <f>C68*B68/100</f>
        <v>14.022970925181449</v>
      </c>
      <c r="E68" s="149">
        <f>($N$51-0.065)*B68</f>
        <v>13.194625729605807</v>
      </c>
      <c r="F68" s="149">
        <f>D68+E68</f>
        <v>27.217596654787258</v>
      </c>
      <c r="G68" s="105">
        <f>F68/B68*100</f>
        <v>15.608954298317984</v>
      </c>
      <c r="H68" s="82"/>
    </row>
    <row r="69" spans="1:8" x14ac:dyDescent="0.2">
      <c r="A69" s="56" t="s">
        <v>22</v>
      </c>
      <c r="B69" s="83">
        <f>90.8256987135955*0.32*0.848</f>
        <v>24.646461602921274</v>
      </c>
      <c r="C69" s="105">
        <f>1.503+6.5</f>
        <v>8.0030000000000001</v>
      </c>
      <c r="D69" s="194">
        <f>C69*B69/100</f>
        <v>1.9724563220817897</v>
      </c>
      <c r="E69" s="149">
        <f>($N$51-0.065)*B69</f>
        <v>1.8649864856455431</v>
      </c>
      <c r="F69" s="149">
        <f>D69+E69</f>
        <v>3.8374428077273328</v>
      </c>
      <c r="G69" s="105">
        <f>F69/B69*100</f>
        <v>15.569954298317986</v>
      </c>
      <c r="H69" s="82"/>
    </row>
    <row r="70" spans="1:8" x14ac:dyDescent="0.2">
      <c r="A70" s="56" t="s">
        <v>38</v>
      </c>
      <c r="B70" s="83">
        <f>30.84286568*0.32*0.848</f>
        <v>8.3695200309247983</v>
      </c>
      <c r="C70" s="105">
        <f>1.069+6.5</f>
        <v>7.569</v>
      </c>
      <c r="D70" s="194">
        <f>C70*B70/100</f>
        <v>0.63348897114069802</v>
      </c>
      <c r="E70" s="149">
        <f>($N$51-0.065)*B70</f>
        <v>0.63331775572864879</v>
      </c>
      <c r="F70" s="149">
        <f>D70+E70</f>
        <v>1.2668067268693468</v>
      </c>
      <c r="G70" s="105">
        <f>F70/B70*100</f>
        <v>15.135954298317985</v>
      </c>
      <c r="H70" s="82"/>
    </row>
    <row r="71" spans="1:8" x14ac:dyDescent="0.2">
      <c r="A71" s="56" t="s">
        <v>39</v>
      </c>
      <c r="B71" s="83">
        <f>114.38365314383*0.32*0.848</f>
        <v>31.039148117109711</v>
      </c>
      <c r="C71" s="105">
        <f>1.025+6.5</f>
        <v>7.5250000000000004</v>
      </c>
      <c r="D71" s="194">
        <f>C71*B71/100</f>
        <v>2.3356958958125058</v>
      </c>
      <c r="E71" s="149">
        <f>($N$51-0.065)*B71</f>
        <v>2.3487181526089191</v>
      </c>
      <c r="F71" s="149">
        <f>D71+E71</f>
        <v>4.6844140484214254</v>
      </c>
      <c r="G71" s="105">
        <f>F71/B71*100</f>
        <v>15.091954298317987</v>
      </c>
      <c r="H71" s="82"/>
    </row>
    <row r="72" spans="1:8" x14ac:dyDescent="0.2">
      <c r="A72" s="56" t="s">
        <v>40</v>
      </c>
      <c r="B72" s="83">
        <f>28.5130954303513*0.32*0.848</f>
        <v>7.7373135759801279</v>
      </c>
      <c r="C72" s="105">
        <f>1.021+6.5</f>
        <v>7.5209999999999999</v>
      </c>
      <c r="D72" s="194">
        <f>C72*B72/100</f>
        <v>0.58192335404946538</v>
      </c>
      <c r="E72" s="149">
        <f>($N$51-0.065)*B72</f>
        <v>0.58547898221196926</v>
      </c>
      <c r="F72" s="149">
        <f>D72+E72</f>
        <v>1.1674023362614347</v>
      </c>
      <c r="G72" s="105">
        <f>F72/B72*100</f>
        <v>15.087954298317985</v>
      </c>
      <c r="H72" s="82"/>
    </row>
    <row r="73" spans="1:8" x14ac:dyDescent="0.2">
      <c r="A73" s="56"/>
      <c r="B73" s="83"/>
      <c r="C73" s="105"/>
      <c r="D73" s="182"/>
      <c r="E73" s="165"/>
      <c r="F73" s="165"/>
      <c r="G73" s="105"/>
      <c r="H73" s="82"/>
    </row>
    <row r="80" spans="1:8" x14ac:dyDescent="0.2">
      <c r="A80" s="56"/>
      <c r="B80" s="82"/>
      <c r="C80" s="173"/>
      <c r="D80" s="182"/>
      <c r="E80" s="184"/>
      <c r="F80" s="165"/>
      <c r="G80" s="83"/>
      <c r="H80" s="173"/>
    </row>
    <row r="81" spans="1:8" x14ac:dyDescent="0.2">
      <c r="D81" s="163"/>
      <c r="E81" s="163"/>
      <c r="F81" s="163"/>
      <c r="H81" s="173"/>
    </row>
    <row r="82" spans="1:8" x14ac:dyDescent="0.2">
      <c r="A82" s="12"/>
      <c r="B82" s="25"/>
      <c r="C82" s="26"/>
      <c r="D82" s="182"/>
      <c r="E82" s="167"/>
      <c r="F82" s="165"/>
      <c r="G82" s="26"/>
      <c r="H82" s="25"/>
    </row>
    <row r="83" spans="1:8" x14ac:dyDescent="0.2">
      <c r="H83" s="45" t="s">
        <v>130</v>
      </c>
    </row>
    <row r="84" spans="1:8" ht="20.25" x14ac:dyDescent="0.3">
      <c r="A84" s="312" t="s">
        <v>9</v>
      </c>
      <c r="B84" s="312"/>
      <c r="C84" s="312"/>
      <c r="D84" s="312"/>
      <c r="E84" s="312"/>
      <c r="F84" s="312"/>
      <c r="G84" s="312"/>
      <c r="H84" s="312"/>
    </row>
    <row r="85" spans="1:8" ht="20.25" x14ac:dyDescent="0.3">
      <c r="A85" s="312" t="s">
        <v>155</v>
      </c>
      <c r="B85" s="312"/>
      <c r="C85" s="312"/>
      <c r="D85" s="312"/>
      <c r="E85" s="312"/>
      <c r="F85" s="312"/>
      <c r="G85" s="312"/>
      <c r="H85" s="312"/>
    </row>
    <row r="86" spans="1:8" ht="13.5" thickBot="1" x14ac:dyDescent="0.25">
      <c r="A86" s="63"/>
      <c r="B86" s="63"/>
      <c r="C86" s="63"/>
      <c r="D86" s="63"/>
      <c r="E86" s="63"/>
      <c r="F86" s="63"/>
      <c r="G86" s="63"/>
      <c r="H86" s="63"/>
    </row>
    <row r="87" spans="1:8" ht="64.5" thickBot="1" x14ac:dyDescent="0.25">
      <c r="A87" s="2" t="s">
        <v>0</v>
      </c>
      <c r="B87" s="3" t="s">
        <v>46</v>
      </c>
      <c r="C87" s="3" t="s">
        <v>201</v>
      </c>
      <c r="D87" s="3" t="s">
        <v>51</v>
      </c>
      <c r="E87" s="3" t="s">
        <v>84</v>
      </c>
      <c r="F87" s="3" t="s">
        <v>6</v>
      </c>
      <c r="G87" s="3" t="s">
        <v>47</v>
      </c>
      <c r="H87" s="3" t="s">
        <v>48</v>
      </c>
    </row>
    <row r="88" spans="1:8" x14ac:dyDescent="0.2">
      <c r="A88" s="72"/>
      <c r="B88" s="74"/>
      <c r="C88" s="74"/>
      <c r="D88" s="74"/>
      <c r="E88" s="74"/>
      <c r="F88" s="74"/>
      <c r="G88" s="74"/>
      <c r="H88" s="74"/>
    </row>
    <row r="89" spans="1:8" x14ac:dyDescent="0.2">
      <c r="A89" s="44" t="s">
        <v>118</v>
      </c>
      <c r="B89" s="74"/>
      <c r="C89" s="74"/>
      <c r="D89" s="74"/>
      <c r="E89" s="74"/>
      <c r="F89" s="74"/>
      <c r="G89" s="74"/>
      <c r="H89" s="74"/>
    </row>
    <row r="90" spans="1:8" x14ac:dyDescent="0.2">
      <c r="A90" s="72"/>
      <c r="B90" s="74"/>
      <c r="C90" s="74"/>
      <c r="D90" s="74"/>
      <c r="E90" s="74"/>
      <c r="F90" s="74"/>
      <c r="G90" s="74"/>
      <c r="H90" s="74"/>
    </row>
    <row r="91" spans="1:8" x14ac:dyDescent="0.2">
      <c r="A91" s="74" t="s">
        <v>12</v>
      </c>
      <c r="B91" s="74"/>
      <c r="C91" s="74"/>
      <c r="D91" s="74"/>
      <c r="E91" s="74"/>
      <c r="F91" s="74"/>
      <c r="G91" s="74"/>
      <c r="H91" s="74"/>
    </row>
    <row r="92" spans="1:8" x14ac:dyDescent="0.2">
      <c r="A92" s="74"/>
      <c r="B92" s="74"/>
      <c r="C92" s="74"/>
      <c r="D92" s="74"/>
      <c r="E92" s="74"/>
      <c r="F92" s="74"/>
      <c r="G92" s="74"/>
      <c r="H92" s="74"/>
    </row>
    <row r="93" spans="1:8" x14ac:dyDescent="0.2">
      <c r="A93" s="28" t="s">
        <v>24</v>
      </c>
      <c r="B93" s="83"/>
      <c r="C93" s="105"/>
      <c r="D93" s="182"/>
      <c r="E93" s="165"/>
      <c r="F93" s="165"/>
      <c r="G93" s="105"/>
      <c r="H93" s="82"/>
    </row>
    <row r="94" spans="1:8" x14ac:dyDescent="0.2">
      <c r="A94" s="56" t="s">
        <v>21</v>
      </c>
      <c r="B94" s="83">
        <f>700.97897383455*0.32*0.848</f>
        <v>190.21765433974349</v>
      </c>
      <c r="C94" s="105">
        <f>1.266+6.5</f>
        <v>7.766</v>
      </c>
      <c r="D94" s="194">
        <f>C94*B94/100</f>
        <v>14.77230303602448</v>
      </c>
      <c r="E94" s="149">
        <f>($N$52-0.065)*B94</f>
        <v>6.3663338202296069</v>
      </c>
      <c r="F94" s="149">
        <f>D94+E94</f>
        <v>21.138636856254088</v>
      </c>
      <c r="G94" s="105">
        <f>F94/B94*100</f>
        <v>11.11286800882259</v>
      </c>
      <c r="H94" s="82"/>
    </row>
    <row r="95" spans="1:8" x14ac:dyDescent="0.2">
      <c r="A95" s="56" t="s">
        <v>22</v>
      </c>
      <c r="B95" s="83">
        <f>109.865540079459*0.32*0.848</f>
        <v>29.813112955961991</v>
      </c>
      <c r="C95" s="243">
        <f>1.237+6.5</f>
        <v>7.7370000000000001</v>
      </c>
      <c r="D95" s="194">
        <f>C95*B95/100</f>
        <v>2.3066405494027795</v>
      </c>
      <c r="E95" s="149">
        <f>($N$52-0.065)*B95</f>
        <v>0.9978055399572342</v>
      </c>
      <c r="F95" s="149">
        <f>D95+E95</f>
        <v>3.3044460893600136</v>
      </c>
      <c r="G95" s="105">
        <f>F95/B95*100</f>
        <v>11.08386800882259</v>
      </c>
      <c r="H95" s="173"/>
    </row>
    <row r="96" spans="1:8" x14ac:dyDescent="0.2">
      <c r="A96" s="56" t="s">
        <v>38</v>
      </c>
      <c r="B96" s="82">
        <f>33.64570088*0.32*0.848</f>
        <v>9.1300973907968004</v>
      </c>
      <c r="C96" s="243">
        <f>0.793+6.5</f>
        <v>7.2930000000000001</v>
      </c>
      <c r="D96" s="194">
        <f>C96*B96/100</f>
        <v>0.66585800271081075</v>
      </c>
      <c r="E96" s="149">
        <f>($N$52-0.065)*B96</f>
        <v>0.30557230874692398</v>
      </c>
      <c r="F96" s="149">
        <f>D96+E96</f>
        <v>0.97143031145773473</v>
      </c>
      <c r="G96" s="105">
        <f>F96/B96*100</f>
        <v>10.639868008822589</v>
      </c>
      <c r="H96" s="173"/>
    </row>
    <row r="97" spans="1:8" x14ac:dyDescent="0.2">
      <c r="A97" s="56" t="s">
        <v>39</v>
      </c>
      <c r="B97" s="82">
        <f>138.659159253819*0.32*0.848</f>
        <v>37.626549455116326</v>
      </c>
      <c r="C97" s="243">
        <f>0.77+6.5</f>
        <v>7.27</v>
      </c>
      <c r="D97" s="194">
        <f>C97*B97/100</f>
        <v>2.7354501453869569</v>
      </c>
      <c r="E97" s="149">
        <f>($N$52-0.065)*B97</f>
        <v>1.2593109465370984</v>
      </c>
      <c r="F97" s="149">
        <f>D97+E97</f>
        <v>3.9947610919240555</v>
      </c>
      <c r="G97" s="105">
        <f>F97/B97*100</f>
        <v>10.616868008822589</v>
      </c>
      <c r="H97" s="173"/>
    </row>
    <row r="98" spans="1:8" x14ac:dyDescent="0.2">
      <c r="A98" s="56" t="s">
        <v>40</v>
      </c>
      <c r="B98" s="82">
        <f>35.2288312315781*0.32*0.848</f>
        <v>9.5596956430010334</v>
      </c>
      <c r="C98" s="243">
        <f>0.767+6.5</f>
        <v>7.2670000000000003</v>
      </c>
      <c r="D98" s="194">
        <f>C98*B98/100</f>
        <v>0.69470308237688516</v>
      </c>
      <c r="E98" s="149">
        <f>($N$52-0.065)*B98</f>
        <v>0.31995039521640845</v>
      </c>
      <c r="F98" s="149">
        <f>D98+E98</f>
        <v>1.0146534775932936</v>
      </c>
      <c r="G98" s="105">
        <f>F98/B98*100</f>
        <v>10.613868008822589</v>
      </c>
      <c r="H98" s="173"/>
    </row>
    <row r="99" spans="1:8" x14ac:dyDescent="0.2">
      <c r="A99" s="74"/>
      <c r="B99" s="74"/>
      <c r="C99" s="74"/>
      <c r="D99" s="228"/>
      <c r="E99" s="228"/>
      <c r="F99" s="228"/>
      <c r="G99" s="74"/>
      <c r="H99" s="74"/>
    </row>
    <row r="100" spans="1:8" x14ac:dyDescent="0.2">
      <c r="A100" s="28" t="s">
        <v>25</v>
      </c>
      <c r="B100" s="83"/>
      <c r="C100" s="173"/>
      <c r="D100" s="194"/>
      <c r="E100" s="24"/>
      <c r="F100" s="149"/>
      <c r="G100" s="83"/>
      <c r="H100" s="74"/>
    </row>
    <row r="101" spans="1:8" x14ac:dyDescent="0.2">
      <c r="A101" s="56" t="s">
        <v>21</v>
      </c>
      <c r="B101" s="82">
        <f>1089.54663131937*0.32*0.848</f>
        <v>295.65937387482421</v>
      </c>
      <c r="C101" s="243">
        <f>0.988+6.5</f>
        <v>7.4879999999999995</v>
      </c>
      <c r="D101" s="194">
        <f>C101*B101/100</f>
        <v>22.138973915746838</v>
      </c>
      <c r="E101" s="149">
        <f>($N$53-0.065)*B101</f>
        <v>1.5772751989687388</v>
      </c>
      <c r="F101" s="149">
        <f>D101+E101</f>
        <v>23.716249114715577</v>
      </c>
      <c r="G101" s="105">
        <f>F101/B101*100</f>
        <v>8.0214771491589918</v>
      </c>
      <c r="H101" s="74"/>
    </row>
    <row r="102" spans="1:8" x14ac:dyDescent="0.2">
      <c r="A102" s="56" t="s">
        <v>22</v>
      </c>
      <c r="B102" s="82">
        <f>176.335322907217*0.32*0.848</f>
        <v>47.850353224102406</v>
      </c>
      <c r="C102" s="243">
        <f>0.976+6.5</f>
        <v>7.476</v>
      </c>
      <c r="D102" s="194">
        <f>C102*B102/100</f>
        <v>3.5772924070338958</v>
      </c>
      <c r="E102" s="149">
        <f>($N$53-0.065)*B102</f>
        <v>0.25527070024244952</v>
      </c>
      <c r="F102" s="149">
        <f>D102+E102</f>
        <v>3.8325631072763455</v>
      </c>
      <c r="G102" s="105">
        <f>F102/B102*100</f>
        <v>8.0094771491589931</v>
      </c>
      <c r="H102" s="74"/>
    </row>
    <row r="103" spans="1:8" x14ac:dyDescent="0.2">
      <c r="A103" s="56" t="s">
        <v>38</v>
      </c>
      <c r="B103" s="84">
        <f>52.29623344*0.32*0.848</f>
        <v>14.191105906278402</v>
      </c>
      <c r="C103" s="243">
        <f>0.711+6.5</f>
        <v>7.2110000000000003</v>
      </c>
      <c r="D103" s="194">
        <f>C103*B103/100</f>
        <v>1.0233206469017357</v>
      </c>
      <c r="E103" s="149">
        <f>($N$53-0.065)*B103</f>
        <v>7.5706307222947411E-2</v>
      </c>
      <c r="F103" s="149">
        <f>D103+E103</f>
        <v>1.0990269541246831</v>
      </c>
      <c r="G103" s="105">
        <f>F103/B103*100</f>
        <v>7.7444771491589934</v>
      </c>
      <c r="H103" s="74"/>
    </row>
    <row r="104" spans="1:8" x14ac:dyDescent="0.2">
      <c r="A104" s="56" t="s">
        <v>39</v>
      </c>
      <c r="B104" s="84">
        <f>225.784985837423*0.32*0.848</f>
        <v>61.269013756843108</v>
      </c>
      <c r="C104" s="243">
        <f>0.697+6.5</f>
        <v>7.1970000000000001</v>
      </c>
      <c r="D104" s="194">
        <f>C104*B104/100</f>
        <v>4.4095309200799981</v>
      </c>
      <c r="E104" s="149">
        <f>($N$53-0.065)*B104</f>
        <v>0.32685618790783744</v>
      </c>
      <c r="F104" s="149">
        <f>D104+E104</f>
        <v>4.7363871079878352</v>
      </c>
      <c r="G104" s="105">
        <f>F104/B104*100</f>
        <v>7.7304771491589914</v>
      </c>
      <c r="H104" s="74"/>
    </row>
    <row r="105" spans="1:8" x14ac:dyDescent="0.2">
      <c r="A105" s="56" t="s">
        <v>40</v>
      </c>
      <c r="B105" s="84">
        <f>64.1768505042946*0.32*0.848</f>
        <v>17.415030152845382</v>
      </c>
      <c r="C105" s="243">
        <f>0.695+6.5</f>
        <v>7.1950000000000003</v>
      </c>
      <c r="D105" s="194">
        <f>C105*B105/100</f>
        <v>1.2530114194972253</v>
      </c>
      <c r="E105" s="149">
        <f>($N$53-0.065)*B105</f>
        <v>9.2905206384578456E-2</v>
      </c>
      <c r="F105" s="149">
        <f>D105+E105</f>
        <v>1.3459166258818038</v>
      </c>
      <c r="G105" s="105">
        <f>F105/B105*100</f>
        <v>7.7284771491589925</v>
      </c>
      <c r="H105" s="74"/>
    </row>
    <row r="106" spans="1:8" x14ac:dyDescent="0.2">
      <c r="A106" s="74"/>
      <c r="B106" s="74"/>
      <c r="C106" s="260"/>
      <c r="D106" s="228"/>
      <c r="E106" s="228"/>
      <c r="F106" s="228"/>
      <c r="G106" s="260"/>
      <c r="H106" s="74"/>
    </row>
    <row r="107" spans="1:8" x14ac:dyDescent="0.2">
      <c r="A107" s="29" t="s">
        <v>28</v>
      </c>
      <c r="B107" s="83"/>
      <c r="C107" s="255"/>
      <c r="D107" s="194"/>
      <c r="E107" s="24"/>
      <c r="F107" s="24"/>
      <c r="G107" s="255"/>
      <c r="H107" s="24"/>
    </row>
    <row r="108" spans="1:8" x14ac:dyDescent="0.2">
      <c r="A108" s="56" t="s">
        <v>21</v>
      </c>
      <c r="B108" s="82">
        <f>315.552240090994*0.32*0.848</f>
        <v>85.628255871092136</v>
      </c>
      <c r="C108" s="243">
        <f>1.344+6.5</f>
        <v>7.8440000000000003</v>
      </c>
      <c r="D108" s="194">
        <f>C108*B108/100</f>
        <v>6.7166803905284675</v>
      </c>
      <c r="E108" s="149">
        <f>($N$51-0.065)*B108</f>
        <v>6.4794509882123288</v>
      </c>
      <c r="F108" s="149">
        <f>D108+E108</f>
        <v>13.196131378740796</v>
      </c>
      <c r="G108" s="243">
        <f>F108/B108*100</f>
        <v>15.410954298317986</v>
      </c>
      <c r="H108" s="25"/>
    </row>
    <row r="109" spans="1:8" x14ac:dyDescent="0.2">
      <c r="A109" s="56" t="s">
        <v>22</v>
      </c>
      <c r="B109" s="82">
        <f>45.1540720349035*0.32*0.848</f>
        <v>12.253008987391414</v>
      </c>
      <c r="C109" s="243">
        <f>1.315+6.5</f>
        <v>7.8149999999999995</v>
      </c>
      <c r="D109" s="194">
        <f>C109*B109/100</f>
        <v>0.95757265236463895</v>
      </c>
      <c r="E109" s="149">
        <f>($N$51-0.065)*B109</f>
        <v>0.92717959024470364</v>
      </c>
      <c r="F109" s="149">
        <f>D109+E109</f>
        <v>1.8847522426093426</v>
      </c>
      <c r="G109" s="243">
        <f>F109/B109*100</f>
        <v>15.381954298317984</v>
      </c>
      <c r="H109" s="25"/>
    </row>
    <row r="110" spans="1:8" x14ac:dyDescent="0.2">
      <c r="A110" s="56" t="s">
        <v>38</v>
      </c>
      <c r="B110" s="82">
        <f>15.14592688*0.32*0.848</f>
        <v>4.1099987181567998</v>
      </c>
      <c r="C110" s="243">
        <f>0.961+6.5</f>
        <v>7.4610000000000003</v>
      </c>
      <c r="D110" s="194">
        <f>C110*B110/100</f>
        <v>0.30664700436167885</v>
      </c>
      <c r="E110" s="149">
        <f>($N$51-0.065)*B110</f>
        <v>0.31100172466438003</v>
      </c>
      <c r="F110" s="149">
        <f>D110+E110</f>
        <v>0.61764872902605883</v>
      </c>
      <c r="G110" s="243">
        <f>F110/B110*100</f>
        <v>15.027954298317983</v>
      </c>
      <c r="H110" s="25"/>
    </row>
    <row r="111" spans="1:8" x14ac:dyDescent="0.2">
      <c r="A111" s="56" t="s">
        <v>39</v>
      </c>
      <c r="B111" s="82">
        <f>57.2979462290751*0.32*0.848</f>
        <v>15.548370688721819</v>
      </c>
      <c r="C111" s="243">
        <f>0.924+6.5</f>
        <v>7.4240000000000004</v>
      </c>
      <c r="D111" s="194">
        <f>C111*B111/100</f>
        <v>1.1543110399307079</v>
      </c>
      <c r="E111" s="149">
        <f>($N$51-0.065)*B111</f>
        <v>1.1765381041486493</v>
      </c>
      <c r="F111" s="149">
        <f>D111+E111</f>
        <v>2.3308491440793571</v>
      </c>
      <c r="G111" s="243">
        <f>F111/B111*100</f>
        <v>14.990954298317986</v>
      </c>
      <c r="H111" s="25"/>
    </row>
    <row r="112" spans="1:8" x14ac:dyDescent="0.2">
      <c r="A112" s="56" t="s">
        <v>40</v>
      </c>
      <c r="B112" s="82">
        <f>14.9455647649119*0.32*0.848</f>
        <v>4.0556284546064933</v>
      </c>
      <c r="C112" s="243">
        <f>0.921+6.5</f>
        <v>7.4210000000000003</v>
      </c>
      <c r="D112" s="194">
        <f>C112*B112/100</f>
        <v>0.30096818761634792</v>
      </c>
      <c r="E112" s="149">
        <f>($N$51-0.065)*B112</f>
        <v>0.30688755166965331</v>
      </c>
      <c r="F112" s="149">
        <f>D112+E112</f>
        <v>0.60785573928600123</v>
      </c>
      <c r="G112" s="243">
        <f>F112/B112*100</f>
        <v>14.987954298317984</v>
      </c>
      <c r="H112" s="25"/>
    </row>
    <row r="113" spans="1:8" x14ac:dyDescent="0.2">
      <c r="A113" s="56"/>
      <c r="B113" s="82"/>
      <c r="C113" s="250"/>
      <c r="D113" s="194"/>
      <c r="E113" s="226"/>
      <c r="F113" s="149"/>
      <c r="G113" s="243"/>
      <c r="H113" s="25"/>
    </row>
    <row r="114" spans="1:8" x14ac:dyDescent="0.2">
      <c r="A114" s="28" t="s">
        <v>29</v>
      </c>
      <c r="B114" s="86"/>
      <c r="C114" s="250"/>
      <c r="D114" s="194"/>
      <c r="E114" s="226"/>
      <c r="F114" s="149"/>
      <c r="G114" s="243"/>
      <c r="H114" s="25"/>
    </row>
    <row r="115" spans="1:8" x14ac:dyDescent="0.2">
      <c r="A115" s="56" t="s">
        <v>21</v>
      </c>
      <c r="B115" s="82">
        <f>1360.99322394496*0.32*0.848</f>
        <v>369.31912124970432</v>
      </c>
      <c r="C115" s="105">
        <f>1.178+6.5</f>
        <v>7.6779999999999999</v>
      </c>
      <c r="D115" s="194">
        <f>C115*B115/100</f>
        <v>28.3563221295523</v>
      </c>
      <c r="E115" s="149">
        <f>($N$52-0.065)*B115</f>
        <v>12.36062351957106</v>
      </c>
      <c r="F115" s="149">
        <f>D115+E115</f>
        <v>40.71694564912336</v>
      </c>
      <c r="G115" s="243">
        <f>F115/B115*100</f>
        <v>11.024868008822589</v>
      </c>
    </row>
    <row r="116" spans="1:8" x14ac:dyDescent="0.2">
      <c r="A116" s="56" t="s">
        <v>22</v>
      </c>
      <c r="B116" s="82">
        <f>205.328665501968*0.32*0.848</f>
        <v>55.717986670614039</v>
      </c>
      <c r="C116" s="243">
        <f>1.155+6.5</f>
        <v>7.6550000000000002</v>
      </c>
      <c r="D116" s="194">
        <f>C116*B116/100</f>
        <v>4.2652118796355047</v>
      </c>
      <c r="E116" s="149">
        <f>($N$52-0.065)*B116</f>
        <v>1.8648074710388154</v>
      </c>
      <c r="F116" s="149">
        <f>D116+E116</f>
        <v>6.1300193506743206</v>
      </c>
      <c r="G116" s="243">
        <f>F116/B116*100</f>
        <v>11.001868008822589</v>
      </c>
      <c r="H116" s="25"/>
    </row>
    <row r="117" spans="1:8" x14ac:dyDescent="0.2">
      <c r="A117" s="56" t="s">
        <v>38</v>
      </c>
      <c r="B117" s="82">
        <f>65.3251704*0.32*0.848</f>
        <v>17.726638239744002</v>
      </c>
      <c r="C117" s="243">
        <f>0.795+6.5</f>
        <v>7.2949999999999999</v>
      </c>
      <c r="D117" s="194">
        <f>C117*B117/100</f>
        <v>1.293158259589325</v>
      </c>
      <c r="E117" s="149">
        <f>($N$52-0.065)*B117</f>
        <v>0.59328718428570359</v>
      </c>
      <c r="F117" s="149">
        <f>D117+E117</f>
        <v>1.8864454438750284</v>
      </c>
      <c r="G117" s="243">
        <f>F117/B117*100</f>
        <v>10.641868008822588</v>
      </c>
      <c r="H117" s="25"/>
    </row>
    <row r="118" spans="1:8" x14ac:dyDescent="0.2">
      <c r="A118" s="56" t="s">
        <v>39</v>
      </c>
      <c r="B118" s="82">
        <f>259.491998810725*0.32*0.848</f>
        <v>70.41574879727834</v>
      </c>
      <c r="C118" s="243">
        <f>0.772+6.5</f>
        <v>7.2720000000000002</v>
      </c>
      <c r="D118" s="194">
        <f>C118*B118/100</f>
        <v>5.1206332525380809</v>
      </c>
      <c r="E118" s="149">
        <f>($N$52-0.065)*B118</f>
        <v>2.3567221696689855</v>
      </c>
      <c r="F118" s="149">
        <f>D118+E118</f>
        <v>7.4773554222070668</v>
      </c>
      <c r="G118" s="243">
        <f>F118/B118*100</f>
        <v>10.61886800882259</v>
      </c>
      <c r="H118" s="25"/>
    </row>
    <row r="119" spans="1:8" x14ac:dyDescent="0.2">
      <c r="A119" s="56" t="s">
        <v>40</v>
      </c>
      <c r="B119" s="86">
        <f>64.715272266367*0.32*0.848</f>
        <v>17.561136282201346</v>
      </c>
      <c r="C119" s="243">
        <f>0.769+6.5</f>
        <v>7.2690000000000001</v>
      </c>
      <c r="D119" s="194">
        <f>C119*B119/100</f>
        <v>1.2765189963532158</v>
      </c>
      <c r="E119" s="149">
        <f>($N$52-0.065)*B119</f>
        <v>0.58774805221473336</v>
      </c>
      <c r="F119" s="149">
        <f>D119+E119</f>
        <v>1.8642670485679491</v>
      </c>
      <c r="G119" s="243">
        <f>F119/B119*100</f>
        <v>10.615868008822588</v>
      </c>
      <c r="H119" s="25"/>
    </row>
    <row r="120" spans="1:8" x14ac:dyDescent="0.2">
      <c r="A120" s="56"/>
      <c r="B120" s="82"/>
      <c r="C120" s="250"/>
      <c r="D120" s="194"/>
      <c r="E120" s="226"/>
      <c r="F120" s="149"/>
      <c r="G120" s="243"/>
      <c r="H120" s="25"/>
    </row>
    <row r="121" spans="1:8" x14ac:dyDescent="0.2">
      <c r="A121" s="28" t="s">
        <v>30</v>
      </c>
      <c r="B121" s="86"/>
      <c r="C121" s="250"/>
      <c r="D121" s="194"/>
      <c r="E121" s="226"/>
      <c r="F121" s="149"/>
      <c r="G121" s="243"/>
      <c r="H121" s="25"/>
    </row>
    <row r="122" spans="1:8" x14ac:dyDescent="0.2">
      <c r="A122" s="56" t="s">
        <v>21</v>
      </c>
      <c r="B122" s="82">
        <f>1420.13991467841*0.32*0.848</f>
        <v>385.3691672471333</v>
      </c>
      <c r="C122" s="243">
        <f>0.993+6.5</f>
        <v>7.4930000000000003</v>
      </c>
      <c r="D122" s="194">
        <f>C122*B122/100</f>
        <v>28.875711701827701</v>
      </c>
      <c r="E122" s="149">
        <f>($N$53-0.065)*B122</f>
        <v>2.0558564471677561</v>
      </c>
      <c r="F122" s="149">
        <f>D122+E122</f>
        <v>30.931568148995456</v>
      </c>
      <c r="G122" s="243">
        <f>F122/B122*100</f>
        <v>8.0264771491589926</v>
      </c>
      <c r="H122" s="25"/>
    </row>
    <row r="123" spans="1:8" x14ac:dyDescent="0.2">
      <c r="A123" s="56" t="s">
        <v>22</v>
      </c>
      <c r="B123" s="82">
        <f>229.369250081656*0.32*0.848</f>
        <v>62.241639702158167</v>
      </c>
      <c r="C123" s="243">
        <f>0.981+6.5</f>
        <v>7.4809999999999999</v>
      </c>
      <c r="D123" s="194">
        <f>C123*B123/100</f>
        <v>4.6562970661184524</v>
      </c>
      <c r="E123" s="149">
        <f>($N$53-0.065)*B123</f>
        <v>0.33204492507288491</v>
      </c>
      <c r="F123" s="149">
        <f>D123+E123</f>
        <v>4.9883419911913371</v>
      </c>
      <c r="G123" s="243">
        <f>F123/B123*100</f>
        <v>8.0144771491589921</v>
      </c>
      <c r="H123" s="25"/>
    </row>
    <row r="124" spans="1:8" x14ac:dyDescent="0.2">
      <c r="A124" s="56" t="s">
        <v>38</v>
      </c>
      <c r="B124" s="82">
        <f>68.16410272*0.32*0.848</f>
        <v>18.497010914099203</v>
      </c>
      <c r="C124" s="243">
        <f>0.714+6.5</f>
        <v>7.2140000000000004</v>
      </c>
      <c r="D124" s="194">
        <f>C124*B124/100</f>
        <v>1.3343743673431165</v>
      </c>
      <c r="E124" s="149">
        <f>($N$53-0.065)*B124</f>
        <v>9.8677326504164095E-2</v>
      </c>
      <c r="F124" s="149">
        <f>D124+E124</f>
        <v>1.4330516938472806</v>
      </c>
      <c r="G124" s="243">
        <f>F124/B124*100</f>
        <v>7.7474771491589918</v>
      </c>
      <c r="H124" s="25"/>
    </row>
    <row r="125" spans="1:8" x14ac:dyDescent="0.2">
      <c r="A125" s="56" t="s">
        <v>39</v>
      </c>
      <c r="B125" s="82">
        <f>292.627252713928*0.32*0.848</f>
        <v>79.407331296451488</v>
      </c>
      <c r="C125" s="243">
        <f>0.7+6.5</f>
        <v>7.2</v>
      </c>
      <c r="D125" s="194">
        <f>C125*B125/100</f>
        <v>5.7173278533445071</v>
      </c>
      <c r="E125" s="149">
        <f>($N$53-0.065)*B125</f>
        <v>0.42361996722354572</v>
      </c>
      <c r="F125" s="149">
        <f>D125+E125</f>
        <v>6.1409478205680532</v>
      </c>
      <c r="G125" s="243">
        <f>F125/B125*100</f>
        <v>7.7334771491589933</v>
      </c>
      <c r="H125" s="25"/>
    </row>
    <row r="126" spans="1:8" x14ac:dyDescent="0.2">
      <c r="A126" s="56" t="s">
        <v>40</v>
      </c>
      <c r="B126" s="82">
        <f>83.1448793620971*0.32*0.848</f>
        <v>22.56219446369867</v>
      </c>
      <c r="C126" s="243">
        <f>0.698+6.5</f>
        <v>7.1980000000000004</v>
      </c>
      <c r="D126" s="194">
        <f>C126*B126/100</f>
        <v>1.6240267574970304</v>
      </c>
      <c r="E126" s="149">
        <f>($N$53-0.065)*B126</f>
        <v>0.12036415181264767</v>
      </c>
      <c r="F126" s="149">
        <f>D126+E126</f>
        <v>1.7443909093096781</v>
      </c>
      <c r="G126" s="243">
        <f>F126/B126*100</f>
        <v>7.7314771491589926</v>
      </c>
      <c r="H126" s="25"/>
    </row>
    <row r="127" spans="1:8" x14ac:dyDescent="0.2">
      <c r="A127" s="56"/>
      <c r="B127" s="85"/>
      <c r="C127" s="250"/>
      <c r="D127" s="194"/>
      <c r="E127" s="226"/>
      <c r="F127" s="149"/>
      <c r="G127" s="250"/>
      <c r="H127" s="25"/>
    </row>
    <row r="128" spans="1:8" ht="13.5" thickBot="1" x14ac:dyDescent="0.25">
      <c r="A128" s="146" t="s">
        <v>50</v>
      </c>
      <c r="B128" s="178">
        <f>SUM(B68:B126)</f>
        <v>2179.3093528268769</v>
      </c>
      <c r="C128" s="242">
        <f>D128/B128*100</f>
        <v>10.006718417995733</v>
      </c>
      <c r="D128" s="229">
        <f>SUM(D53:D126)</f>
        <v>218.07735039443071</v>
      </c>
      <c r="E128" s="229">
        <f>SUM(E53:E126)</f>
        <v>60.198922890714726</v>
      </c>
      <c r="F128" s="229">
        <f>SUM(F53:F126)</f>
        <v>278.27627328514558</v>
      </c>
      <c r="G128" s="240">
        <f>F128/B128*100</f>
        <v>12.769012023198146</v>
      </c>
      <c r="H128" s="148">
        <f>(G128-C128)/C128</f>
        <v>0.27604390268789814</v>
      </c>
    </row>
    <row r="129" spans="1:8" ht="13.5" thickTop="1" x14ac:dyDescent="0.2">
      <c r="A129" s="72"/>
      <c r="B129" s="181"/>
      <c r="C129" s="181"/>
      <c r="D129" s="183"/>
      <c r="E129" s="228"/>
      <c r="F129" s="228"/>
      <c r="G129" s="181"/>
      <c r="H129" s="74"/>
    </row>
    <row r="130" spans="1:8" x14ac:dyDescent="0.2">
      <c r="A130" s="72"/>
      <c r="B130" s="264"/>
      <c r="C130" s="181"/>
      <c r="D130" s="183"/>
      <c r="E130" s="228"/>
      <c r="F130" s="260"/>
      <c r="G130" s="181"/>
      <c r="H130" s="74"/>
    </row>
    <row r="131" spans="1:8" x14ac:dyDescent="0.2">
      <c r="F131" s="114"/>
      <c r="H131" s="45" t="s">
        <v>131</v>
      </c>
    </row>
    <row r="132" spans="1:8" ht="20.25" x14ac:dyDescent="0.3">
      <c r="A132" s="312" t="s">
        <v>9</v>
      </c>
      <c r="B132" s="312"/>
      <c r="C132" s="312"/>
      <c r="D132" s="312"/>
      <c r="E132" s="312"/>
      <c r="F132" s="312"/>
      <c r="G132" s="312"/>
      <c r="H132" s="312"/>
    </row>
    <row r="133" spans="1:8" ht="20.25" x14ac:dyDescent="0.3">
      <c r="A133" s="312" t="s">
        <v>155</v>
      </c>
      <c r="B133" s="312"/>
      <c r="C133" s="312"/>
      <c r="D133" s="312"/>
      <c r="E133" s="312"/>
      <c r="F133" s="312"/>
      <c r="G133" s="312"/>
      <c r="H133" s="312"/>
    </row>
    <row r="134" spans="1:8" ht="13.5" thickBot="1" x14ac:dyDescent="0.25">
      <c r="A134" s="63"/>
      <c r="B134" s="63"/>
      <c r="C134" s="63"/>
      <c r="D134" s="63"/>
      <c r="E134" s="63"/>
      <c r="F134" s="63"/>
      <c r="G134" s="63"/>
      <c r="H134" s="63"/>
    </row>
    <row r="135" spans="1:8" ht="64.5" thickBot="1" x14ac:dyDescent="0.25">
      <c r="A135" s="2" t="s">
        <v>0</v>
      </c>
      <c r="B135" s="3" t="s">
        <v>46</v>
      </c>
      <c r="C135" s="3" t="s">
        <v>199</v>
      </c>
      <c r="D135" s="3" t="s">
        <v>51</v>
      </c>
      <c r="E135" s="3" t="s">
        <v>84</v>
      </c>
      <c r="F135" s="3" t="s">
        <v>6</v>
      </c>
      <c r="G135" s="3" t="s">
        <v>47</v>
      </c>
      <c r="H135" s="3" t="s">
        <v>48</v>
      </c>
    </row>
    <row r="136" spans="1:8" x14ac:dyDescent="0.2">
      <c r="A136" s="72"/>
      <c r="B136" s="181"/>
      <c r="C136" s="181"/>
      <c r="D136" s="183"/>
      <c r="E136" s="228"/>
      <c r="F136" s="228"/>
      <c r="G136" s="181"/>
      <c r="H136" s="74"/>
    </row>
    <row r="137" spans="1:8" x14ac:dyDescent="0.2">
      <c r="A137" s="64" t="s">
        <v>31</v>
      </c>
      <c r="B137" s="83"/>
      <c r="C137" s="83"/>
      <c r="D137" s="182"/>
      <c r="E137" s="149"/>
      <c r="F137" s="149"/>
      <c r="G137" s="177"/>
      <c r="H137" s="12"/>
    </row>
    <row r="138" spans="1:8" x14ac:dyDescent="0.2">
      <c r="A138" s="64"/>
      <c r="B138" s="83"/>
      <c r="C138" s="83"/>
      <c r="D138" s="182"/>
      <c r="E138" s="149"/>
      <c r="F138" s="149"/>
      <c r="G138" s="177"/>
      <c r="H138" s="12"/>
    </row>
    <row r="139" spans="1:8" x14ac:dyDescent="0.2">
      <c r="A139" s="77" t="s">
        <v>13</v>
      </c>
      <c r="B139" s="83"/>
      <c r="C139" s="83"/>
      <c r="D139" s="182"/>
      <c r="E139" s="149"/>
      <c r="F139" s="149"/>
      <c r="G139" s="177"/>
      <c r="H139" s="12"/>
    </row>
    <row r="140" spans="1:8" x14ac:dyDescent="0.2">
      <c r="A140" s="12" t="s">
        <v>79</v>
      </c>
      <c r="B140" s="83"/>
      <c r="C140" s="83"/>
      <c r="D140" s="182"/>
      <c r="E140" s="149"/>
      <c r="F140" s="149"/>
      <c r="G140" s="177"/>
      <c r="H140" s="12"/>
    </row>
    <row r="141" spans="1:8" x14ac:dyDescent="0.2">
      <c r="A141" s="58" t="s">
        <v>33</v>
      </c>
      <c r="B141" s="83"/>
      <c r="C141" s="234">
        <f>D141/(B152+B157+B162)*100</f>
        <v>0.16553950905565484</v>
      </c>
      <c r="D141" s="266">
        <v>0.4496844170617546</v>
      </c>
      <c r="E141" s="221">
        <f>F141-D141</f>
        <v>0</v>
      </c>
      <c r="F141" s="221">
        <f>D141</f>
        <v>0.4496844170617546</v>
      </c>
      <c r="G141" s="235">
        <f>F141/(B152+B157+B162)*100</f>
        <v>0.16553950905565484</v>
      </c>
      <c r="H141" s="12"/>
    </row>
    <row r="142" spans="1:8" x14ac:dyDescent="0.2">
      <c r="A142" s="52" t="s">
        <v>34</v>
      </c>
      <c r="B142" s="83"/>
      <c r="C142" s="234">
        <f>D142/(B153+B158+B163)*100</f>
        <v>6.1909990041723664E-2</v>
      </c>
      <c r="D142" s="266">
        <v>7.7389680736697081E-3</v>
      </c>
      <c r="E142" s="221">
        <f>F142-D142</f>
        <v>0</v>
      </c>
      <c r="F142" s="221">
        <f>D142</f>
        <v>7.7389680736697081E-3</v>
      </c>
      <c r="G142" s="235">
        <f>F142/(B153+B158+B163)*100</f>
        <v>6.1909990041723664E-2</v>
      </c>
      <c r="H142" s="12"/>
    </row>
    <row r="143" spans="1:8" x14ac:dyDescent="0.2">
      <c r="A143" s="52" t="s">
        <v>35</v>
      </c>
      <c r="B143" s="83"/>
      <c r="C143" s="234">
        <f>D143/(B154+B159+B164)*100</f>
        <v>8.423875511735246E-2</v>
      </c>
      <c r="D143" s="266">
        <v>5.0371981544595741E-4</v>
      </c>
      <c r="E143" s="221">
        <f>F143-D143</f>
        <v>0</v>
      </c>
      <c r="F143" s="221">
        <f>D143</f>
        <v>5.0371981544595741E-4</v>
      </c>
      <c r="G143" s="235">
        <f>F143/(B154+B159+B164)*100</f>
        <v>8.423875511735246E-2</v>
      </c>
      <c r="H143" s="12"/>
    </row>
    <row r="144" spans="1:8" x14ac:dyDescent="0.2">
      <c r="A144" s="52"/>
      <c r="B144" s="83"/>
      <c r="C144" s="83"/>
      <c r="D144" s="266"/>
      <c r="E144" s="221"/>
      <c r="F144" s="221"/>
      <c r="G144" s="177"/>
      <c r="H144" s="12"/>
    </row>
    <row r="145" spans="1:8" x14ac:dyDescent="0.2">
      <c r="A145" s="12" t="s">
        <v>83</v>
      </c>
      <c r="B145" s="83"/>
      <c r="D145" s="266"/>
      <c r="E145" s="267"/>
      <c r="F145" s="267"/>
      <c r="G145" s="177"/>
      <c r="H145" s="12"/>
    </row>
    <row r="146" spans="1:8" x14ac:dyDescent="0.2">
      <c r="A146" s="58" t="s">
        <v>33</v>
      </c>
      <c r="B146" s="83"/>
      <c r="C146" s="234">
        <f>D146/(B152+B157+B162)*100</f>
        <v>3.7987559999999996</v>
      </c>
      <c r="D146" s="266">
        <v>10.319236701647624</v>
      </c>
      <c r="E146" s="221">
        <f>F146-D146</f>
        <v>0</v>
      </c>
      <c r="F146" s="267">
        <f>D146</f>
        <v>10.319236701647624</v>
      </c>
      <c r="G146" s="235">
        <f>F146/(B152+B157+B162)*100</f>
        <v>3.7987559999999996</v>
      </c>
      <c r="H146" s="12"/>
    </row>
    <row r="147" spans="1:8" x14ac:dyDescent="0.2">
      <c r="A147" s="52" t="s">
        <v>34</v>
      </c>
      <c r="B147" s="83"/>
      <c r="C147" s="234">
        <f>D147/(B153+B158+B163)*100</f>
        <v>3.1100447999999976</v>
      </c>
      <c r="D147" s="266">
        <v>0.38876661744997382</v>
      </c>
      <c r="E147" s="221">
        <f>F147-D147</f>
        <v>0</v>
      </c>
      <c r="F147" s="267">
        <f>D147</f>
        <v>0.38876661744997382</v>
      </c>
      <c r="G147" s="235">
        <f>F147/(B153+B158+B163)*100</f>
        <v>3.1100447999999976</v>
      </c>
      <c r="H147" s="12"/>
    </row>
    <row r="148" spans="1:8" x14ac:dyDescent="0.2">
      <c r="A148" s="52" t="s">
        <v>35</v>
      </c>
      <c r="B148" s="83"/>
      <c r="C148" s="234">
        <f>D148/(B154+B159+B164)*100</f>
        <v>0.5824412000000001</v>
      </c>
      <c r="D148" s="266">
        <v>3.4828051929709342E-3</v>
      </c>
      <c r="E148" s="221">
        <f>F148-D148</f>
        <v>0</v>
      </c>
      <c r="F148" s="267">
        <f>D148</f>
        <v>3.4828051929709342E-3</v>
      </c>
      <c r="G148" s="235">
        <f>F148/(B154+B159+B164)*100</f>
        <v>0.5824412000000001</v>
      </c>
      <c r="H148" s="12"/>
    </row>
    <row r="149" spans="1:8" x14ac:dyDescent="0.2">
      <c r="A149" s="52"/>
      <c r="B149" s="83"/>
      <c r="C149" s="83"/>
      <c r="D149" s="194"/>
      <c r="E149" s="149"/>
      <c r="F149" s="149"/>
      <c r="G149" s="177"/>
      <c r="H149" s="12"/>
    </row>
    <row r="150" spans="1:8" x14ac:dyDescent="0.2">
      <c r="A150" s="63" t="s">
        <v>12</v>
      </c>
      <c r="B150" s="83"/>
      <c r="C150" s="83"/>
      <c r="D150" s="194"/>
      <c r="E150" s="149"/>
      <c r="F150" s="149"/>
      <c r="G150" s="177"/>
      <c r="H150" s="12"/>
    </row>
    <row r="151" spans="1:8" x14ac:dyDescent="0.2">
      <c r="A151" s="12" t="s">
        <v>32</v>
      </c>
      <c r="B151" s="83"/>
      <c r="C151" s="173"/>
      <c r="D151" s="24"/>
      <c r="E151" s="24"/>
      <c r="F151" s="24"/>
      <c r="G151" s="173"/>
      <c r="H151" s="23"/>
    </row>
    <row r="152" spans="1:8" x14ac:dyDescent="0.2">
      <c r="A152" s="58" t="s">
        <v>33</v>
      </c>
      <c r="B152" s="84">
        <f>112.939299431931*0.57*0.848</f>
        <v>54.590339773418165</v>
      </c>
      <c r="C152" s="243">
        <f>2.18+6.5</f>
        <v>8.68</v>
      </c>
      <c r="D152" s="149">
        <f>B152*C152/100</f>
        <v>4.7384414923326963</v>
      </c>
      <c r="E152" s="149">
        <f>($N$51-0.065)*B152</f>
        <v>4.1308260619510584</v>
      </c>
      <c r="F152" s="149">
        <f>D152+E152</f>
        <v>8.8692675542837556</v>
      </c>
      <c r="G152" s="243">
        <f>F152/B152*100</f>
        <v>16.246954298317988</v>
      </c>
      <c r="H152" s="23"/>
    </row>
    <row r="153" spans="1:8" x14ac:dyDescent="0.2">
      <c r="A153" s="52" t="s">
        <v>34</v>
      </c>
      <c r="B153" s="84">
        <f>4.68908108215586*0.57*0.848</f>
        <v>2.2665142318708562</v>
      </c>
      <c r="C153" s="245">
        <f>2.129+6.5</f>
        <v>8.6289999999999996</v>
      </c>
      <c r="D153" s="149">
        <f>B153*C153/100</f>
        <v>0.19557751306813617</v>
      </c>
      <c r="E153" s="149">
        <f>($N$51-0.065)*B153</f>
        <v>0.17150609609054063</v>
      </c>
      <c r="F153" s="149">
        <f>D153+E153</f>
        <v>0.36708360915867677</v>
      </c>
      <c r="G153" s="243">
        <f>F153/B153*100</f>
        <v>16.195954298317982</v>
      </c>
      <c r="H153" s="31"/>
    </row>
    <row r="154" spans="1:8" x14ac:dyDescent="0.2">
      <c r="A154" s="52" t="s">
        <v>35</v>
      </c>
      <c r="B154" s="84">
        <f>0.184125685689439*0.57*0.848</f>
        <v>8.8998991434847213E-2</v>
      </c>
      <c r="C154" s="245">
        <f>0.996+6.5</f>
        <v>7.4960000000000004</v>
      </c>
      <c r="D154" s="149">
        <f>B154*C154/100</f>
        <v>6.671364397956148E-3</v>
      </c>
      <c r="E154" s="149">
        <f>($N$51-0.065)*B154</f>
        <v>6.7345130078388261E-3</v>
      </c>
      <c r="F154" s="149">
        <f>D154+E154</f>
        <v>1.3405877405794974E-2</v>
      </c>
      <c r="G154" s="243">
        <f>F154/B154*100</f>
        <v>15.062954298317985</v>
      </c>
      <c r="H154" s="31"/>
    </row>
    <row r="155" spans="1:8" x14ac:dyDescent="0.2">
      <c r="A155" s="52"/>
      <c r="B155" s="83"/>
      <c r="C155" s="245"/>
      <c r="D155" s="149"/>
      <c r="E155" s="151"/>
      <c r="F155" s="149"/>
      <c r="G155" s="243"/>
      <c r="H155" s="31"/>
    </row>
    <row r="156" spans="1:8" x14ac:dyDescent="0.2">
      <c r="A156" s="28" t="s">
        <v>36</v>
      </c>
      <c r="B156" s="83"/>
      <c r="C156" s="245"/>
      <c r="D156" s="149"/>
      <c r="E156" s="151"/>
      <c r="F156" s="149"/>
      <c r="G156" s="243"/>
      <c r="H156" s="31"/>
    </row>
    <row r="157" spans="1:8" x14ac:dyDescent="0.2">
      <c r="A157" s="52" t="s">
        <v>33</v>
      </c>
      <c r="B157" s="84">
        <f>249.756808230223*0.57*0.848</f>
        <v>120.72245082616057</v>
      </c>
      <c r="C157" s="245">
        <f>1.54+6.5</f>
        <v>8.0399999999999991</v>
      </c>
      <c r="D157" s="149">
        <f>B157*C157/100</f>
        <v>9.7060850464233095</v>
      </c>
      <c r="E157" s="149">
        <f>($N$52-0.065)*B157</f>
        <v>4.0404210861673491</v>
      </c>
      <c r="F157" s="149">
        <f>D157+E157</f>
        <v>13.746506132590659</v>
      </c>
      <c r="G157" s="243">
        <f>F157/B157*100</f>
        <v>11.386868008822589</v>
      </c>
      <c r="H157" s="31"/>
    </row>
    <row r="158" spans="1:8" x14ac:dyDescent="0.2">
      <c r="A158" s="52" t="s">
        <v>34</v>
      </c>
      <c r="B158" s="84">
        <f>11.4248313873357*0.57*0.848</f>
        <v>5.5223064993825837</v>
      </c>
      <c r="C158" s="245">
        <f>1.513+6.5</f>
        <v>8.0129999999999999</v>
      </c>
      <c r="D158" s="149">
        <f>B158*C158/100</f>
        <v>0.4425024197955264</v>
      </c>
      <c r="E158" s="149">
        <f>($N$52-0.065)*B158</f>
        <v>0.18482430957696627</v>
      </c>
      <c r="F158" s="149">
        <f>D158+E158</f>
        <v>0.62732672937249268</v>
      </c>
      <c r="G158" s="243">
        <f>F158/B158*100</f>
        <v>11.359868008822588</v>
      </c>
      <c r="H158" s="31"/>
    </row>
    <row r="159" spans="1:8" x14ac:dyDescent="0.2">
      <c r="A159" s="52" t="s">
        <v>35</v>
      </c>
      <c r="B159" s="84">
        <f>0.41777019039294*0.57*0.848</f>
        <v>0.20193339922833145</v>
      </c>
      <c r="C159" s="245">
        <f>0.78+6.5</f>
        <v>7.28</v>
      </c>
      <c r="D159" s="149">
        <f>B159*C159/100</f>
        <v>1.470075146382253E-2</v>
      </c>
      <c r="E159" s="149">
        <f>($N$52-0.065)*B159</f>
        <v>6.7584443379010255E-3</v>
      </c>
      <c r="F159" s="149">
        <f>D159+E159</f>
        <v>2.1459195801723556E-2</v>
      </c>
      <c r="G159" s="243">
        <f>F159/B159*100</f>
        <v>10.626868008822589</v>
      </c>
      <c r="H159" s="31"/>
    </row>
    <row r="160" spans="1:8" x14ac:dyDescent="0.2">
      <c r="D160" s="114"/>
      <c r="E160" s="114"/>
      <c r="F160" s="114"/>
    </row>
    <row r="161" spans="1:8" x14ac:dyDescent="0.2">
      <c r="A161" s="54" t="s">
        <v>37</v>
      </c>
      <c r="B161" s="83"/>
      <c r="C161" s="83"/>
      <c r="D161" s="149"/>
      <c r="E161" s="268"/>
      <c r="F161" s="149"/>
      <c r="G161" s="82"/>
    </row>
    <row r="162" spans="1:8" x14ac:dyDescent="0.2">
      <c r="A162" s="45" t="s">
        <v>33</v>
      </c>
      <c r="B162" s="84">
        <f>199.302794765846*0.57*0.848</f>
        <v>96.334998878019306</v>
      </c>
      <c r="C162" s="105">
        <f>1.303+6.5</f>
        <v>7.8029999999999999</v>
      </c>
      <c r="D162" s="149">
        <f>B162*C162/100</f>
        <v>7.5170199624518466</v>
      </c>
      <c r="E162" s="149">
        <f>($N$53-0.065)*B162</f>
        <v>0.51392520565680466</v>
      </c>
      <c r="F162" s="149">
        <f>D162+E162</f>
        <v>8.0309451681086514</v>
      </c>
      <c r="G162" s="243">
        <f>F162/B162*100</f>
        <v>8.3364771491589931</v>
      </c>
    </row>
    <row r="163" spans="1:8" x14ac:dyDescent="0.2">
      <c r="A163" s="45" t="s">
        <v>34</v>
      </c>
      <c r="B163" s="84">
        <f>9.74746260030846*0.57*0.848</f>
        <v>4.7115335224850963</v>
      </c>
      <c r="C163" s="105">
        <f>1.284+6.5</f>
        <v>7.7839999999999998</v>
      </c>
      <c r="D163" s="149">
        <f>B163*C163/100</f>
        <v>0.36674576939023984</v>
      </c>
      <c r="E163" s="149">
        <f>($N$53-0.065)*B163</f>
        <v>2.5134954717423743E-2</v>
      </c>
      <c r="F163" s="149">
        <f>D163+E163</f>
        <v>0.39188072410766356</v>
      </c>
      <c r="G163" s="243">
        <f>F163/B163*100</f>
        <v>8.3174771491589894</v>
      </c>
    </row>
    <row r="164" spans="1:8" x14ac:dyDescent="0.2">
      <c r="A164" s="45" t="s">
        <v>35</v>
      </c>
      <c r="B164" s="84">
        <f>0.635208626117621*0.57*0.848</f>
        <v>0.3070344415202132</v>
      </c>
      <c r="C164" s="105">
        <f>0.707+6.5</f>
        <v>7.2069999999999999</v>
      </c>
      <c r="D164" s="149">
        <f>B164*C164/100</f>
        <v>2.2127972200361765E-2</v>
      </c>
      <c r="E164" s="149">
        <f>($N$53-0.065)*B164</f>
        <v>1.6379585855582669E-3</v>
      </c>
      <c r="F164" s="149">
        <f>D164+E164</f>
        <v>2.3765930785920032E-2</v>
      </c>
      <c r="G164" s="243">
        <f>F164/B164*100</f>
        <v>7.7404771491589921</v>
      </c>
    </row>
    <row r="165" spans="1:8" x14ac:dyDescent="0.2">
      <c r="A165" s="45"/>
      <c r="B165" s="83"/>
      <c r="C165" s="105"/>
      <c r="D165" s="114"/>
      <c r="E165" s="268"/>
      <c r="F165" s="114"/>
      <c r="G165" s="243"/>
    </row>
    <row r="166" spans="1:8" ht="13.5" thickBot="1" x14ac:dyDescent="0.25">
      <c r="A166" s="162" t="s">
        <v>56</v>
      </c>
      <c r="B166" s="158">
        <f>SUM(B152:B164)</f>
        <v>284.74611056351995</v>
      </c>
      <c r="C166" s="261">
        <f>D166/B166*100</f>
        <v>12.003424894241276</v>
      </c>
      <c r="D166" s="269">
        <f>SUM(D141:D164)</f>
        <v>34.17928552076534</v>
      </c>
      <c r="E166" s="269">
        <f>SUM(E141:E164)</f>
        <v>9.0817686300914389</v>
      </c>
      <c r="F166" s="269">
        <f>SUM(F141:F164)</f>
        <v>43.261054150856779</v>
      </c>
      <c r="G166" s="261">
        <f>F166/B166*100</f>
        <v>15.192851647821293</v>
      </c>
      <c r="H166" s="148">
        <f>(G166-C166)/C166</f>
        <v>0.26570972715546931</v>
      </c>
    </row>
    <row r="167" spans="1:8" ht="13.5" thickTop="1" x14ac:dyDescent="0.2">
      <c r="C167" s="113"/>
      <c r="D167" s="163"/>
      <c r="E167" s="163"/>
      <c r="F167" s="163"/>
      <c r="G167" s="113"/>
    </row>
    <row r="168" spans="1:8" x14ac:dyDescent="0.2">
      <c r="C168" s="113"/>
      <c r="D168" s="163"/>
      <c r="E168" s="164"/>
      <c r="F168" s="163"/>
      <c r="G168" s="113"/>
    </row>
    <row r="169" spans="1:8" ht="13.5" thickBot="1" x14ac:dyDescent="0.25">
      <c r="A169" s="33"/>
      <c r="B169" s="33"/>
      <c r="C169" s="262"/>
      <c r="D169" s="230"/>
      <c r="E169" s="231"/>
      <c r="F169" s="230"/>
      <c r="G169" s="262"/>
      <c r="H169" s="33"/>
    </row>
    <row r="170" spans="1:8" ht="13.5" thickBot="1" x14ac:dyDescent="0.25">
      <c r="A170" s="69" t="s">
        <v>161</v>
      </c>
      <c r="B170" s="175">
        <f>B33+B46+B128+B166</f>
        <v>2641.9026534703967</v>
      </c>
      <c r="C170" s="263">
        <f>D170/B170*100</f>
        <v>10.399383540806603</v>
      </c>
      <c r="D170" s="224">
        <f>D33+D46+D128+D166</f>
        <v>274.74158970913334</v>
      </c>
      <c r="E170" s="224">
        <f>E33+E46+E128+E166</f>
        <v>74.223795297894839</v>
      </c>
      <c r="F170" s="224">
        <f>F33+F46+F128+F166</f>
        <v>348.96538500702832</v>
      </c>
      <c r="G170" s="263">
        <f>F170/B170*100</f>
        <v>13.20886613852438</v>
      </c>
      <c r="H170" s="232">
        <f>(G170-C170)/C170</f>
        <v>0.27015857110121222</v>
      </c>
    </row>
    <row r="171" spans="1:8" x14ac:dyDescent="0.2">
      <c r="E171" s="34"/>
    </row>
    <row r="172" spans="1:8" x14ac:dyDescent="0.2">
      <c r="B172" s="108"/>
      <c r="C172" s="108"/>
      <c r="E172" s="34"/>
      <c r="F172" s="113"/>
      <c r="G172" s="108"/>
    </row>
    <row r="173" spans="1:8" x14ac:dyDescent="0.2">
      <c r="B173" s="108"/>
      <c r="E173" s="34"/>
    </row>
    <row r="174" spans="1:8" x14ac:dyDescent="0.2">
      <c r="A174" s="6" t="s">
        <v>127</v>
      </c>
      <c r="E174" s="34"/>
    </row>
    <row r="175" spans="1:8" x14ac:dyDescent="0.2">
      <c r="A175" s="31" t="s">
        <v>141</v>
      </c>
      <c r="E175" s="34"/>
    </row>
    <row r="176" spans="1:8" x14ac:dyDescent="0.2">
      <c r="A176" s="31" t="s">
        <v>143</v>
      </c>
      <c r="E176" s="34"/>
    </row>
    <row r="177" spans="1:5" x14ac:dyDescent="0.2">
      <c r="A177" s="189" t="s">
        <v>168</v>
      </c>
      <c r="E177" s="34"/>
    </row>
    <row r="178" spans="1:5" x14ac:dyDescent="0.2">
      <c r="A178" s="189" t="s">
        <v>167</v>
      </c>
      <c r="E178" s="34"/>
    </row>
    <row r="179" spans="1:5" x14ac:dyDescent="0.2">
      <c r="E179" s="34"/>
    </row>
    <row r="180" spans="1:5" x14ac:dyDescent="0.2">
      <c r="B180" s="108"/>
      <c r="E180" s="34"/>
    </row>
    <row r="181" spans="1:5" x14ac:dyDescent="0.2">
      <c r="E181" s="34"/>
    </row>
    <row r="182" spans="1:5" x14ac:dyDescent="0.2">
      <c r="E182" s="34"/>
    </row>
    <row r="184" spans="1:5" x14ac:dyDescent="0.2">
      <c r="E184" s="34"/>
    </row>
    <row r="185" spans="1:5" x14ac:dyDescent="0.2">
      <c r="E185" s="34"/>
    </row>
    <row r="186" spans="1:5" x14ac:dyDescent="0.2">
      <c r="E186" s="34"/>
    </row>
    <row r="187" spans="1:5" x14ac:dyDescent="0.2">
      <c r="E187" s="34"/>
    </row>
    <row r="188" spans="1:5" x14ac:dyDescent="0.2">
      <c r="E188" s="34"/>
    </row>
    <row r="189" spans="1:5" x14ac:dyDescent="0.2">
      <c r="E189" s="34"/>
    </row>
    <row r="190" spans="1:5" x14ac:dyDescent="0.2">
      <c r="E190" s="34"/>
    </row>
    <row r="191" spans="1:5" x14ac:dyDescent="0.2">
      <c r="E191" s="34"/>
    </row>
    <row r="192" spans="1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</sheetData>
  <mergeCells count="10">
    <mergeCell ref="A85:H85"/>
    <mergeCell ref="A133:H133"/>
    <mergeCell ref="A2:H2"/>
    <mergeCell ref="A84:H84"/>
    <mergeCell ref="A3:H3"/>
    <mergeCell ref="A132:H132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55"/>
  <sheetViews>
    <sheetView topLeftCell="B45" zoomScaleNormal="100" workbookViewId="0">
      <selection activeCell="E62" sqref="E62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16384" width="2.140625" style="6"/>
  </cols>
  <sheetData>
    <row r="1" spans="1:8" x14ac:dyDescent="0.2">
      <c r="H1" s="45" t="s">
        <v>27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206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67" t="s">
        <v>207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208</v>
      </c>
      <c r="B7" s="31"/>
      <c r="C7" s="299">
        <f>G51-C51</f>
        <v>2.8084769859103922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209</v>
      </c>
      <c r="B9" s="33"/>
      <c r="C9" s="219">
        <f>E51</f>
        <v>2.6598936187176614</v>
      </c>
      <c r="E9" s="38"/>
      <c r="F9" s="38"/>
      <c r="G9" s="292"/>
      <c r="H9" s="291"/>
    </row>
    <row r="10" spans="1:8" ht="13.5" thickBot="1" x14ac:dyDescent="0.25">
      <c r="A10" s="47"/>
      <c r="B10" s="31"/>
      <c r="C10" s="48"/>
      <c r="D10" s="7"/>
      <c r="E10" s="7"/>
      <c r="F10" s="7"/>
      <c r="G10" s="7"/>
      <c r="H10" s="7"/>
    </row>
    <row r="11" spans="1:8" ht="64.5" thickBot="1" x14ac:dyDescent="0.25">
      <c r="A11" s="2" t="s">
        <v>0</v>
      </c>
      <c r="B11" s="9" t="s">
        <v>46</v>
      </c>
      <c r="C11" s="9" t="s">
        <v>200</v>
      </c>
      <c r="D11" s="9" t="s">
        <v>51</v>
      </c>
      <c r="E11" s="9" t="s">
        <v>220</v>
      </c>
      <c r="F11" s="9" t="s">
        <v>6</v>
      </c>
      <c r="G11" s="9" t="s">
        <v>47</v>
      </c>
      <c r="H11" s="3" t="s">
        <v>48</v>
      </c>
    </row>
    <row r="12" spans="1:8" x14ac:dyDescent="0.2">
      <c r="A12" s="10"/>
      <c r="B12" s="11"/>
      <c r="C12" s="11"/>
      <c r="D12" s="11"/>
      <c r="E12" s="11"/>
      <c r="F12" s="11"/>
      <c r="G12" s="11"/>
      <c r="H12" s="10"/>
    </row>
    <row r="13" spans="1:8" x14ac:dyDescent="0.2">
      <c r="A13" s="44" t="s">
        <v>210</v>
      </c>
      <c r="B13" s="13"/>
      <c r="C13" s="14"/>
      <c r="D13" s="15"/>
      <c r="E13" s="16"/>
      <c r="F13" s="16"/>
      <c r="G13" s="14"/>
      <c r="H13" s="10"/>
    </row>
    <row r="14" spans="1:8" x14ac:dyDescent="0.2">
      <c r="A14" s="79" t="s">
        <v>13</v>
      </c>
      <c r="B14" s="83"/>
      <c r="C14" s="234">
        <f>D14/B18*100</f>
        <v>14.702343669454168</v>
      </c>
      <c r="D14" s="194">
        <v>3.4278915404499988</v>
      </c>
      <c r="E14" s="149">
        <f>F14-D14</f>
        <v>0</v>
      </c>
      <c r="F14" s="149">
        <f>D14</f>
        <v>3.4278915404499988</v>
      </c>
      <c r="G14" s="234">
        <f>F14/B18*100</f>
        <v>14.702343669454168</v>
      </c>
      <c r="H14" s="18"/>
    </row>
    <row r="15" spans="1:8" x14ac:dyDescent="0.2">
      <c r="A15" s="79"/>
      <c r="B15" s="83"/>
      <c r="C15" s="234"/>
      <c r="D15" s="194"/>
      <c r="E15" s="149"/>
      <c r="F15" s="149"/>
      <c r="G15" s="304"/>
      <c r="H15" s="18"/>
    </row>
    <row r="16" spans="1:8" x14ac:dyDescent="0.2">
      <c r="A16" s="63" t="s">
        <v>12</v>
      </c>
      <c r="B16" s="83">
        <v>23.315272840287655</v>
      </c>
      <c r="C16" s="234">
        <v>6.5</v>
      </c>
      <c r="D16" s="194">
        <f>C16*B16/100</f>
        <v>1.5154927346186975</v>
      </c>
      <c r="E16" s="149">
        <f>Residential!$N$58*B16</f>
        <v>0.65480407192169421</v>
      </c>
      <c r="F16" s="149">
        <f>D16+E16</f>
        <v>2.1702968065403918</v>
      </c>
      <c r="G16" s="234">
        <f>F16/B16*100</f>
        <v>9.3084769859103886</v>
      </c>
      <c r="H16" s="19"/>
    </row>
    <row r="17" spans="1:8" x14ac:dyDescent="0.2">
      <c r="A17" s="12"/>
      <c r="B17" s="83"/>
      <c r="C17" s="234"/>
      <c r="D17" s="194"/>
      <c r="E17" s="149"/>
      <c r="F17" s="149"/>
      <c r="G17" s="234"/>
      <c r="H17" s="19"/>
    </row>
    <row r="18" spans="1:8" ht="13.5" thickBot="1" x14ac:dyDescent="0.25">
      <c r="A18" s="146"/>
      <c r="B18" s="166">
        <f>B16</f>
        <v>23.315272840287655</v>
      </c>
      <c r="C18" s="305">
        <f>D18/B18*100</f>
        <v>21.202343669454169</v>
      </c>
      <c r="D18" s="225">
        <f>D14+D16</f>
        <v>4.9433842750686967</v>
      </c>
      <c r="E18" s="225">
        <f>E16</f>
        <v>0.65480407192169421</v>
      </c>
      <c r="F18" s="225">
        <f>SUM(F14:F16)</f>
        <v>5.5981883469903906</v>
      </c>
      <c r="G18" s="305">
        <f>F18/B18*100</f>
        <v>24.010820655364558</v>
      </c>
      <c r="H18" s="106">
        <f>(G18-C18)/C18</f>
        <v>0.13246068593617366</v>
      </c>
    </row>
    <row r="19" spans="1:8" ht="13.5" thickTop="1" x14ac:dyDescent="0.2">
      <c r="A19" s="12"/>
      <c r="B19" s="173"/>
      <c r="C19" s="112"/>
      <c r="D19" s="24"/>
      <c r="E19" s="24"/>
      <c r="F19" s="24"/>
      <c r="G19" s="112"/>
      <c r="H19" s="23"/>
    </row>
    <row r="20" spans="1:8" x14ac:dyDescent="0.2">
      <c r="A20" s="44" t="s">
        <v>211</v>
      </c>
      <c r="B20" s="172"/>
      <c r="C20" s="112"/>
      <c r="D20" s="24"/>
      <c r="E20" s="24"/>
      <c r="F20" s="24"/>
      <c r="G20" s="112"/>
      <c r="H20" s="24"/>
    </row>
    <row r="21" spans="1:8" x14ac:dyDescent="0.2">
      <c r="A21" s="79" t="s">
        <v>13</v>
      </c>
      <c r="B21" s="172"/>
      <c r="C21" s="145">
        <f>D21/B25*100</f>
        <v>2.9399955268368907</v>
      </c>
      <c r="D21" s="149">
        <v>1.5436219818499994</v>
      </c>
      <c r="E21" s="149">
        <f>F21-D21</f>
        <v>0</v>
      </c>
      <c r="F21" s="149">
        <f>D21</f>
        <v>1.5436219818499994</v>
      </c>
      <c r="G21" s="234">
        <f>F21/B25*100</f>
        <v>2.9399955268368907</v>
      </c>
      <c r="H21" s="18"/>
    </row>
    <row r="22" spans="1:8" x14ac:dyDescent="0.2">
      <c r="A22" s="79"/>
      <c r="B22" s="172"/>
      <c r="C22" s="112"/>
      <c r="D22" s="24"/>
      <c r="E22" s="149"/>
      <c r="F22" s="149"/>
      <c r="G22" s="304"/>
      <c r="H22" s="18"/>
    </row>
    <row r="23" spans="1:8" x14ac:dyDescent="0.2">
      <c r="A23" s="63" t="s">
        <v>12</v>
      </c>
      <c r="B23" s="82">
        <v>52.504228926863895</v>
      </c>
      <c r="C23" s="145">
        <v>6.5</v>
      </c>
      <c r="D23" s="149">
        <f>C23*B23/100</f>
        <v>3.4127748802461531</v>
      </c>
      <c r="E23" s="149">
        <f>Residential!$N$58*B23</f>
        <v>1.4745691860406775</v>
      </c>
      <c r="F23" s="149">
        <f>D23+E23</f>
        <v>4.8873440662868308</v>
      </c>
      <c r="G23" s="234">
        <f>F23/B23*100</f>
        <v>9.3084769859103886</v>
      </c>
      <c r="H23" s="19"/>
    </row>
    <row r="24" spans="1:8" x14ac:dyDescent="0.2">
      <c r="A24" s="12"/>
      <c r="B24" s="82"/>
      <c r="C24" s="306"/>
      <c r="D24" s="226"/>
      <c r="E24" s="149"/>
      <c r="F24" s="149"/>
      <c r="G24" s="234"/>
      <c r="H24" s="19"/>
    </row>
    <row r="25" spans="1:8" ht="13.5" thickBot="1" x14ac:dyDescent="0.25">
      <c r="A25" s="146" t="s">
        <v>212</v>
      </c>
      <c r="B25" s="166">
        <f>B23</f>
        <v>52.504228926863895</v>
      </c>
      <c r="C25" s="305">
        <f>D25/B25*100</f>
        <v>9.4399955268368902</v>
      </c>
      <c r="D25" s="225">
        <f>D21+D23</f>
        <v>4.9563968620961525</v>
      </c>
      <c r="E25" s="225">
        <f>E23</f>
        <v>1.4745691860406775</v>
      </c>
      <c r="F25" s="225">
        <f>SUM(F21:F23)</f>
        <v>6.4309660481368303</v>
      </c>
      <c r="G25" s="305">
        <f>F25/B25*100</f>
        <v>12.248472512747281</v>
      </c>
      <c r="H25" s="106">
        <f>(G25-C25)/C25</f>
        <v>0.29750829626202607</v>
      </c>
    </row>
    <row r="26" spans="1:8" ht="13.5" thickTop="1" x14ac:dyDescent="0.2">
      <c r="A26" s="56"/>
      <c r="B26" s="82"/>
      <c r="C26" s="306"/>
      <c r="D26" s="226"/>
      <c r="E26" s="226"/>
      <c r="F26" s="226"/>
      <c r="G26" s="306"/>
      <c r="H26" s="25"/>
    </row>
    <row r="27" spans="1:8" x14ac:dyDescent="0.2">
      <c r="A27" s="56"/>
      <c r="B27" s="82"/>
      <c r="C27" s="306"/>
      <c r="D27" s="226"/>
      <c r="E27" s="226"/>
      <c r="F27" s="226"/>
      <c r="G27" s="306"/>
      <c r="H27" s="25"/>
    </row>
    <row r="28" spans="1:8" x14ac:dyDescent="0.2">
      <c r="A28" s="44" t="s">
        <v>213</v>
      </c>
      <c r="B28" s="82"/>
      <c r="C28" s="306"/>
      <c r="D28" s="226"/>
      <c r="E28" s="226"/>
      <c r="F28" s="226"/>
      <c r="G28" s="306"/>
      <c r="H28" s="25"/>
    </row>
    <row r="29" spans="1:8" x14ac:dyDescent="0.2">
      <c r="A29" s="79" t="s">
        <v>13</v>
      </c>
      <c r="B29" s="82"/>
      <c r="C29" s="271">
        <f>D29/B33*100</f>
        <v>1.5941142422068344E-4</v>
      </c>
      <c r="D29" s="149">
        <v>6.3373214780296416E-6</v>
      </c>
      <c r="E29" s="149">
        <f>F29-D29</f>
        <v>0</v>
      </c>
      <c r="F29" s="149">
        <f>D29</f>
        <v>6.3373214780296416E-6</v>
      </c>
      <c r="G29" s="234">
        <f>F29/B33*100</f>
        <v>1.5941142422068344E-4</v>
      </c>
      <c r="H29" s="18"/>
    </row>
    <row r="30" spans="1:8" x14ac:dyDescent="0.2">
      <c r="A30" s="79"/>
      <c r="B30" s="82"/>
      <c r="C30" s="306"/>
      <c r="D30" s="226"/>
      <c r="E30" s="149"/>
      <c r="F30" s="149"/>
      <c r="G30" s="304"/>
      <c r="H30" s="18"/>
    </row>
    <row r="31" spans="1:8" x14ac:dyDescent="0.2">
      <c r="A31" s="63" t="s">
        <v>12</v>
      </c>
      <c r="B31" s="82">
        <v>3.975450008687258</v>
      </c>
      <c r="C31" s="145">
        <f>1.67129075+6.5</f>
        <v>8.1712907500000007</v>
      </c>
      <c r="D31" s="149">
        <f>C31*B31/100</f>
        <v>0.32484557883073611</v>
      </c>
      <c r="E31" s="149">
        <f>Residential!$N$58*B31</f>
        <v>0.11164959858035418</v>
      </c>
      <c r="F31" s="149">
        <f>D31+E31</f>
        <v>0.43649517741109028</v>
      </c>
      <c r="G31" s="234">
        <f>F31/B31*100</f>
        <v>10.979767735910388</v>
      </c>
      <c r="H31" s="19"/>
    </row>
    <row r="32" spans="1:8" x14ac:dyDescent="0.2">
      <c r="A32" s="12"/>
      <c r="B32" s="82"/>
      <c r="C32" s="306"/>
      <c r="D32" s="194"/>
      <c r="E32" s="149"/>
      <c r="F32" s="149"/>
      <c r="G32" s="234"/>
      <c r="H32" s="19"/>
    </row>
    <row r="33" spans="1:8" ht="13.5" thickBot="1" x14ac:dyDescent="0.25">
      <c r="A33" s="146" t="s">
        <v>214</v>
      </c>
      <c r="B33" s="166">
        <f>B31</f>
        <v>3.975450008687258</v>
      </c>
      <c r="C33" s="305">
        <f>D33/B33*100</f>
        <v>8.1714501614242216</v>
      </c>
      <c r="D33" s="229">
        <f>D29+D31</f>
        <v>0.32485191615221415</v>
      </c>
      <c r="E33" s="225">
        <f>E31</f>
        <v>0.11164959858035418</v>
      </c>
      <c r="F33" s="225">
        <f>SUM(F29:F31)</f>
        <v>0.43650151473256832</v>
      </c>
      <c r="G33" s="305">
        <f>F33/B33*100</f>
        <v>10.979927147334609</v>
      </c>
      <c r="H33" s="106">
        <f>(G33-C33)/C33</f>
        <v>0.3436938279534083</v>
      </c>
    </row>
    <row r="34" spans="1:8" ht="13.5" thickTop="1" x14ac:dyDescent="0.2">
      <c r="A34" s="56"/>
      <c r="B34" s="86"/>
      <c r="C34" s="234"/>
      <c r="D34" s="114"/>
      <c r="E34" s="114"/>
      <c r="F34" s="114"/>
      <c r="G34" s="234"/>
    </row>
    <row r="35" spans="1:8" x14ac:dyDescent="0.2">
      <c r="A35" s="44" t="s">
        <v>215</v>
      </c>
      <c r="B35" s="82"/>
      <c r="C35" s="306"/>
      <c r="D35" s="194"/>
      <c r="E35" s="226"/>
      <c r="F35" s="149"/>
      <c r="G35" s="306"/>
      <c r="H35" s="25"/>
    </row>
    <row r="36" spans="1:8" x14ac:dyDescent="0.2">
      <c r="A36" s="79" t="s">
        <v>13</v>
      </c>
      <c r="B36" s="82"/>
      <c r="C36" s="271">
        <f>D36/B40*100</f>
        <v>11.903182979222567</v>
      </c>
      <c r="D36" s="194">
        <v>0.98561633039999996</v>
      </c>
      <c r="E36" s="149">
        <f>F36-D36</f>
        <v>0</v>
      </c>
      <c r="F36" s="149">
        <f>D36</f>
        <v>0.98561633039999996</v>
      </c>
      <c r="G36" s="234">
        <f>F36/B40*100</f>
        <v>11.903182979222567</v>
      </c>
      <c r="H36" s="18"/>
    </row>
    <row r="37" spans="1:8" x14ac:dyDescent="0.2">
      <c r="A37" s="79"/>
      <c r="B37" s="82"/>
      <c r="C37" s="306"/>
      <c r="D37" s="194"/>
      <c r="E37" s="149"/>
      <c r="F37" s="149"/>
      <c r="G37" s="304"/>
      <c r="H37" s="18"/>
    </row>
    <row r="38" spans="1:8" x14ac:dyDescent="0.2">
      <c r="A38" s="63" t="s">
        <v>12</v>
      </c>
      <c r="B38" s="82">
        <v>8.2802753861755178</v>
      </c>
      <c r="C38" s="145">
        <v>6.5</v>
      </c>
      <c r="D38" s="194">
        <f>C38*B38/100</f>
        <v>0.53821790010140869</v>
      </c>
      <c r="E38" s="149">
        <f>Residential!$N$58*B38</f>
        <v>0.23254962859074199</v>
      </c>
      <c r="F38" s="149">
        <f>D38+E38</f>
        <v>0.77076752869215071</v>
      </c>
      <c r="G38" s="234">
        <f>F38/B38*100</f>
        <v>9.3084769859103904</v>
      </c>
      <c r="H38" s="19"/>
    </row>
    <row r="39" spans="1:8" x14ac:dyDescent="0.2">
      <c r="A39" s="12"/>
      <c r="B39" s="82"/>
      <c r="C39" s="306"/>
      <c r="D39" s="194"/>
      <c r="E39" s="149"/>
      <c r="F39" s="149"/>
      <c r="G39" s="234"/>
      <c r="H39" s="19"/>
    </row>
    <row r="40" spans="1:8" ht="13.5" thickBot="1" x14ac:dyDescent="0.25">
      <c r="A40" s="146" t="s">
        <v>216</v>
      </c>
      <c r="B40" s="166">
        <f>B38</f>
        <v>8.2802753861755178</v>
      </c>
      <c r="C40" s="305">
        <f>D40/B40*100</f>
        <v>18.403182979222564</v>
      </c>
      <c r="D40" s="229">
        <f>D36+D38</f>
        <v>1.5238342305014085</v>
      </c>
      <c r="E40" s="225">
        <f>E38</f>
        <v>0.23254962859074199</v>
      </c>
      <c r="F40" s="225">
        <f>SUM(F36:F38)</f>
        <v>1.7563838590921508</v>
      </c>
      <c r="G40" s="305">
        <f>F40/B40*100</f>
        <v>21.211659965132959</v>
      </c>
      <c r="H40" s="106">
        <f>(G40-C40)/C40</f>
        <v>0.15260821940863184</v>
      </c>
    </row>
    <row r="41" spans="1:8" ht="13.5" thickTop="1" x14ac:dyDescent="0.2">
      <c r="A41" s="12"/>
      <c r="B41" s="82"/>
      <c r="C41" s="306"/>
      <c r="D41" s="194"/>
      <c r="E41" s="226"/>
      <c r="F41" s="149"/>
      <c r="G41" s="306"/>
      <c r="H41" s="25"/>
    </row>
    <row r="42" spans="1:8" x14ac:dyDescent="0.2">
      <c r="A42" s="12"/>
      <c r="B42" s="82"/>
      <c r="C42" s="306"/>
      <c r="D42" s="194"/>
      <c r="E42" s="226"/>
      <c r="F42" s="149"/>
      <c r="G42" s="306"/>
      <c r="H42" s="25"/>
    </row>
    <row r="43" spans="1:8" x14ac:dyDescent="0.2">
      <c r="A43" s="44" t="s">
        <v>217</v>
      </c>
      <c r="B43" s="82"/>
      <c r="C43" s="306"/>
      <c r="D43" s="194"/>
      <c r="E43" s="226"/>
      <c r="F43" s="149"/>
      <c r="G43" s="306"/>
      <c r="H43" s="25"/>
    </row>
    <row r="44" spans="1:8" x14ac:dyDescent="0.2">
      <c r="A44" s="79" t="s">
        <v>13</v>
      </c>
      <c r="B44" s="82"/>
      <c r="C44" s="271">
        <f>D44/B48*100</f>
        <v>4.2510383101139446</v>
      </c>
      <c r="D44" s="194">
        <v>0.28202412938538429</v>
      </c>
      <c r="E44" s="149">
        <f>F44-D44</f>
        <v>0</v>
      </c>
      <c r="F44" s="149">
        <f>D44</f>
        <v>0.28202412938538429</v>
      </c>
      <c r="G44" s="234">
        <f>F44/B48*100</f>
        <v>4.2510383101139446</v>
      </c>
      <c r="H44" s="18"/>
    </row>
    <row r="45" spans="1:8" x14ac:dyDescent="0.2">
      <c r="A45" s="79"/>
      <c r="B45" s="82"/>
      <c r="C45" s="306"/>
      <c r="D45" s="194"/>
      <c r="E45" s="149"/>
      <c r="F45" s="149"/>
      <c r="G45" s="304"/>
      <c r="H45" s="18"/>
    </row>
    <row r="46" spans="1:8" x14ac:dyDescent="0.2">
      <c r="A46" s="63" t="s">
        <v>12</v>
      </c>
      <c r="B46" s="82">
        <v>6.6342410679856929</v>
      </c>
      <c r="C46" s="145">
        <v>6.5</v>
      </c>
      <c r="D46" s="194">
        <f>C46*B46/100</f>
        <v>0.43122566941907003</v>
      </c>
      <c r="E46" s="149">
        <f>Residential!$N$58*B46</f>
        <v>0.18632113358419378</v>
      </c>
      <c r="F46" s="149">
        <f>D46+E46</f>
        <v>0.61754680300326381</v>
      </c>
      <c r="G46" s="234">
        <f>F46/B46*100</f>
        <v>9.3084769859103886</v>
      </c>
      <c r="H46" s="19"/>
    </row>
    <row r="47" spans="1:8" x14ac:dyDescent="0.2">
      <c r="A47" s="53"/>
      <c r="B47" s="85"/>
      <c r="C47" s="306"/>
      <c r="D47" s="194"/>
      <c r="E47" s="149"/>
      <c r="F47" s="149"/>
      <c r="G47" s="234"/>
      <c r="H47" s="19"/>
    </row>
    <row r="48" spans="1:8" ht="13.5" thickBot="1" x14ac:dyDescent="0.25">
      <c r="A48" s="146" t="s">
        <v>218</v>
      </c>
      <c r="B48" s="166">
        <f>B46</f>
        <v>6.6342410679856929</v>
      </c>
      <c r="C48" s="305">
        <f>D48/B48*100</f>
        <v>10.751038310113945</v>
      </c>
      <c r="D48" s="229">
        <f>D44+D46</f>
        <v>0.71324979880445438</v>
      </c>
      <c r="E48" s="225">
        <f>E46</f>
        <v>0.18632113358419378</v>
      </c>
      <c r="F48" s="225">
        <f>SUM(F44:F46)</f>
        <v>0.89957093238864805</v>
      </c>
      <c r="G48" s="305">
        <f>F48/B48*100</f>
        <v>13.559515296024333</v>
      </c>
      <c r="H48" s="106">
        <f>(G48-C48)/C48</f>
        <v>0.26122844183973737</v>
      </c>
    </row>
    <row r="49" spans="1:8" ht="13.5" thickTop="1" x14ac:dyDescent="0.2">
      <c r="A49" s="12"/>
      <c r="B49" s="85"/>
      <c r="C49" s="306"/>
      <c r="D49" s="194"/>
      <c r="E49" s="226"/>
      <c r="F49" s="149"/>
      <c r="G49" s="306"/>
      <c r="H49" s="25"/>
    </row>
    <row r="50" spans="1:8" ht="13.5" thickBot="1" x14ac:dyDescent="0.25">
      <c r="A50" s="70"/>
      <c r="B50" s="174"/>
      <c r="C50" s="307"/>
      <c r="D50" s="222"/>
      <c r="E50" s="227"/>
      <c r="F50" s="223"/>
      <c r="G50" s="307"/>
      <c r="H50" s="71"/>
    </row>
    <row r="51" spans="1:8" ht="13.5" thickBot="1" x14ac:dyDescent="0.25">
      <c r="A51" s="116" t="s">
        <v>219</v>
      </c>
      <c r="B51" s="117">
        <f>B18+B25+B33+B40+B48</f>
        <v>94.709468230000027</v>
      </c>
      <c r="C51" s="308">
        <f>D51/B51*100</f>
        <v>13.157836608648143</v>
      </c>
      <c r="D51" s="287">
        <f>D18+D25+D33+D40+D48</f>
        <v>12.461717082622927</v>
      </c>
      <c r="E51" s="287">
        <f>E18+E25+E33+E40+E48</f>
        <v>2.6598936187176614</v>
      </c>
      <c r="F51" s="287">
        <f>F18+F25+F33+F40+F48</f>
        <v>15.12161070134059</v>
      </c>
      <c r="G51" s="308">
        <f>F51/B51*100</f>
        <v>15.966313594558535</v>
      </c>
      <c r="H51" s="118">
        <f>(G51-C51)/C51</f>
        <v>0.21344519387514568</v>
      </c>
    </row>
    <row r="52" spans="1:8" x14ac:dyDescent="0.2">
      <c r="A52" s="53"/>
      <c r="B52" s="83"/>
      <c r="C52" s="234"/>
      <c r="D52" s="194"/>
      <c r="E52" s="149"/>
      <c r="F52" s="149"/>
      <c r="G52" s="309"/>
      <c r="H52" s="12"/>
    </row>
    <row r="53" spans="1:8" x14ac:dyDescent="0.2">
      <c r="A53" s="53"/>
      <c r="B53" s="83"/>
      <c r="C53" s="234"/>
      <c r="D53" s="194"/>
      <c r="E53" s="149"/>
      <c r="F53" s="149"/>
      <c r="G53" s="309"/>
      <c r="H53" s="12"/>
    </row>
    <row r="54" spans="1:8" x14ac:dyDescent="0.2">
      <c r="A54" s="12"/>
      <c r="B54" s="173"/>
      <c r="C54" s="112"/>
      <c r="D54" s="24"/>
      <c r="E54" s="24"/>
      <c r="F54" s="24"/>
      <c r="G54" s="112"/>
      <c r="H54" s="23"/>
    </row>
    <row r="55" spans="1:8" x14ac:dyDescent="0.2">
      <c r="A55" s="300" t="s">
        <v>127</v>
      </c>
      <c r="B55" s="173"/>
      <c r="C55" s="112"/>
      <c r="D55" s="24"/>
      <c r="E55" s="24"/>
      <c r="F55" s="24"/>
      <c r="G55" s="112"/>
      <c r="H55" s="23"/>
    </row>
    <row r="56" spans="1:8" x14ac:dyDescent="0.2">
      <c r="A56" s="31" t="s">
        <v>141</v>
      </c>
      <c r="C56" s="235"/>
      <c r="D56" s="302"/>
      <c r="E56" s="151"/>
      <c r="F56" s="302"/>
      <c r="G56" s="235"/>
      <c r="H56" s="31"/>
    </row>
    <row r="57" spans="1:8" x14ac:dyDescent="0.2">
      <c r="A57" s="31" t="s">
        <v>143</v>
      </c>
      <c r="C57" s="112"/>
      <c r="D57" s="303"/>
      <c r="E57" s="303"/>
      <c r="F57" s="303"/>
      <c r="G57" s="112"/>
      <c r="H57" s="23"/>
    </row>
    <row r="58" spans="1:8" x14ac:dyDescent="0.2">
      <c r="A58" s="31"/>
      <c r="B58" s="31"/>
      <c r="C58" s="112"/>
      <c r="D58" s="303"/>
      <c r="E58" s="303"/>
      <c r="F58" s="303"/>
      <c r="G58" s="112"/>
      <c r="H58" s="23"/>
    </row>
    <row r="59" spans="1:8" x14ac:dyDescent="0.2">
      <c r="A59" s="31"/>
      <c r="B59" s="31"/>
      <c r="C59" s="112"/>
      <c r="D59" s="303"/>
      <c r="E59" s="303"/>
      <c r="F59" s="303"/>
      <c r="G59" s="112"/>
      <c r="H59" s="23"/>
    </row>
    <row r="60" spans="1:8" x14ac:dyDescent="0.2">
      <c r="A60" s="31"/>
      <c r="B60" s="301"/>
      <c r="C60" s="235"/>
      <c r="D60" s="302"/>
      <c r="E60" s="151"/>
      <c r="F60" s="302"/>
      <c r="G60" s="235"/>
      <c r="H60" s="31"/>
    </row>
    <row r="61" spans="1:8" ht="13.5" thickBot="1" x14ac:dyDescent="0.25">
      <c r="A61" s="31"/>
      <c r="B61" s="31"/>
      <c r="C61" s="235"/>
      <c r="D61" s="302"/>
      <c r="E61" s="151"/>
      <c r="F61" s="302"/>
      <c r="G61" s="235"/>
      <c r="H61" s="31"/>
    </row>
    <row r="62" spans="1:8" ht="13.5" thickBot="1" x14ac:dyDescent="0.25">
      <c r="A62" s="116" t="s">
        <v>184</v>
      </c>
      <c r="B62" s="117">
        <f>Residential!B163+'Small Commercial'!B39+'Medium-Large Commercial (AB265)'!B170+B51</f>
        <v>11332.503859597982</v>
      </c>
      <c r="C62" s="308">
        <f>D62/B62*100</f>
        <v>13.090667130687326</v>
      </c>
      <c r="D62" s="287">
        <f>Residential!D163+'Small Commercial'!D39+'Medium-Large Commercial (AB265)'!D170+D51</f>
        <v>1483.5003578322655</v>
      </c>
      <c r="E62" s="287">
        <f>Residential!E163+'Small Commercial'!E39+'Medium-Large Commercial (AB265)'!E170+E51</f>
        <v>311.8249213344867</v>
      </c>
      <c r="F62" s="287">
        <f>Residential!F163+'Small Commercial'!F39+'Medium-Large Commercial (AB265)'!F170+F51</f>
        <v>1795.3252791667521</v>
      </c>
      <c r="G62" s="308">
        <f>F62/B62*100</f>
        <v>15.84226488170321</v>
      </c>
      <c r="H62" s="118">
        <f>(G62-C62)/C62</f>
        <v>0.21019537992571444</v>
      </c>
    </row>
    <row r="63" spans="1:8" x14ac:dyDescent="0.2">
      <c r="E63" s="34"/>
    </row>
    <row r="64" spans="1:8" x14ac:dyDescent="0.2">
      <c r="B64" s="125"/>
      <c r="E64" s="34"/>
      <c r="G64" s="113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  <row r="2840" spans="5:5" x14ac:dyDescent="0.2">
      <c r="E2840" s="34"/>
    </row>
    <row r="2841" spans="5:5" x14ac:dyDescent="0.2">
      <c r="E2841" s="34"/>
    </row>
    <row r="2842" spans="5:5" x14ac:dyDescent="0.2">
      <c r="E2842" s="34"/>
    </row>
    <row r="2843" spans="5:5" x14ac:dyDescent="0.2">
      <c r="E2843" s="34"/>
    </row>
    <row r="2844" spans="5:5" x14ac:dyDescent="0.2">
      <c r="E2844" s="34"/>
    </row>
    <row r="2845" spans="5:5" x14ac:dyDescent="0.2">
      <c r="E2845" s="34"/>
    </row>
    <row r="2846" spans="5:5" x14ac:dyDescent="0.2">
      <c r="E2846" s="34"/>
    </row>
    <row r="2847" spans="5:5" x14ac:dyDescent="0.2">
      <c r="E2847" s="34"/>
    </row>
    <row r="2848" spans="5:5" x14ac:dyDescent="0.2">
      <c r="E2848" s="34"/>
    </row>
    <row r="2849" spans="5:5" x14ac:dyDescent="0.2">
      <c r="E2849" s="34"/>
    </row>
    <row r="2850" spans="5:5" x14ac:dyDescent="0.2">
      <c r="E2850" s="34"/>
    </row>
    <row r="2851" spans="5:5" x14ac:dyDescent="0.2">
      <c r="E2851" s="34"/>
    </row>
    <row r="2852" spans="5:5" x14ac:dyDescent="0.2">
      <c r="E2852" s="34"/>
    </row>
    <row r="2853" spans="5:5" x14ac:dyDescent="0.2">
      <c r="E2853" s="34"/>
    </row>
    <row r="2854" spans="5:5" x14ac:dyDescent="0.2">
      <c r="E2854" s="34"/>
    </row>
    <row r="2855" spans="5:5" x14ac:dyDescent="0.2">
      <c r="E2855" s="34"/>
    </row>
  </sheetData>
  <mergeCells count="6">
    <mergeCell ref="G6:H6"/>
    <mergeCell ref="G8:H8"/>
    <mergeCell ref="A3:H3"/>
    <mergeCell ref="A2:H2"/>
    <mergeCell ref="G4:H4"/>
    <mergeCell ref="G5:H5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Residential</vt:lpstr>
      <vt:lpstr>Small Commercial</vt:lpstr>
      <vt:lpstr>Medium-Large Commercial (AB265)</vt:lpstr>
      <vt:lpstr>Street Lighting</vt:lpstr>
      <vt:lpstr>'Medium-Large Commercial (AB265)'!Print_Area</vt:lpstr>
      <vt:lpstr>Residential!Print_Area</vt:lpstr>
      <vt:lpstr>'Small Commercial'!Print_Area</vt:lpstr>
      <vt:lpstr>'Street Lighting'!Print_Area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Ramirez</dc:creator>
  <cp:lastModifiedBy>Jan Havlíček</cp:lastModifiedBy>
  <cp:lastPrinted>2001-05-18T22:11:20Z</cp:lastPrinted>
  <dcterms:created xsi:type="dcterms:W3CDTF">2001-03-26T07:54:06Z</dcterms:created>
  <dcterms:modified xsi:type="dcterms:W3CDTF">2023-09-19T23:53:32Z</dcterms:modified>
</cp:coreProperties>
</file>