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E8557B3-C638-40AB-8796-30535D51018B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G5" i="1"/>
  <c r="H5" i="1"/>
  <c r="J5" i="1"/>
  <c r="K5" i="1"/>
  <c r="G6" i="1"/>
  <c r="H6" i="1"/>
  <c r="J6" i="1"/>
  <c r="K6" i="1"/>
  <c r="G9" i="1"/>
  <c r="H9" i="1"/>
  <c r="J9" i="1"/>
  <c r="K9" i="1"/>
  <c r="D10" i="1"/>
  <c r="E10" i="1"/>
  <c r="F10" i="1"/>
  <c r="G10" i="1"/>
  <c r="H10" i="1"/>
  <c r="J10" i="1"/>
  <c r="K10" i="1"/>
  <c r="G11" i="1"/>
  <c r="H11" i="1"/>
  <c r="J11" i="1"/>
  <c r="K11" i="1"/>
  <c r="K13" i="1"/>
  <c r="G14" i="1"/>
  <c r="H14" i="1"/>
  <c r="J14" i="1"/>
  <c r="K14" i="1"/>
  <c r="G15" i="1"/>
  <c r="H15" i="1"/>
  <c r="J15" i="1"/>
  <c r="K15" i="1"/>
  <c r="G16" i="1"/>
  <c r="H16" i="1"/>
  <c r="J16" i="1"/>
  <c r="K16" i="1"/>
  <c r="J18" i="1"/>
  <c r="K18" i="1"/>
  <c r="M18" i="1"/>
  <c r="O18" i="1"/>
  <c r="G21" i="1"/>
  <c r="H21" i="1"/>
  <c r="J21" i="1"/>
  <c r="K21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G28" i="1"/>
  <c r="H28" i="1"/>
  <c r="J28" i="1"/>
  <c r="K28" i="1"/>
  <c r="G29" i="1"/>
  <c r="H29" i="1"/>
  <c r="J29" i="1"/>
  <c r="K29" i="1"/>
  <c r="D32" i="1"/>
  <c r="G32" i="1"/>
  <c r="H32" i="1"/>
  <c r="J32" i="1"/>
  <c r="K32" i="1"/>
  <c r="G33" i="1"/>
  <c r="H33" i="1"/>
  <c r="J33" i="1"/>
  <c r="K33" i="1"/>
  <c r="K35" i="1"/>
  <c r="G36" i="1"/>
  <c r="H36" i="1"/>
  <c r="J36" i="1"/>
  <c r="K36" i="1"/>
  <c r="D38" i="1"/>
  <c r="E38" i="1"/>
  <c r="F38" i="1"/>
  <c r="G38" i="1"/>
  <c r="H38" i="1"/>
  <c r="J38" i="1"/>
  <c r="K38" i="1"/>
  <c r="G41" i="1"/>
  <c r="H41" i="1"/>
  <c r="J41" i="1"/>
  <c r="K41" i="1"/>
  <c r="G44" i="1"/>
  <c r="H44" i="1"/>
  <c r="J44" i="1"/>
  <c r="K44" i="1"/>
  <c r="D45" i="1"/>
  <c r="E45" i="1"/>
  <c r="F45" i="1"/>
  <c r="G45" i="1"/>
  <c r="H45" i="1"/>
  <c r="J45" i="1"/>
  <c r="K45" i="1"/>
  <c r="D48" i="1"/>
  <c r="E48" i="1"/>
  <c r="F48" i="1"/>
  <c r="G48" i="1"/>
  <c r="H48" i="1"/>
  <c r="J48" i="1"/>
  <c r="K48" i="1"/>
  <c r="D49" i="1"/>
  <c r="E49" i="1"/>
  <c r="F49" i="1"/>
  <c r="G49" i="1"/>
  <c r="H49" i="1"/>
  <c r="J49" i="1"/>
  <c r="K49" i="1"/>
  <c r="D50" i="1"/>
  <c r="E50" i="1"/>
  <c r="F50" i="1"/>
  <c r="G50" i="1"/>
  <c r="H50" i="1"/>
  <c r="J50" i="1"/>
  <c r="K50" i="1"/>
  <c r="E53" i="1"/>
  <c r="F53" i="1"/>
  <c r="G53" i="1"/>
  <c r="H53" i="1"/>
  <c r="J53" i="1"/>
  <c r="K53" i="1"/>
  <c r="E54" i="1"/>
  <c r="F54" i="1"/>
  <c r="G54" i="1"/>
  <c r="H54" i="1"/>
  <c r="J54" i="1"/>
  <c r="K54" i="1"/>
  <c r="E55" i="1"/>
  <c r="F55" i="1"/>
  <c r="G55" i="1"/>
  <c r="H55" i="1"/>
  <c r="J55" i="1"/>
  <c r="K55" i="1"/>
  <c r="E56" i="1"/>
  <c r="F56" i="1"/>
  <c r="G56" i="1"/>
  <c r="H56" i="1"/>
  <c r="J56" i="1"/>
  <c r="K56" i="1"/>
  <c r="E57" i="1"/>
  <c r="F57" i="1"/>
  <c r="G57" i="1"/>
  <c r="H57" i="1"/>
  <c r="J57" i="1"/>
  <c r="K57" i="1"/>
  <c r="E58" i="1"/>
  <c r="F58" i="1"/>
  <c r="G58" i="1"/>
  <c r="H58" i="1"/>
  <c r="J58" i="1"/>
  <c r="K58" i="1"/>
  <c r="E59" i="1"/>
  <c r="F59" i="1"/>
  <c r="G59" i="1"/>
  <c r="H59" i="1"/>
  <c r="J59" i="1"/>
  <c r="K59" i="1"/>
  <c r="D62" i="1"/>
  <c r="E62" i="1"/>
  <c r="F62" i="1"/>
  <c r="G62" i="1"/>
  <c r="H62" i="1"/>
  <c r="J62" i="1"/>
  <c r="K62" i="1"/>
  <c r="D65" i="1"/>
  <c r="E65" i="1"/>
  <c r="F65" i="1"/>
  <c r="G65" i="1"/>
  <c r="H65" i="1"/>
  <c r="J65" i="1"/>
  <c r="K65" i="1"/>
  <c r="G68" i="1"/>
  <c r="H68" i="1"/>
  <c r="J68" i="1"/>
  <c r="K68" i="1"/>
  <c r="D69" i="1"/>
  <c r="G69" i="1"/>
  <c r="H69" i="1"/>
  <c r="J69" i="1"/>
  <c r="K69" i="1"/>
  <c r="D70" i="1"/>
  <c r="G70" i="1"/>
  <c r="H70" i="1"/>
  <c r="J70" i="1"/>
  <c r="K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G78" i="1"/>
  <c r="H78" i="1"/>
  <c r="J78" i="1"/>
  <c r="K78" i="1"/>
  <c r="M78" i="1"/>
  <c r="G79" i="1"/>
  <c r="H79" i="1"/>
  <c r="J79" i="1"/>
  <c r="K79" i="1"/>
  <c r="M79" i="1"/>
  <c r="G80" i="1"/>
  <c r="H80" i="1"/>
  <c r="J80" i="1"/>
  <c r="K80" i="1"/>
  <c r="M80" i="1"/>
  <c r="G81" i="1"/>
  <c r="H81" i="1"/>
  <c r="J81" i="1"/>
  <c r="K81" i="1"/>
  <c r="M81" i="1"/>
  <c r="G82" i="1"/>
  <c r="H82" i="1"/>
  <c r="J82" i="1"/>
  <c r="K82" i="1"/>
  <c r="M82" i="1"/>
  <c r="J83" i="1"/>
  <c r="K83" i="1"/>
  <c r="M83" i="1"/>
  <c r="N84" i="1"/>
  <c r="O84" i="1"/>
  <c r="G85" i="1"/>
  <c r="H85" i="1"/>
  <c r="J85" i="1"/>
  <c r="K85" i="1"/>
  <c r="G86" i="1"/>
  <c r="H86" i="1"/>
  <c r="J86" i="1"/>
  <c r="K86" i="1"/>
  <c r="G89" i="1"/>
  <c r="H89" i="1"/>
  <c r="J89" i="1"/>
  <c r="K89" i="1"/>
  <c r="G90" i="1"/>
  <c r="H90" i="1"/>
  <c r="J90" i="1"/>
  <c r="K90" i="1"/>
  <c r="G91" i="1"/>
  <c r="H91" i="1"/>
  <c r="J91" i="1"/>
  <c r="K91" i="1"/>
  <c r="G92" i="1"/>
  <c r="H92" i="1"/>
  <c r="J92" i="1"/>
  <c r="K92" i="1"/>
  <c r="G93" i="1"/>
  <c r="H93" i="1"/>
  <c r="J93" i="1"/>
  <c r="K93" i="1"/>
  <c r="G94" i="1"/>
  <c r="H94" i="1"/>
  <c r="J94" i="1"/>
  <c r="K94" i="1"/>
  <c r="G95" i="1"/>
  <c r="H95" i="1"/>
  <c r="J95" i="1"/>
  <c r="K95" i="1"/>
  <c r="G97" i="1"/>
  <c r="H97" i="1"/>
  <c r="J97" i="1"/>
  <c r="K97" i="1"/>
  <c r="G99" i="1"/>
  <c r="H99" i="1"/>
  <c r="J99" i="1"/>
  <c r="K99" i="1"/>
  <c r="G100" i="1"/>
  <c r="H100" i="1"/>
  <c r="J100" i="1"/>
  <c r="K100" i="1"/>
  <c r="G102" i="1"/>
  <c r="H102" i="1"/>
  <c r="J102" i="1"/>
  <c r="K102" i="1"/>
  <c r="G103" i="1"/>
  <c r="H103" i="1"/>
  <c r="J103" i="1"/>
  <c r="K103" i="1"/>
  <c r="M103" i="1"/>
  <c r="N103" i="1"/>
  <c r="G104" i="1"/>
  <c r="H104" i="1"/>
  <c r="J104" i="1"/>
  <c r="K104" i="1"/>
  <c r="M104" i="1"/>
  <c r="N104" i="1"/>
  <c r="G105" i="1"/>
  <c r="H105" i="1"/>
  <c r="J105" i="1"/>
  <c r="K105" i="1"/>
  <c r="G106" i="1"/>
  <c r="H106" i="1"/>
  <c r="J106" i="1"/>
  <c r="K106" i="1"/>
  <c r="M106" i="1"/>
  <c r="N106" i="1"/>
  <c r="J108" i="1"/>
  <c r="K108" i="1"/>
  <c r="M108" i="1"/>
  <c r="N108" i="1"/>
  <c r="J109" i="1"/>
  <c r="K109" i="1"/>
  <c r="J110" i="1"/>
  <c r="K110" i="1"/>
  <c r="M110" i="1"/>
  <c r="N110" i="1"/>
  <c r="C113" i="1"/>
  <c r="D113" i="1"/>
  <c r="G113" i="1"/>
  <c r="H113" i="1"/>
  <c r="J113" i="1"/>
  <c r="K113" i="1"/>
  <c r="M113" i="1"/>
  <c r="N113" i="1"/>
  <c r="G117" i="1"/>
  <c r="H117" i="1"/>
  <c r="J117" i="1"/>
  <c r="K117" i="1"/>
  <c r="E118" i="1"/>
  <c r="F118" i="1"/>
  <c r="G118" i="1"/>
  <c r="H118" i="1"/>
  <c r="J118" i="1"/>
  <c r="K118" i="1"/>
  <c r="G119" i="1"/>
  <c r="H119" i="1"/>
  <c r="J119" i="1"/>
  <c r="K119" i="1"/>
  <c r="G122" i="1"/>
  <c r="H122" i="1"/>
  <c r="J122" i="1"/>
  <c r="K122" i="1"/>
  <c r="E123" i="1"/>
  <c r="F123" i="1"/>
  <c r="G123" i="1"/>
  <c r="H123" i="1"/>
  <c r="J123" i="1"/>
  <c r="K123" i="1"/>
  <c r="G124" i="1"/>
  <c r="H124" i="1"/>
  <c r="J124" i="1"/>
  <c r="K124" i="1"/>
  <c r="E126" i="1"/>
  <c r="F126" i="1"/>
  <c r="G126" i="1"/>
  <c r="H126" i="1"/>
  <c r="J126" i="1"/>
  <c r="K126" i="1"/>
  <c r="G127" i="1"/>
  <c r="H127" i="1"/>
  <c r="J127" i="1"/>
  <c r="K127" i="1"/>
  <c r="E130" i="1"/>
  <c r="F130" i="1"/>
  <c r="G130" i="1"/>
  <c r="H130" i="1"/>
  <c r="J130" i="1"/>
  <c r="K130" i="1"/>
  <c r="M130" i="1"/>
  <c r="E133" i="1"/>
  <c r="F133" i="1"/>
  <c r="G133" i="1"/>
  <c r="H133" i="1"/>
  <c r="J133" i="1"/>
  <c r="E134" i="1"/>
  <c r="F134" i="1"/>
  <c r="G134" i="1"/>
  <c r="H134" i="1"/>
  <c r="J134" i="1"/>
  <c r="E135" i="1"/>
  <c r="F135" i="1"/>
  <c r="G135" i="1"/>
  <c r="H135" i="1"/>
  <c r="J135" i="1"/>
  <c r="E136" i="1"/>
  <c r="F136" i="1"/>
  <c r="G136" i="1"/>
  <c r="H136" i="1"/>
  <c r="J136" i="1"/>
  <c r="M137" i="1"/>
  <c r="N137" i="1"/>
  <c r="M138" i="1"/>
  <c r="N138" i="1"/>
  <c r="E139" i="1"/>
  <c r="F139" i="1"/>
  <c r="G139" i="1"/>
  <c r="H139" i="1"/>
  <c r="J139" i="1"/>
  <c r="K139" i="1"/>
  <c r="E140" i="1"/>
  <c r="F140" i="1"/>
  <c r="G140" i="1"/>
  <c r="H140" i="1"/>
  <c r="J140" i="1"/>
  <c r="K140" i="1"/>
  <c r="M140" i="1"/>
  <c r="N140" i="1"/>
  <c r="E141" i="1"/>
  <c r="F141" i="1"/>
  <c r="G141" i="1"/>
  <c r="H141" i="1"/>
  <c r="J141" i="1"/>
  <c r="K141" i="1"/>
  <c r="E142" i="1"/>
  <c r="F142" i="1"/>
  <c r="G142" i="1"/>
  <c r="H142" i="1"/>
  <c r="J142" i="1"/>
  <c r="K142" i="1"/>
  <c r="M142" i="1"/>
  <c r="N142" i="1"/>
  <c r="E143" i="1"/>
  <c r="F143" i="1"/>
  <c r="G143" i="1"/>
  <c r="H143" i="1"/>
  <c r="J143" i="1"/>
  <c r="K143" i="1"/>
  <c r="E144" i="1"/>
  <c r="F144" i="1"/>
  <c r="G144" i="1"/>
  <c r="H144" i="1"/>
  <c r="J144" i="1"/>
  <c r="K144" i="1"/>
  <c r="M144" i="1"/>
  <c r="N144" i="1"/>
  <c r="E145" i="1"/>
  <c r="F145" i="1"/>
  <c r="G145" i="1"/>
  <c r="H145" i="1"/>
  <c r="J145" i="1"/>
  <c r="K145" i="1"/>
  <c r="E146" i="1"/>
  <c r="F146" i="1"/>
  <c r="G146" i="1"/>
  <c r="H146" i="1"/>
  <c r="J146" i="1"/>
  <c r="K146" i="1"/>
  <c r="C147" i="1"/>
  <c r="E147" i="1"/>
  <c r="F147" i="1"/>
  <c r="G147" i="1"/>
  <c r="H147" i="1"/>
  <c r="J147" i="1"/>
  <c r="K147" i="1"/>
  <c r="C150" i="1"/>
  <c r="D150" i="1"/>
  <c r="G150" i="1"/>
  <c r="H150" i="1"/>
  <c r="J150" i="1"/>
  <c r="K150" i="1"/>
  <c r="M150" i="1"/>
  <c r="N150" i="1"/>
  <c r="O150" i="1"/>
  <c r="K154" i="1"/>
  <c r="K155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G14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H45" i="2"/>
  <c r="D47" i="2"/>
  <c r="G47" i="2"/>
  <c r="H47" i="2"/>
  <c r="D48" i="2"/>
  <c r="G48" i="2"/>
  <c r="H48" i="2"/>
  <c r="D49" i="2"/>
  <c r="G49" i="2"/>
  <c r="H49" i="2"/>
  <c r="H51" i="2"/>
  <c r="H52" i="2"/>
  <c r="H53" i="2"/>
  <c r="H54" i="2"/>
  <c r="H55" i="2"/>
  <c r="H56" i="2"/>
  <c r="D58" i="2"/>
  <c r="G58" i="2"/>
  <c r="H58" i="2"/>
  <c r="D59" i="2"/>
  <c r="G59" i="2"/>
  <c r="H59" i="2"/>
  <c r="D60" i="2"/>
  <c r="G60" i="2"/>
  <c r="H60" i="2"/>
  <c r="H62" i="2"/>
  <c r="H63" i="2"/>
  <c r="H64" i="2"/>
  <c r="H65" i="2"/>
  <c r="H66" i="2"/>
  <c r="H67" i="2"/>
  <c r="G69" i="2"/>
  <c r="H69" i="2"/>
  <c r="D70" i="2"/>
  <c r="G70" i="2"/>
  <c r="H70" i="2"/>
  <c r="D71" i="2"/>
  <c r="G71" i="2"/>
  <c r="H71" i="2"/>
  <c r="G76" i="2"/>
  <c r="H76" i="2"/>
  <c r="B86" i="2"/>
  <c r="B93" i="2"/>
  <c r="B96" i="2"/>
  <c r="B100" i="2"/>
  <c r="B103" i="2"/>
  <c r="B106" i="2"/>
  <c r="B110" i="2"/>
  <c r="B111" i="2"/>
  <c r="B112" i="2"/>
  <c r="B113" i="2"/>
</calcChain>
</file>

<file path=xl/sharedStrings.xml><?xml version="1.0" encoding="utf-8"?>
<sst xmlns="http://schemas.openxmlformats.org/spreadsheetml/2006/main" count="932" uniqueCount="173">
  <si>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</si>
  <si>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</si>
  <si>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</si>
  <si>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</si>
  <si>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</si>
  <si>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</si>
  <si>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</si>
  <si>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</si>
  <si>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</si>
  <si>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</si>
  <si>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</si>
  <si>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</si>
  <si>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</si>
  <si>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</si>
  <si>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</si>
  <si>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</si>
  <si>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</si>
  <si>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</si>
  <si>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</si>
  <si>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</si>
  <si>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</si>
  <si>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</si>
  <si>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</si>
  <si>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</si>
  <si>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</si>
  <si>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</si>
  <si>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</si>
  <si>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</si>
  <si>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</si>
  <si>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</si>
  <si>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</si>
  <si>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</si>
  <si>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</si>
  <si>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</si>
  <si>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</si>
  <si>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</si>
  <si>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</si>
  <si>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</si>
  <si>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</si>
  <si>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</si>
  <si>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</si>
  <si>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</si>
  <si>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</si>
  <si>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</si>
  <si>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</si>
  <si>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</si>
  <si>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</si>
  <si>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</si>
  <si>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</si>
  <si>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</si>
  <si>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</si>
  <si>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</si>
  <si>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</si>
  <si>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</si>
  <si>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</si>
  <si>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</si>
  <si>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</si>
  <si>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</si>
  <si>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</si>
  <si>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</si>
  <si>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</si>
  <si>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</si>
  <si>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</si>
  <si>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</si>
  <si>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</si>
  <si>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</si>
  <si>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</si>
  <si>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</si>
  <si>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</si>
  <si>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</si>
  <si>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</si>
  <si>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</si>
  <si>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</si>
  <si>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</si>
  <si>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</si>
  <si>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</si>
  <si>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</si>
  <si>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</si>
  <si>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</si>
  <si>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</si>
  <si>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</si>
  <si>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</si>
  <si>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</si>
  <si>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</si>
  <si>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</si>
  <si>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</si>
  <si>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Enron Expat Def. Plan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</si>
  <si>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</si>
  <si>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</si>
  <si>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</si>
  <si>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</si>
  <si>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</si>
  <si>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</si>
  <si>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</si>
  <si>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</si>
  <si>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</si>
  <si>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</si>
  <si>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</si>
  <si>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</si>
  <si>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</si>
  <si>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</si>
  <si>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</si>
  <si>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</si>
  <si>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</si>
  <si>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</si>
  <si>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</si>
  <si>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</si>
  <si>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</si>
  <si>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</si>
  <si>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</si>
  <si>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</si>
  <si>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</si>
  <si>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</si>
  <si>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</si>
  <si>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</si>
  <si>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</si>
  <si>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</si>
  <si>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</si>
  <si>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ENE    oct 01 75 calls</t>
  </si>
  <si>
    <t>CPN    oct 01 55 calls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</si>
  <si>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</si>
  <si>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</si>
  <si>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</si>
  <si>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</si>
  <si>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</si>
  <si>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</si>
  <si>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</si>
  <si>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</si>
  <si>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</si>
  <si>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</si>
  <si>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</si>
  <si>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</si>
  <si>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106974     97ECT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</si>
  <si>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</si>
  <si>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</si>
  <si>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</si>
  <si>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</si>
  <si>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</si>
  <si>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</si>
  <si>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</si>
  <si>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</si>
  <si>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</si>
  <si>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</si>
  <si>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</si>
  <si>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</si>
  <si>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  jan 02 50 puts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</si>
  <si>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</si>
  <si>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</si>
  <si>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</si>
  <si>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</si>
  <si>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</si>
  <si>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</si>
  <si>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</si>
  <si>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</si>
  <si>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</si>
  <si>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</si>
  <si>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</si>
  <si>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</si>
  <si>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</si>
  <si>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</si>
  <si>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</si>
  <si>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</si>
  <si>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ENE    jan 02 37 1/2 puts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</si>
  <si>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</si>
  <si>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</si>
  <si>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</si>
  <si>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</si>
  <si>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</si>
  <si>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</si>
  <si>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BR</t>
  </si>
  <si>
    <t>ENE</t>
  </si>
  <si>
    <t>FNM</t>
  </si>
  <si>
    <t>ENE  8/1/06  179507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</si>
</sst>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6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231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10" sqref="A10"/>
    </sheetView>
  </sheetViews>
  <sheetFormatPr defaultRowHeight="12.75" x14ac:dyDescent="0.2"/>
  <cols>
    <col min="1" max="1" width="21" style="2" bestFit="1" customWidth="1"/>
    <col min="2" max="2" width="28.42578125" style="2" bestFit="1" customWidth="1"/>
    <col min="3" max="3" width="14.7109375" style="13" bestFit="1" customWidth="1"/>
    <col min="4" max="4" width="11.42578125" style="13" bestFit="1" customWidth="1"/>
    <col min="5" max="6" width="10.28515625" style="5" bestFit="1" customWidth="1"/>
    <col min="7" max="8" width="18.28515625" style="7" bestFit="1" customWidth="1"/>
    <col min="9" max="9" width="8.7109375" style="5" bestFit="1" customWidth="1"/>
    <col min="10" max="10" width="13.7109375" style="7" bestFit="1" customWidth="1"/>
    <col min="11" max="11" width="14.7109375" style="7" bestFit="1" customWidth="1"/>
    <col min="12" max="12" width="2.140625" style="3" bestFit="1" customWidth="1"/>
    <col min="13" max="13" width="12.7109375" style="80" bestFit="1" customWidth="1"/>
    <col min="14" max="14" width="12.5703125" style="80" bestFit="1" customWidth="1"/>
    <col min="15" max="15" width="13.7109375" style="5" bestFit="1" customWidth="1"/>
    <col min="16" max="16" width="13.7109375" style="2" bestFit="1" customWidth="1"/>
    <col min="17" max="16384" width="9.140625" style="2"/>
  </cols>
  <sheetData>
    <row r="1" spans="1:16" x14ac:dyDescent="0.2">
      <c r="D1" s="13" t="s">
        <v>52</v>
      </c>
      <c r="G1" s="11" t="s">
        <v>116</v>
      </c>
      <c r="H1" s="11" t="s">
        <v>117</v>
      </c>
    </row>
    <row r="2" spans="1:16" x14ac:dyDescent="0.2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6" x14ac:dyDescent="0.2">
      <c r="A3" s="8"/>
      <c r="B3" s="10" t="s">
        <v>53</v>
      </c>
      <c r="C3" s="23" t="s">
        <v>41</v>
      </c>
      <c r="D3" s="23" t="s">
        <v>41</v>
      </c>
      <c r="E3" s="12">
        <v>37161</v>
      </c>
      <c r="F3" s="12">
        <v>37160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6" x14ac:dyDescent="0.2">
      <c r="A4" s="8" t="s">
        <v>121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6" x14ac:dyDescent="0.2">
      <c r="A5" s="8" t="s">
        <v>0</v>
      </c>
      <c r="B5" s="2" t="s">
        <v>123</v>
      </c>
      <c r="C5" s="67">
        <f>2508918-90</f>
        <v>2508828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2508828</v>
      </c>
      <c r="K5" s="7">
        <f>J5</f>
        <v>2508828</v>
      </c>
      <c r="L5" s="3">
        <v>1</v>
      </c>
    </row>
    <row r="6" spans="1:16" x14ac:dyDescent="0.2">
      <c r="A6" s="30" t="s">
        <v>52</v>
      </c>
      <c r="B6" s="2" t="s">
        <v>92</v>
      </c>
      <c r="C6" s="13">
        <v>1000</v>
      </c>
      <c r="D6" s="13" t="s">
        <v>52</v>
      </c>
      <c r="E6" s="1">
        <v>14.8</v>
      </c>
      <c r="F6" s="1">
        <v>15.09</v>
      </c>
      <c r="G6" s="7">
        <f>C6*(E6-F6)</f>
        <v>-289.99999999999915</v>
      </c>
      <c r="H6" s="7">
        <f>C6*(E6-F6)</f>
        <v>-289.99999999999915</v>
      </c>
      <c r="J6" s="7">
        <f>C6*E6</f>
        <v>14800</v>
      </c>
      <c r="K6" s="7">
        <f>J6</f>
        <v>14800</v>
      </c>
      <c r="L6" s="3">
        <v>2</v>
      </c>
    </row>
    <row r="7" spans="1:16" x14ac:dyDescent="0.2">
      <c r="A7" s="30" t="s">
        <v>52</v>
      </c>
      <c r="E7" s="1"/>
      <c r="F7" s="1"/>
      <c r="G7" s="1" t="s">
        <v>52</v>
      </c>
      <c r="H7" s="7" t="s">
        <v>52</v>
      </c>
      <c r="J7" s="7" t="s">
        <v>52</v>
      </c>
      <c r="K7" s="7" t="s">
        <v>52</v>
      </c>
    </row>
    <row r="8" spans="1:16" x14ac:dyDescent="0.2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6" x14ac:dyDescent="0.2">
      <c r="A9" s="30"/>
      <c r="B9" s="62" t="s">
        <v>169</v>
      </c>
      <c r="C9" s="13">
        <v>-17000</v>
      </c>
      <c r="D9" s="13" t="s">
        <v>52</v>
      </c>
      <c r="E9" s="16">
        <v>33.299999999999997</v>
      </c>
      <c r="F9" s="16">
        <v>32</v>
      </c>
      <c r="G9" s="7">
        <f>C9*(E9-F9)</f>
        <v>-22099.999999999953</v>
      </c>
      <c r="H9" s="7">
        <f>C9*(E9-F9)</f>
        <v>-22099.999999999953</v>
      </c>
      <c r="J9" s="7">
        <f>G9</f>
        <v>-22099.999999999953</v>
      </c>
      <c r="K9" s="7">
        <f>J9</f>
        <v>-22099.999999999953</v>
      </c>
      <c r="L9" s="3">
        <v>1</v>
      </c>
    </row>
    <row r="10" spans="1:16" x14ac:dyDescent="0.2">
      <c r="A10" s="30"/>
      <c r="B10" s="62" t="s">
        <v>170</v>
      </c>
      <c r="C10" s="13">
        <v>-12000</v>
      </c>
      <c r="D10" s="13">
        <f>C10*1</f>
        <v>-12000</v>
      </c>
      <c r="E10" s="1">
        <f>E$32</f>
        <v>25.25</v>
      </c>
      <c r="F10" s="1">
        <f>F$32</f>
        <v>25.15</v>
      </c>
      <c r="G10" s="7">
        <f>C10*(E10-F10)</f>
        <v>-1200.0000000000171</v>
      </c>
      <c r="H10" s="7">
        <f>C10*(E10-F10)</f>
        <v>-1200.0000000000171</v>
      </c>
      <c r="J10" s="7">
        <f>G10</f>
        <v>-1200.0000000000171</v>
      </c>
      <c r="K10" s="7">
        <f>J10</f>
        <v>-1200.0000000000171</v>
      </c>
      <c r="L10" s="3">
        <v>1</v>
      </c>
    </row>
    <row r="11" spans="1:16" x14ac:dyDescent="0.2">
      <c r="A11" s="30"/>
      <c r="B11" s="62" t="s">
        <v>171</v>
      </c>
      <c r="C11" s="13">
        <v>-35000</v>
      </c>
      <c r="D11" s="13" t="s">
        <v>52</v>
      </c>
      <c r="E11" s="16">
        <v>79.88</v>
      </c>
      <c r="F11" s="16">
        <v>78.64</v>
      </c>
      <c r="G11" s="7">
        <f>C11*(E11-F11)</f>
        <v>-43399.999999999818</v>
      </c>
      <c r="H11" s="7">
        <f>C11*(E11-F11)</f>
        <v>-43399.999999999818</v>
      </c>
      <c r="J11" s="7">
        <f>G11</f>
        <v>-43399.999999999818</v>
      </c>
      <c r="K11" s="7">
        <f>J11</f>
        <v>-43399.999999999818</v>
      </c>
      <c r="L11" s="3">
        <v>1</v>
      </c>
    </row>
    <row r="12" spans="1:16" x14ac:dyDescent="0.2">
      <c r="A12" s="30"/>
      <c r="B12" s="10"/>
      <c r="D12" s="79"/>
      <c r="E12" s="13"/>
      <c r="F12" s="13"/>
      <c r="G12" s="13"/>
    </row>
    <row r="13" spans="1:16" x14ac:dyDescent="0.2">
      <c r="A13" s="30"/>
      <c r="B13" s="10" t="s">
        <v>68</v>
      </c>
      <c r="C13" s="13" t="s">
        <v>52</v>
      </c>
      <c r="E13" s="6" t="s">
        <v>52</v>
      </c>
      <c r="F13" s="6" t="s">
        <v>52</v>
      </c>
      <c r="G13" s="6" t="s">
        <v>52</v>
      </c>
      <c r="H13" s="7" t="s">
        <v>52</v>
      </c>
      <c r="J13" s="7" t="s">
        <v>52</v>
      </c>
      <c r="K13" s="7" t="str">
        <f>J13</f>
        <v xml:space="preserve"> </v>
      </c>
    </row>
    <row r="14" spans="1:16" x14ac:dyDescent="0.2">
      <c r="A14" s="30"/>
      <c r="B14" s="2" t="s">
        <v>119</v>
      </c>
      <c r="C14" s="13">
        <v>-1500</v>
      </c>
      <c r="E14" s="1">
        <v>0</v>
      </c>
      <c r="F14" s="1">
        <v>0</v>
      </c>
      <c r="G14" s="7">
        <f>(E14-F14)*C14</f>
        <v>0</v>
      </c>
      <c r="H14" s="7">
        <f>C14*(E14-F14)</f>
        <v>0</v>
      </c>
      <c r="J14" s="7">
        <f>G14</f>
        <v>0</v>
      </c>
      <c r="K14" s="7">
        <f>J14</f>
        <v>0</v>
      </c>
      <c r="L14" s="3">
        <v>1</v>
      </c>
      <c r="N14" s="80" t="s">
        <v>52</v>
      </c>
      <c r="P14" s="13" t="s">
        <v>52</v>
      </c>
    </row>
    <row r="15" spans="1:16" x14ac:dyDescent="0.2">
      <c r="A15" s="30" t="s">
        <v>52</v>
      </c>
      <c r="B15" s="2" t="s">
        <v>118</v>
      </c>
      <c r="C15" s="13">
        <v>-2000</v>
      </c>
      <c r="E15" s="1">
        <v>0</v>
      </c>
      <c r="F15" s="1">
        <v>0</v>
      </c>
      <c r="G15" s="7">
        <f>(E15-F15)*C15</f>
        <v>0</v>
      </c>
      <c r="H15" s="7">
        <f>C15*(E15-F15)</f>
        <v>0</v>
      </c>
      <c r="J15" s="7">
        <f>G15</f>
        <v>0</v>
      </c>
      <c r="K15" s="7">
        <f>J15</f>
        <v>0</v>
      </c>
      <c r="L15" s="3">
        <v>1</v>
      </c>
      <c r="M15" s="80" t="s">
        <v>52</v>
      </c>
      <c r="N15" s="80" t="s">
        <v>52</v>
      </c>
    </row>
    <row r="16" spans="1:16" x14ac:dyDescent="0.2">
      <c r="A16" s="30" t="s">
        <v>52</v>
      </c>
      <c r="B16" s="2" t="s">
        <v>168</v>
      </c>
      <c r="C16" s="13">
        <v>-17000</v>
      </c>
      <c r="E16" s="1">
        <v>0.95</v>
      </c>
      <c r="F16" s="1">
        <v>0.95</v>
      </c>
      <c r="G16" s="7">
        <f>(E16-F16)*C16</f>
        <v>0</v>
      </c>
      <c r="H16" s="7">
        <f>C16*(E16-F16)</f>
        <v>0</v>
      </c>
      <c r="J16" s="7">
        <f>G16</f>
        <v>0</v>
      </c>
      <c r="K16" s="7">
        <f>J16</f>
        <v>0</v>
      </c>
      <c r="L16" s="3">
        <v>1</v>
      </c>
      <c r="M16" s="80" t="s">
        <v>52</v>
      </c>
      <c r="N16" s="80" t="s">
        <v>52</v>
      </c>
    </row>
    <row r="17" spans="1:15" x14ac:dyDescent="0.2">
      <c r="A17" s="30"/>
      <c r="E17" s="1"/>
      <c r="F17" s="1"/>
    </row>
    <row r="18" spans="1:15" x14ac:dyDescent="0.2">
      <c r="A18" s="8"/>
      <c r="B18" s="2" t="s">
        <v>67</v>
      </c>
      <c r="C18" s="13">
        <v>0</v>
      </c>
      <c r="D18" s="13" t="s">
        <v>52</v>
      </c>
      <c r="E18" s="27" t="s">
        <v>52</v>
      </c>
      <c r="F18" s="27" t="s">
        <v>52</v>
      </c>
      <c r="G18" s="7" t="s">
        <v>52</v>
      </c>
      <c r="J18" s="7">
        <f>+C18</f>
        <v>0</v>
      </c>
      <c r="K18" s="7">
        <f>J18</f>
        <v>0</v>
      </c>
      <c r="L18" s="3">
        <v>1</v>
      </c>
      <c r="M18" s="80">
        <f>SUM(K5:K18)</f>
        <v>2456928</v>
      </c>
      <c r="N18" s="80">
        <v>2456928</v>
      </c>
      <c r="O18" s="67">
        <f>M18-N18</f>
        <v>0</v>
      </c>
    </row>
    <row r="19" spans="1:15" x14ac:dyDescent="0.2">
      <c r="A19" s="8"/>
      <c r="E19" s="27"/>
      <c r="F19" s="27"/>
      <c r="G19" s="15" t="s">
        <v>52</v>
      </c>
      <c r="H19" s="15" t="s">
        <v>52</v>
      </c>
      <c r="M19" s="80" t="s">
        <v>52</v>
      </c>
    </row>
    <row r="20" spans="1:15" x14ac:dyDescent="0.2">
      <c r="A20" s="8" t="s">
        <v>121</v>
      </c>
      <c r="B20" s="5" t="s">
        <v>22</v>
      </c>
      <c r="D20" s="13" t="s">
        <v>52</v>
      </c>
      <c r="E20" s="5" t="s">
        <v>52</v>
      </c>
      <c r="F20" s="5" t="s">
        <v>52</v>
      </c>
      <c r="M20" s="80" t="s">
        <v>52</v>
      </c>
      <c r="N20" s="80" t="s">
        <v>52</v>
      </c>
    </row>
    <row r="21" spans="1:15" x14ac:dyDescent="0.2">
      <c r="A21" s="8" t="s">
        <v>1</v>
      </c>
      <c r="B21" s="2" t="s">
        <v>122</v>
      </c>
      <c r="C21" s="13">
        <v>4048.38</v>
      </c>
      <c r="D21" s="13" t="s">
        <v>52</v>
      </c>
      <c r="E21" s="1">
        <v>1</v>
      </c>
      <c r="F21" s="1">
        <v>1</v>
      </c>
      <c r="G21" s="7">
        <f>C21*(E21-F21)</f>
        <v>0</v>
      </c>
      <c r="H21" s="7">
        <f>C21*(E21-F21)</f>
        <v>0</v>
      </c>
      <c r="J21" s="7">
        <f>C21*E21</f>
        <v>4048.38</v>
      </c>
      <c r="K21" s="7">
        <f>J21</f>
        <v>4048.38</v>
      </c>
      <c r="L21" s="3">
        <v>1</v>
      </c>
      <c r="M21" s="80" t="s">
        <v>52</v>
      </c>
      <c r="N21" s="80" t="s">
        <v>52</v>
      </c>
    </row>
    <row r="22" spans="1:15" x14ac:dyDescent="0.2">
      <c r="A22" s="8"/>
      <c r="D22" s="13" t="s">
        <v>52</v>
      </c>
      <c r="E22" s="27"/>
      <c r="F22" s="27"/>
      <c r="G22" s="15" t="s">
        <v>52</v>
      </c>
      <c r="H22" s="15" t="s">
        <v>52</v>
      </c>
      <c r="N22" s="80" t="s">
        <v>52</v>
      </c>
    </row>
    <row r="23" spans="1:15" x14ac:dyDescent="0.2">
      <c r="A23" s="8" t="s">
        <v>1</v>
      </c>
      <c r="B23" s="5" t="s">
        <v>22</v>
      </c>
      <c r="D23" s="13" t="s">
        <v>52</v>
      </c>
      <c r="E23" s="2"/>
      <c r="F23" s="2"/>
      <c r="G23" s="15"/>
      <c r="H23" s="15"/>
      <c r="I23" s="2"/>
      <c r="K23" s="7" t="s">
        <v>52</v>
      </c>
    </row>
    <row r="24" spans="1:15" x14ac:dyDescent="0.2">
      <c r="A24" s="8" t="s">
        <v>2</v>
      </c>
      <c r="B24" s="62" t="s">
        <v>24</v>
      </c>
      <c r="C24" s="13">
        <v>900</v>
      </c>
      <c r="E24" s="1">
        <v>12.04</v>
      </c>
      <c r="F24" s="1">
        <v>12.2</v>
      </c>
      <c r="G24" s="7">
        <f t="shared" ref="G24:G29" si="0">C24*(E24-F24)</f>
        <v>-144.00000000000011</v>
      </c>
      <c r="H24" s="7">
        <f t="shared" ref="H24:H29" si="1">C24*(E24-F24)</f>
        <v>-144.00000000000011</v>
      </c>
      <c r="I24" s="1"/>
      <c r="J24" s="7">
        <f t="shared" ref="J24:J29" si="2">C24*E24</f>
        <v>10836</v>
      </c>
      <c r="K24" s="7">
        <f t="shared" ref="K24:K35" si="3">J24</f>
        <v>10836</v>
      </c>
      <c r="L24" s="3">
        <v>2</v>
      </c>
      <c r="M24" s="80" t="s">
        <v>52</v>
      </c>
    </row>
    <row r="25" spans="1:15" x14ac:dyDescent="0.2">
      <c r="A25" s="8" t="s">
        <v>3</v>
      </c>
      <c r="B25" s="62" t="s">
        <v>25</v>
      </c>
      <c r="C25" s="13">
        <v>100</v>
      </c>
      <c r="E25" s="1">
        <v>17.2</v>
      </c>
      <c r="F25" s="1">
        <v>17.07</v>
      </c>
      <c r="G25" s="7">
        <f t="shared" si="0"/>
        <v>12.999999999999901</v>
      </c>
      <c r="H25" s="7">
        <f t="shared" si="1"/>
        <v>12.999999999999901</v>
      </c>
      <c r="I25" s="1"/>
      <c r="J25" s="7">
        <f t="shared" si="2"/>
        <v>1720</v>
      </c>
      <c r="K25" s="7">
        <f t="shared" si="3"/>
        <v>1720</v>
      </c>
      <c r="L25" s="3">
        <v>2</v>
      </c>
      <c r="M25" s="80" t="s">
        <v>52</v>
      </c>
    </row>
    <row r="26" spans="1:15" x14ac:dyDescent="0.2">
      <c r="A26" s="8"/>
      <c r="B26" s="62" t="s">
        <v>89</v>
      </c>
      <c r="C26" s="13">
        <v>83</v>
      </c>
      <c r="D26" s="13" t="s">
        <v>52</v>
      </c>
      <c r="E26" s="1">
        <v>48.5</v>
      </c>
      <c r="F26" s="1">
        <v>47.62</v>
      </c>
      <c r="G26" s="7">
        <f t="shared" si="0"/>
        <v>73.040000000000219</v>
      </c>
      <c r="H26" s="7">
        <f t="shared" si="1"/>
        <v>73.040000000000219</v>
      </c>
      <c r="I26" s="1"/>
      <c r="J26" s="7">
        <f t="shared" si="2"/>
        <v>4025.5</v>
      </c>
      <c r="K26" s="7">
        <f t="shared" si="3"/>
        <v>4025.5</v>
      </c>
      <c r="L26" s="3">
        <v>2</v>
      </c>
      <c r="M26" s="80" t="s">
        <v>52</v>
      </c>
    </row>
    <row r="27" spans="1:15" x14ac:dyDescent="0.2">
      <c r="A27" s="8"/>
      <c r="B27" s="62" t="s">
        <v>54</v>
      </c>
      <c r="C27" s="13">
        <v>169</v>
      </c>
      <c r="E27" s="1">
        <v>10.56</v>
      </c>
      <c r="F27" s="1">
        <v>10.91</v>
      </c>
      <c r="G27" s="7">
        <f t="shared" si="0"/>
        <v>-59.149999999999942</v>
      </c>
      <c r="H27" s="7">
        <f t="shared" si="1"/>
        <v>-59.149999999999942</v>
      </c>
      <c r="I27" s="1"/>
      <c r="J27" s="7">
        <f t="shared" si="2"/>
        <v>1784.64</v>
      </c>
      <c r="K27" s="7">
        <f t="shared" si="3"/>
        <v>1784.64</v>
      </c>
      <c r="L27" s="3">
        <v>2</v>
      </c>
      <c r="M27" s="80" t="s">
        <v>52</v>
      </c>
    </row>
    <row r="28" spans="1:15" x14ac:dyDescent="0.2">
      <c r="A28" s="8"/>
      <c r="B28" s="62" t="s">
        <v>48</v>
      </c>
      <c r="C28" s="13">
        <v>2241.79</v>
      </c>
      <c r="D28" s="13" t="s">
        <v>52</v>
      </c>
      <c r="E28" s="1">
        <v>1</v>
      </c>
      <c r="F28" s="1">
        <v>1</v>
      </c>
      <c r="G28" s="7">
        <f t="shared" si="0"/>
        <v>0</v>
      </c>
      <c r="H28" s="7">
        <f t="shared" si="1"/>
        <v>0</v>
      </c>
      <c r="I28" s="1"/>
      <c r="J28" s="7">
        <f t="shared" si="2"/>
        <v>2241.79</v>
      </c>
      <c r="K28" s="7">
        <f t="shared" si="3"/>
        <v>2241.79</v>
      </c>
      <c r="L28" s="3">
        <v>1</v>
      </c>
      <c r="M28" s="80" t="s">
        <v>52</v>
      </c>
    </row>
    <row r="29" spans="1:15" x14ac:dyDescent="0.2">
      <c r="A29" s="8"/>
      <c r="B29" s="62" t="s">
        <v>143</v>
      </c>
      <c r="C29" s="13">
        <v>605.54</v>
      </c>
      <c r="D29" s="13" t="s">
        <v>52</v>
      </c>
      <c r="E29" s="1">
        <v>1</v>
      </c>
      <c r="F29" s="1">
        <v>1</v>
      </c>
      <c r="G29" s="7">
        <f t="shared" si="0"/>
        <v>0</v>
      </c>
      <c r="H29" s="7">
        <f t="shared" si="1"/>
        <v>0</v>
      </c>
      <c r="I29" s="1"/>
      <c r="J29" s="7">
        <f t="shared" si="2"/>
        <v>605.54</v>
      </c>
      <c r="K29" s="7">
        <f t="shared" si="3"/>
        <v>605.54</v>
      </c>
      <c r="L29" s="3">
        <v>1</v>
      </c>
      <c r="M29" s="80" t="s">
        <v>52</v>
      </c>
    </row>
    <row r="30" spans="1:15" x14ac:dyDescent="0.2">
      <c r="B30" s="62" t="s">
        <v>52</v>
      </c>
      <c r="C30" s="13" t="s">
        <v>52</v>
      </c>
      <c r="D30" s="13" t="s">
        <v>52</v>
      </c>
      <c r="E30" s="2"/>
      <c r="F30" s="2"/>
      <c r="G30" s="15"/>
      <c r="H30" s="15"/>
      <c r="I30" s="2"/>
      <c r="K30" s="15"/>
      <c r="M30" s="80" t="s">
        <v>52</v>
      </c>
    </row>
    <row r="31" spans="1:15" x14ac:dyDescent="0.2">
      <c r="A31" s="8" t="s">
        <v>4</v>
      </c>
      <c r="B31" s="13" t="s">
        <v>22</v>
      </c>
      <c r="D31" s="13" t="s">
        <v>52</v>
      </c>
      <c r="E31" s="4" t="s">
        <v>52</v>
      </c>
      <c r="F31" s="4" t="s">
        <v>52</v>
      </c>
      <c r="I31" s="3"/>
      <c r="K31" s="7" t="s">
        <v>52</v>
      </c>
      <c r="M31" s="80" t="s">
        <v>52</v>
      </c>
    </row>
    <row r="32" spans="1:15" x14ac:dyDescent="0.2">
      <c r="A32" s="25" t="s">
        <v>52</v>
      </c>
      <c r="B32" s="62" t="s">
        <v>134</v>
      </c>
      <c r="C32" s="13">
        <v>252.8022</v>
      </c>
      <c r="D32" s="13">
        <f>C32*1</f>
        <v>252.8022</v>
      </c>
      <c r="E32" s="16">
        <v>25.25</v>
      </c>
      <c r="F32" s="16">
        <v>25.15</v>
      </c>
      <c r="G32" s="7">
        <f>C32*(E32-F32)</f>
        <v>25.280220000000359</v>
      </c>
      <c r="H32" s="7">
        <f>C32*(E32-F32)</f>
        <v>25.280220000000359</v>
      </c>
      <c r="I32" s="3"/>
      <c r="J32" s="7">
        <f>C32*E32</f>
        <v>6383.2555499999999</v>
      </c>
      <c r="K32" s="7">
        <f t="shared" si="3"/>
        <v>6383.2555499999999</v>
      </c>
      <c r="L32" s="3">
        <v>2</v>
      </c>
      <c r="M32" s="80" t="s">
        <v>52</v>
      </c>
    </row>
    <row r="33" spans="1:27" x14ac:dyDescent="0.2">
      <c r="A33" s="8" t="s">
        <v>52</v>
      </c>
      <c r="B33" s="2" t="s">
        <v>120</v>
      </c>
      <c r="C33" s="13">
        <v>131960.74</v>
      </c>
      <c r="E33" s="1">
        <v>1</v>
      </c>
      <c r="F33" s="1">
        <v>1</v>
      </c>
      <c r="G33" s="7">
        <f>C33*(E33-F33)</f>
        <v>0</v>
      </c>
      <c r="H33" s="7">
        <f>C33*(E33-F33)</f>
        <v>0</v>
      </c>
      <c r="I33" s="3"/>
      <c r="J33" s="7">
        <f>C33*E33</f>
        <v>131960.74</v>
      </c>
      <c r="K33" s="7">
        <f>J33</f>
        <v>131960.74</v>
      </c>
      <c r="L33" s="3">
        <v>1</v>
      </c>
      <c r="M33" s="80" t="s">
        <v>52</v>
      </c>
    </row>
    <row r="34" spans="1:27" x14ac:dyDescent="0.2">
      <c r="A34" s="25" t="s">
        <v>52</v>
      </c>
      <c r="B34" s="2" t="s">
        <v>52</v>
      </c>
      <c r="C34" s="68" t="s">
        <v>52</v>
      </c>
      <c r="E34" s="1" t="s">
        <v>52</v>
      </c>
      <c r="F34" s="1" t="s">
        <v>52</v>
      </c>
      <c r="G34" s="2" t="s">
        <v>52</v>
      </c>
      <c r="H34" s="7" t="s">
        <v>52</v>
      </c>
      <c r="I34" s="3"/>
      <c r="J34" s="7" t="s">
        <v>52</v>
      </c>
      <c r="K34" s="15" t="s">
        <v>52</v>
      </c>
      <c r="M34" s="80" t="s">
        <v>52</v>
      </c>
    </row>
    <row r="35" spans="1:27" x14ac:dyDescent="0.2">
      <c r="A35" s="8" t="s">
        <v>5</v>
      </c>
      <c r="B35" s="2" t="s">
        <v>52</v>
      </c>
      <c r="C35" s="13" t="s">
        <v>52</v>
      </c>
      <c r="E35" s="1" t="s">
        <v>52</v>
      </c>
      <c r="F35" s="1" t="s">
        <v>52</v>
      </c>
      <c r="G35" s="7" t="s">
        <v>52</v>
      </c>
      <c r="H35" s="7" t="s">
        <v>52</v>
      </c>
      <c r="I35" s="3"/>
      <c r="J35" s="7" t="s">
        <v>52</v>
      </c>
      <c r="K35" s="7" t="str">
        <f t="shared" si="3"/>
        <v xml:space="preserve"> </v>
      </c>
      <c r="M35" s="80" t="s">
        <v>52</v>
      </c>
    </row>
    <row r="36" spans="1:27" x14ac:dyDescent="0.2">
      <c r="A36" s="8" t="s">
        <v>6</v>
      </c>
      <c r="B36" s="2" t="s">
        <v>23</v>
      </c>
      <c r="C36" s="13">
        <v>46480.62</v>
      </c>
      <c r="E36" s="1">
        <v>1</v>
      </c>
      <c r="F36" s="1">
        <v>1</v>
      </c>
      <c r="G36" s="7">
        <f>C36*(E36-F36)</f>
        <v>0</v>
      </c>
      <c r="H36" s="7">
        <f>C36*(E36-F36)</f>
        <v>0</v>
      </c>
      <c r="I36" s="3"/>
      <c r="J36" s="7">
        <f>C36*E36</f>
        <v>46480.62</v>
      </c>
      <c r="K36" s="7">
        <f>J36</f>
        <v>46480.62</v>
      </c>
      <c r="L36" s="3">
        <v>1</v>
      </c>
      <c r="M36" s="80" t="s">
        <v>52</v>
      </c>
    </row>
    <row r="37" spans="1:27" x14ac:dyDescent="0.2">
      <c r="A37" s="8"/>
      <c r="E37" s="1"/>
      <c r="F37" s="1"/>
      <c r="H37" s="7" t="s">
        <v>52</v>
      </c>
      <c r="I37" s="3"/>
      <c r="M37" s="80" t="s">
        <v>52</v>
      </c>
    </row>
    <row r="38" spans="1:27" x14ac:dyDescent="0.2">
      <c r="A38" s="8" t="s">
        <v>8</v>
      </c>
      <c r="B38" s="2" t="s">
        <v>134</v>
      </c>
      <c r="C38" s="13">
        <v>87.853999999999999</v>
      </c>
      <c r="D38" s="13">
        <f>C38*1</f>
        <v>87.853999999999999</v>
      </c>
      <c r="E38" s="1">
        <f>E$32</f>
        <v>25.25</v>
      </c>
      <c r="F38" s="1">
        <f>F$32</f>
        <v>25.15</v>
      </c>
      <c r="G38" s="7">
        <f>C38*(E38-F38)</f>
        <v>8.7854000000001253</v>
      </c>
      <c r="H38" s="7">
        <f>C38*(E38-F38)</f>
        <v>8.7854000000001253</v>
      </c>
      <c r="I38" s="1"/>
      <c r="J38" s="7">
        <f>C38*E38</f>
        <v>2218.3135000000002</v>
      </c>
      <c r="K38" s="7">
        <f>J38</f>
        <v>2218.3135000000002</v>
      </c>
      <c r="L38" s="3">
        <v>2</v>
      </c>
      <c r="M38" s="80" t="s">
        <v>52</v>
      </c>
    </row>
    <row r="39" spans="1:27" x14ac:dyDescent="0.2">
      <c r="A39" s="8"/>
      <c r="C39" s="13" t="s">
        <v>52</v>
      </c>
      <c r="E39" s="4"/>
      <c r="F39" s="4"/>
      <c r="H39" s="7" t="s">
        <v>52</v>
      </c>
      <c r="I39" s="22" t="s">
        <v>52</v>
      </c>
      <c r="M39" s="80" t="s">
        <v>52</v>
      </c>
    </row>
    <row r="40" spans="1:27" x14ac:dyDescent="0.2">
      <c r="A40" s="8" t="s">
        <v>86</v>
      </c>
      <c r="B40" s="5" t="s">
        <v>22</v>
      </c>
      <c r="D40" s="13" t="s">
        <v>52</v>
      </c>
      <c r="E40" s="3"/>
      <c r="F40" s="3"/>
      <c r="H40" s="7" t="s">
        <v>52</v>
      </c>
      <c r="I40" s="3" t="s">
        <v>52</v>
      </c>
      <c r="M40" s="80" t="s">
        <v>52</v>
      </c>
      <c r="V40" s="3"/>
      <c r="W40" s="3"/>
      <c r="X40" s="3"/>
      <c r="Y40" s="3"/>
      <c r="Z40" s="3"/>
      <c r="AA40" s="3"/>
    </row>
    <row r="41" spans="1:27" x14ac:dyDescent="0.2">
      <c r="A41" s="25" t="s">
        <v>52</v>
      </c>
      <c r="B41" s="2" t="s">
        <v>120</v>
      </c>
      <c r="C41" s="13">
        <v>610180.30000000005</v>
      </c>
      <c r="D41" s="13" t="s">
        <v>52</v>
      </c>
      <c r="E41" s="1">
        <v>1</v>
      </c>
      <c r="F41" s="1">
        <v>1</v>
      </c>
      <c r="G41" s="7">
        <f>C41*(E41-F41)</f>
        <v>0</v>
      </c>
      <c r="H41" s="7">
        <f>C41*(E41-F41)*0.5895</f>
        <v>0</v>
      </c>
      <c r="I41" s="22" t="s">
        <v>52</v>
      </c>
      <c r="J41" s="7">
        <f>C41*E41</f>
        <v>610180.30000000005</v>
      </c>
      <c r="K41" s="7">
        <f>J41*0.614</f>
        <v>374650.70420000004</v>
      </c>
      <c r="L41" s="3">
        <v>1</v>
      </c>
      <c r="M41" s="80" t="s">
        <v>52</v>
      </c>
    </row>
    <row r="42" spans="1:27" x14ac:dyDescent="0.2">
      <c r="A42" s="25"/>
      <c r="E42" s="1"/>
      <c r="F42" s="1"/>
      <c r="H42" s="7" t="s">
        <v>52</v>
      </c>
      <c r="I42" s="22"/>
      <c r="M42" s="80" t="s">
        <v>52</v>
      </c>
    </row>
    <row r="43" spans="1:27" x14ac:dyDescent="0.2">
      <c r="A43" s="8" t="s">
        <v>66</v>
      </c>
      <c r="B43" s="5" t="s">
        <v>22</v>
      </c>
      <c r="D43" s="13" t="s">
        <v>52</v>
      </c>
      <c r="E43" s="3"/>
      <c r="F43" s="3"/>
      <c r="H43" s="7" t="s">
        <v>52</v>
      </c>
      <c r="I43" s="22" t="s">
        <v>52</v>
      </c>
      <c r="M43" s="80" t="s">
        <v>52</v>
      </c>
    </row>
    <row r="44" spans="1:27" x14ac:dyDescent="0.2">
      <c r="A44" s="25" t="s">
        <v>52</v>
      </c>
      <c r="B44" s="2" t="s">
        <v>120</v>
      </c>
      <c r="C44" s="13">
        <v>263042.63</v>
      </c>
      <c r="D44" s="13" t="s">
        <v>52</v>
      </c>
      <c r="E44" s="1">
        <v>1</v>
      </c>
      <c r="F44" s="1">
        <v>1</v>
      </c>
      <c r="G44" s="7">
        <f>C44*(E44-F44)</f>
        <v>0</v>
      </c>
      <c r="H44" s="7">
        <f>C44*(E44-F44)*0.5895</f>
        <v>0</v>
      </c>
      <c r="I44" s="22" t="s">
        <v>52</v>
      </c>
      <c r="J44" s="7">
        <f>C44*E44</f>
        <v>263042.63</v>
      </c>
      <c r="K44" s="7">
        <f>J44*0.614</f>
        <v>161508.17482000001</v>
      </c>
      <c r="L44" s="3">
        <v>1</v>
      </c>
      <c r="M44" s="80" t="s">
        <v>52</v>
      </c>
    </row>
    <row r="45" spans="1:27" x14ac:dyDescent="0.2">
      <c r="A45" s="25" t="s">
        <v>52</v>
      </c>
      <c r="B45" s="2" t="s">
        <v>134</v>
      </c>
      <c r="C45" s="13">
        <v>8271</v>
      </c>
      <c r="D45" s="13">
        <f>C45*1</f>
        <v>8271</v>
      </c>
      <c r="E45" s="1">
        <f>E$32</f>
        <v>25.25</v>
      </c>
      <c r="F45" s="1">
        <f>F$32</f>
        <v>25.15</v>
      </c>
      <c r="G45" s="7">
        <f>C45*(E45-F45)</f>
        <v>827.10000000001173</v>
      </c>
      <c r="H45" s="7">
        <f>C45*(E45-F45)*0.5895</f>
        <v>487.57545000000692</v>
      </c>
      <c r="I45" s="22" t="s">
        <v>52</v>
      </c>
      <c r="J45" s="7">
        <f>C45*E45</f>
        <v>208842.75</v>
      </c>
      <c r="K45" s="7">
        <f>J45*0.614</f>
        <v>128229.4485</v>
      </c>
      <c r="L45" s="3">
        <v>2</v>
      </c>
      <c r="M45" s="80" t="s">
        <v>52</v>
      </c>
      <c r="O45" s="7" t="s">
        <v>52</v>
      </c>
    </row>
    <row r="46" spans="1:27" x14ac:dyDescent="0.2">
      <c r="A46" s="25"/>
      <c r="E46" s="1"/>
      <c r="F46" s="1"/>
      <c r="H46" s="7" t="s">
        <v>52</v>
      </c>
      <c r="I46" s="22"/>
      <c r="J46" s="22"/>
      <c r="M46" s="80" t="s">
        <v>52</v>
      </c>
    </row>
    <row r="47" spans="1:27" x14ac:dyDescent="0.2">
      <c r="A47" s="8" t="s">
        <v>7</v>
      </c>
      <c r="B47" s="5" t="s">
        <v>22</v>
      </c>
      <c r="E47" s="3"/>
      <c r="F47" s="3"/>
      <c r="H47" s="7" t="s">
        <v>52</v>
      </c>
      <c r="I47" s="3"/>
      <c r="M47" s="80" t="s">
        <v>52</v>
      </c>
    </row>
    <row r="48" spans="1:27" x14ac:dyDescent="0.2">
      <c r="A48" s="8"/>
      <c r="B48" s="2" t="s">
        <v>130</v>
      </c>
      <c r="C48" s="13">
        <v>1307.5862</v>
      </c>
      <c r="D48" s="13">
        <f>C48*1</f>
        <v>1307.5862</v>
      </c>
      <c r="E48" s="1">
        <f t="shared" ref="E48:F50" si="4">E$32</f>
        <v>25.25</v>
      </c>
      <c r="F48" s="1">
        <f t="shared" si="4"/>
        <v>25.15</v>
      </c>
      <c r="G48" s="7">
        <f>C48*(E48-F48)</f>
        <v>130.75862000000186</v>
      </c>
      <c r="H48" s="7">
        <f>C48*(E48-F48)</f>
        <v>130.75862000000186</v>
      </c>
      <c r="I48" s="1"/>
      <c r="J48" s="7">
        <f>C48*E48</f>
        <v>33016.551549999996</v>
      </c>
      <c r="K48" s="7">
        <f>J48</f>
        <v>33016.551549999996</v>
      </c>
      <c r="L48" s="3">
        <v>2</v>
      </c>
      <c r="M48" s="80" t="s">
        <v>52</v>
      </c>
    </row>
    <row r="49" spans="1:14" x14ac:dyDescent="0.2">
      <c r="A49" s="8"/>
      <c r="B49" s="2" t="s">
        <v>131</v>
      </c>
      <c r="C49" s="13">
        <v>178.0334</v>
      </c>
      <c r="D49" s="13">
        <f>C49*1</f>
        <v>178.0334</v>
      </c>
      <c r="E49" s="1">
        <f t="shared" si="4"/>
        <v>25.25</v>
      </c>
      <c r="F49" s="1">
        <f t="shared" si="4"/>
        <v>25.15</v>
      </c>
      <c r="G49" s="7">
        <f>C49*(E49-F49)</f>
        <v>17.803340000000254</v>
      </c>
      <c r="H49" s="7">
        <f>C49*(E49-F49)</f>
        <v>17.803340000000254</v>
      </c>
      <c r="I49" s="1"/>
      <c r="J49" s="7">
        <f>C49*E49</f>
        <v>4495.3433500000001</v>
      </c>
      <c r="K49" s="7">
        <f>J49</f>
        <v>4495.3433500000001</v>
      </c>
      <c r="L49" s="3">
        <v>2</v>
      </c>
      <c r="M49" s="80" t="s">
        <v>52</v>
      </c>
    </row>
    <row r="50" spans="1:14" x14ac:dyDescent="0.2">
      <c r="A50" s="8"/>
      <c r="B50" s="2" t="s">
        <v>129</v>
      </c>
      <c r="C50" s="13">
        <v>402.85410000000002</v>
      </c>
      <c r="D50" s="13">
        <f>C50*1</f>
        <v>402.85410000000002</v>
      </c>
      <c r="E50" s="1">
        <f t="shared" si="4"/>
        <v>25.25</v>
      </c>
      <c r="F50" s="1">
        <f t="shared" si="4"/>
        <v>25.15</v>
      </c>
      <c r="G50" s="7">
        <f>C50*(E50-F50)</f>
        <v>40.285410000000574</v>
      </c>
      <c r="H50" s="7">
        <f>C50*(E50-F50)</f>
        <v>40.285410000000574</v>
      </c>
      <c r="I50" s="1"/>
      <c r="J50" s="7">
        <f>C50*E50</f>
        <v>10172.066025</v>
      </c>
      <c r="K50" s="7">
        <f>J50</f>
        <v>10172.066025</v>
      </c>
      <c r="L50" s="3">
        <v>2</v>
      </c>
      <c r="M50" s="80" t="s">
        <v>52</v>
      </c>
    </row>
    <row r="51" spans="1:14" x14ac:dyDescent="0.2">
      <c r="A51" s="8"/>
      <c r="E51" s="1"/>
      <c r="F51" s="1"/>
      <c r="H51" s="7" t="s">
        <v>52</v>
      </c>
      <c r="I51" s="1"/>
      <c r="M51" s="80" t="s">
        <v>52</v>
      </c>
    </row>
    <row r="52" spans="1:14" x14ac:dyDescent="0.2">
      <c r="A52" s="8" t="s">
        <v>59</v>
      </c>
      <c r="B52" s="1" t="s">
        <v>22</v>
      </c>
      <c r="C52" s="13" t="s">
        <v>52</v>
      </c>
      <c r="E52" s="1" t="s">
        <v>52</v>
      </c>
      <c r="F52" s="1" t="s">
        <v>52</v>
      </c>
      <c r="G52" s="15"/>
      <c r="H52" s="7" t="s">
        <v>52</v>
      </c>
      <c r="I52" s="2"/>
      <c r="L52" s="5"/>
      <c r="M52" s="80" t="s">
        <v>52</v>
      </c>
    </row>
    <row r="53" spans="1:14" x14ac:dyDescent="0.2">
      <c r="A53" s="8" t="s">
        <v>9</v>
      </c>
      <c r="B53" s="2" t="s">
        <v>161</v>
      </c>
      <c r="C53" s="13">
        <v>3262</v>
      </c>
      <c r="D53" s="13" t="s">
        <v>52</v>
      </c>
      <c r="E53" s="1">
        <f t="shared" ref="E53:F59" si="5">E$32</f>
        <v>25.25</v>
      </c>
      <c r="F53" s="1">
        <f t="shared" si="5"/>
        <v>25.15</v>
      </c>
      <c r="G53" s="7">
        <f t="shared" ref="G53:G58" si="6">IF(E53&gt;I53,(E53-F53)*C53,0)</f>
        <v>0</v>
      </c>
      <c r="H53" s="7">
        <f t="shared" ref="H53:H58" si="7">IF(E53&gt;I53,(E53-F53)*C53*0.5895,0)</f>
        <v>0</v>
      </c>
      <c r="I53" s="1">
        <v>76.025000000000006</v>
      </c>
      <c r="J53" s="7">
        <f t="shared" ref="J53:J58" si="8">IF(C53*(E53-I53)&gt;0,C53*(E53-I53),0)</f>
        <v>0</v>
      </c>
      <c r="K53" s="7">
        <f>J53*0.5995</f>
        <v>0</v>
      </c>
      <c r="L53" s="3">
        <v>2</v>
      </c>
      <c r="M53" s="80" t="s">
        <v>52</v>
      </c>
    </row>
    <row r="54" spans="1:14" x14ac:dyDescent="0.2">
      <c r="A54" s="8"/>
      <c r="B54" s="2" t="s">
        <v>160</v>
      </c>
      <c r="C54" s="13">
        <v>1270</v>
      </c>
      <c r="D54" s="13" t="s">
        <v>52</v>
      </c>
      <c r="E54" s="1">
        <f t="shared" si="5"/>
        <v>25.25</v>
      </c>
      <c r="F54" s="1">
        <f t="shared" si="5"/>
        <v>25.15</v>
      </c>
      <c r="G54" s="7">
        <f t="shared" si="6"/>
        <v>0</v>
      </c>
      <c r="H54" s="7">
        <f t="shared" si="7"/>
        <v>0</v>
      </c>
      <c r="I54" s="1">
        <v>76</v>
      </c>
      <c r="J54" s="7">
        <f t="shared" si="8"/>
        <v>0</v>
      </c>
      <c r="K54" s="7">
        <f>J54*0.5895</f>
        <v>0</v>
      </c>
      <c r="L54" s="3">
        <v>2</v>
      </c>
      <c r="M54" s="80" t="s">
        <v>52</v>
      </c>
      <c r="N54" s="80" t="s">
        <v>52</v>
      </c>
    </row>
    <row r="55" spans="1:14" x14ac:dyDescent="0.2">
      <c r="A55" s="8" t="s">
        <v>52</v>
      </c>
      <c r="B55" s="2" t="s">
        <v>155</v>
      </c>
      <c r="C55" s="13">
        <v>381</v>
      </c>
      <c r="D55" s="13" t="s">
        <v>52</v>
      </c>
      <c r="E55" s="1">
        <f t="shared" si="5"/>
        <v>25.25</v>
      </c>
      <c r="F55" s="1">
        <f t="shared" si="5"/>
        <v>25.15</v>
      </c>
      <c r="G55" s="7">
        <f t="shared" si="6"/>
        <v>0</v>
      </c>
      <c r="H55" s="7">
        <f t="shared" si="7"/>
        <v>0</v>
      </c>
      <c r="I55" s="1">
        <v>83.125</v>
      </c>
      <c r="J55" s="7">
        <f t="shared" si="8"/>
        <v>0</v>
      </c>
      <c r="K55" s="7">
        <f>J55*0.5995</f>
        <v>0</v>
      </c>
      <c r="L55" s="3">
        <v>2</v>
      </c>
      <c r="M55" s="80" t="s">
        <v>52</v>
      </c>
    </row>
    <row r="56" spans="1:14" x14ac:dyDescent="0.2">
      <c r="A56" s="8" t="s">
        <v>52</v>
      </c>
      <c r="B56" s="2" t="s">
        <v>147</v>
      </c>
      <c r="C56" s="13">
        <v>347</v>
      </c>
      <c r="D56" s="13" t="s">
        <v>52</v>
      </c>
      <c r="E56" s="1">
        <f t="shared" si="5"/>
        <v>25.25</v>
      </c>
      <c r="F56" s="1">
        <f t="shared" si="5"/>
        <v>25.15</v>
      </c>
      <c r="G56" s="7">
        <f t="shared" si="6"/>
        <v>0</v>
      </c>
      <c r="H56" s="7">
        <f t="shared" si="7"/>
        <v>0</v>
      </c>
      <c r="I56" s="1">
        <v>62.41</v>
      </c>
      <c r="J56" s="7">
        <f t="shared" si="8"/>
        <v>0</v>
      </c>
      <c r="K56" s="7">
        <f>J56*0.5995</f>
        <v>0</v>
      </c>
      <c r="L56" s="3">
        <v>2</v>
      </c>
      <c r="M56" s="80" t="s">
        <v>52</v>
      </c>
    </row>
    <row r="57" spans="1:14" x14ac:dyDescent="0.2">
      <c r="A57" s="8" t="s">
        <v>52</v>
      </c>
      <c r="B57" s="2" t="s">
        <v>152</v>
      </c>
      <c r="C57" s="13">
        <v>348</v>
      </c>
      <c r="D57" s="13" t="s">
        <v>52</v>
      </c>
      <c r="E57" s="1">
        <f t="shared" si="5"/>
        <v>25.25</v>
      </c>
      <c r="F57" s="1">
        <f t="shared" si="5"/>
        <v>25.15</v>
      </c>
      <c r="G57" s="7">
        <f t="shared" si="6"/>
        <v>0</v>
      </c>
      <c r="H57" s="7">
        <f t="shared" si="7"/>
        <v>0</v>
      </c>
      <c r="I57" s="1">
        <v>53.04</v>
      </c>
      <c r="J57" s="7">
        <f t="shared" si="8"/>
        <v>0</v>
      </c>
      <c r="K57" s="7">
        <f>J57*0.5995</f>
        <v>0</v>
      </c>
      <c r="L57" s="3">
        <v>2</v>
      </c>
      <c r="M57" s="80" t="s">
        <v>52</v>
      </c>
    </row>
    <row r="58" spans="1:14" x14ac:dyDescent="0.2">
      <c r="A58" s="8" t="s">
        <v>52</v>
      </c>
      <c r="B58" s="2" t="s">
        <v>158</v>
      </c>
      <c r="C58" s="13">
        <v>417</v>
      </c>
      <c r="D58" s="13" t="s">
        <v>52</v>
      </c>
      <c r="E58" s="1">
        <f t="shared" si="5"/>
        <v>25.25</v>
      </c>
      <c r="F58" s="1">
        <f t="shared" si="5"/>
        <v>25.15</v>
      </c>
      <c r="G58" s="7">
        <f t="shared" si="6"/>
        <v>0</v>
      </c>
      <c r="H58" s="7">
        <f t="shared" si="7"/>
        <v>0</v>
      </c>
      <c r="I58" s="1">
        <v>48.3</v>
      </c>
      <c r="J58" s="7">
        <f t="shared" si="8"/>
        <v>0</v>
      </c>
      <c r="K58" s="7">
        <f>J58*0.5995</f>
        <v>0</v>
      </c>
      <c r="L58" s="3">
        <v>2</v>
      </c>
      <c r="M58" s="80" t="s">
        <v>52</v>
      </c>
    </row>
    <row r="59" spans="1:14" x14ac:dyDescent="0.2">
      <c r="A59" s="8" t="s">
        <v>52</v>
      </c>
      <c r="B59" s="2" t="s">
        <v>172</v>
      </c>
      <c r="C59" s="13">
        <v>610</v>
      </c>
      <c r="D59" s="13" t="s">
        <v>52</v>
      </c>
      <c r="E59" s="1">
        <f t="shared" si="5"/>
        <v>25.25</v>
      </c>
      <c r="F59" s="1">
        <f t="shared" si="5"/>
        <v>25.15</v>
      </c>
      <c r="G59" s="7">
        <f>IF(E59&gt;I59,(E59-F59)*C59,0)</f>
        <v>0</v>
      </c>
      <c r="H59" s="7">
        <f>IF(E59&gt;I59,(E59-F59)*C59*0.5895,0)</f>
        <v>0</v>
      </c>
      <c r="I59" s="1">
        <v>36.880000000000003</v>
      </c>
      <c r="J59" s="7">
        <f>IF(C59*(E59-I59)&gt;0,C59*(E59-I59),0)</f>
        <v>0</v>
      </c>
      <c r="K59" s="7">
        <f>J59*0.5995</f>
        <v>0</v>
      </c>
      <c r="L59" s="3">
        <v>2</v>
      </c>
      <c r="M59" s="80" t="s">
        <v>52</v>
      </c>
    </row>
    <row r="60" spans="1:14" x14ac:dyDescent="0.2">
      <c r="A60" s="8" t="s">
        <v>52</v>
      </c>
      <c r="B60" s="21" t="s">
        <v>52</v>
      </c>
      <c r="C60" s="13" t="s">
        <v>52</v>
      </c>
      <c r="E60" s="1" t="s">
        <v>52</v>
      </c>
      <c r="F60" s="1" t="s">
        <v>52</v>
      </c>
      <c r="G60" s="15"/>
      <c r="H60" s="7" t="s">
        <v>52</v>
      </c>
      <c r="I60" s="2"/>
      <c r="M60" s="80" t="s">
        <v>52</v>
      </c>
    </row>
    <row r="61" spans="1:14" x14ac:dyDescent="0.2">
      <c r="A61" s="8" t="s">
        <v>10</v>
      </c>
      <c r="B61" s="5" t="s">
        <v>22</v>
      </c>
      <c r="D61" s="13" t="s">
        <v>52</v>
      </c>
      <c r="E61" s="1" t="s">
        <v>52</v>
      </c>
      <c r="F61" s="1" t="s">
        <v>52</v>
      </c>
      <c r="H61" s="7" t="s">
        <v>52</v>
      </c>
      <c r="I61" s="3"/>
      <c r="K61" s="7" t="s">
        <v>52</v>
      </c>
      <c r="M61" s="80" t="s">
        <v>52</v>
      </c>
    </row>
    <row r="62" spans="1:14" x14ac:dyDescent="0.2">
      <c r="A62" s="8" t="s">
        <v>11</v>
      </c>
      <c r="B62" s="2" t="s">
        <v>132</v>
      </c>
      <c r="C62" s="13">
        <v>2317</v>
      </c>
      <c r="D62" s="13">
        <f>C62*1</f>
        <v>2317</v>
      </c>
      <c r="E62" s="1">
        <f>E$32</f>
        <v>25.25</v>
      </c>
      <c r="F62" s="1">
        <f>F$32</f>
        <v>25.15</v>
      </c>
      <c r="G62" s="7">
        <f>C62*(E62-F62)</f>
        <v>231.70000000000329</v>
      </c>
      <c r="H62" s="7">
        <f>C62*(E62-F62)*0.5895</f>
        <v>136.58715000000194</v>
      </c>
      <c r="I62" s="1"/>
      <c r="J62" s="7">
        <f>C62*E62</f>
        <v>58504.25</v>
      </c>
      <c r="K62" s="7">
        <f>J62*0.614</f>
        <v>35921.609499999999</v>
      </c>
      <c r="L62" s="3">
        <v>2</v>
      </c>
      <c r="M62" s="80" t="s">
        <v>52</v>
      </c>
    </row>
    <row r="63" spans="1:14" x14ac:dyDescent="0.2">
      <c r="A63" s="8"/>
      <c r="C63" s="13" t="s">
        <v>52</v>
      </c>
      <c r="D63" s="13" t="s">
        <v>52</v>
      </c>
      <c r="E63" s="1" t="s">
        <v>52</v>
      </c>
      <c r="F63" s="1" t="s">
        <v>52</v>
      </c>
      <c r="G63" s="2"/>
      <c r="H63" s="7" t="s">
        <v>52</v>
      </c>
      <c r="I63" s="2"/>
      <c r="K63" s="7" t="s">
        <v>52</v>
      </c>
      <c r="M63" s="80" t="s">
        <v>52</v>
      </c>
    </row>
    <row r="64" spans="1:14" x14ac:dyDescent="0.2">
      <c r="A64" s="8" t="s">
        <v>64</v>
      </c>
      <c r="B64" s="5" t="s">
        <v>22</v>
      </c>
      <c r="D64" s="13" t="s">
        <v>52</v>
      </c>
      <c r="E64" s="1" t="s">
        <v>52</v>
      </c>
      <c r="F64" s="1" t="s">
        <v>52</v>
      </c>
      <c r="H64" s="7" t="s">
        <v>52</v>
      </c>
      <c r="I64" s="3"/>
      <c r="K64" s="7" t="s">
        <v>52</v>
      </c>
      <c r="M64" s="80" t="s">
        <v>52</v>
      </c>
    </row>
    <row r="65" spans="1:16" x14ac:dyDescent="0.2">
      <c r="A65" s="8" t="s">
        <v>65</v>
      </c>
      <c r="B65" s="2" t="s">
        <v>133</v>
      </c>
      <c r="C65" s="13">
        <v>1924</v>
      </c>
      <c r="D65" s="13">
        <f>+C65*1</f>
        <v>1924</v>
      </c>
      <c r="E65" s="1">
        <f>E$32</f>
        <v>25.25</v>
      </c>
      <c r="F65" s="1">
        <f>F$32</f>
        <v>25.15</v>
      </c>
      <c r="G65" s="7">
        <f>C65*(E65-F65)</f>
        <v>192.40000000000273</v>
      </c>
      <c r="H65" s="7">
        <f>C65*(E65-F65)*0.5895</f>
        <v>113.41980000000162</v>
      </c>
      <c r="I65" s="1"/>
      <c r="J65" s="7">
        <f>C65*E65</f>
        <v>48581</v>
      </c>
      <c r="K65" s="7">
        <f>J65*0.614</f>
        <v>29828.734</v>
      </c>
      <c r="L65" s="3">
        <v>2</v>
      </c>
      <c r="M65" s="80" t="s">
        <v>52</v>
      </c>
      <c r="O65" s="7" t="s">
        <v>52</v>
      </c>
      <c r="P65" s="15" t="s">
        <v>52</v>
      </c>
    </row>
    <row r="66" spans="1:16" x14ac:dyDescent="0.2">
      <c r="A66" s="87" t="s">
        <v>52</v>
      </c>
      <c r="E66" s="1"/>
      <c r="F66" s="1"/>
      <c r="H66" s="7" t="s">
        <v>52</v>
      </c>
      <c r="I66" s="1"/>
    </row>
    <row r="67" spans="1:16" x14ac:dyDescent="0.2">
      <c r="A67" s="8" t="s">
        <v>57</v>
      </c>
      <c r="B67" s="5" t="s">
        <v>22</v>
      </c>
      <c r="C67" s="13" t="s">
        <v>52</v>
      </c>
      <c r="D67" s="13" t="s">
        <v>52</v>
      </c>
      <c r="E67" s="14"/>
      <c r="F67" s="14"/>
      <c r="H67" s="7" t="s">
        <v>52</v>
      </c>
      <c r="I67" s="3"/>
      <c r="K67" s="7" t="s">
        <v>52</v>
      </c>
    </row>
    <row r="68" spans="1:16" x14ac:dyDescent="0.2">
      <c r="A68" s="8" t="s">
        <v>52</v>
      </c>
      <c r="B68" s="2" t="s">
        <v>23</v>
      </c>
      <c r="C68" s="80">
        <v>2944578.03</v>
      </c>
      <c r="D68" s="13" t="s">
        <v>52</v>
      </c>
      <c r="E68" s="1">
        <v>1</v>
      </c>
      <c r="F68" s="1">
        <v>1</v>
      </c>
      <c r="G68" s="7">
        <f>C68*(E68-F68)</f>
        <v>0</v>
      </c>
      <c r="H68" s="7">
        <f t="shared" ref="H68:H82" si="9">C68*(E68-F68)</f>
        <v>0</v>
      </c>
      <c r="I68" s="1"/>
      <c r="J68" s="7">
        <f>C68*E68</f>
        <v>2944578.03</v>
      </c>
      <c r="K68" s="7">
        <f t="shared" ref="K68:K83" si="10">J68</f>
        <v>2944578.03</v>
      </c>
      <c r="L68" s="3">
        <v>1</v>
      </c>
    </row>
    <row r="69" spans="1:16" x14ac:dyDescent="0.2">
      <c r="A69" s="30" t="s">
        <v>52</v>
      </c>
      <c r="B69" s="2" t="s">
        <v>162</v>
      </c>
      <c r="C69" s="13">
        <v>-5000</v>
      </c>
      <c r="D69" s="13">
        <f>C69*-1</f>
        <v>5000</v>
      </c>
      <c r="E69" s="1">
        <v>12.9</v>
      </c>
      <c r="F69" s="1">
        <v>13.25</v>
      </c>
      <c r="G69" s="7">
        <f>(E69-F69)*C69</f>
        <v>1749.9999999999982</v>
      </c>
      <c r="H69" s="7">
        <f>C69*(E69-F69)</f>
        <v>1749.9999999999982</v>
      </c>
      <c r="J69" s="7">
        <f>G69</f>
        <v>1749.9999999999982</v>
      </c>
      <c r="K69" s="7">
        <f t="shared" si="10"/>
        <v>1749.9999999999982</v>
      </c>
      <c r="L69" s="3">
        <v>1</v>
      </c>
    </row>
    <row r="70" spans="1:16" x14ac:dyDescent="0.2">
      <c r="A70" s="30" t="s">
        <v>52</v>
      </c>
      <c r="B70" s="2" t="s">
        <v>145</v>
      </c>
      <c r="C70" s="13">
        <v>-2000</v>
      </c>
      <c r="D70" s="13">
        <f>C70*-1</f>
        <v>2000</v>
      </c>
      <c r="E70" s="1">
        <v>24.9</v>
      </c>
      <c r="F70" s="1">
        <v>24.85</v>
      </c>
      <c r="G70" s="7">
        <f t="shared" ref="G70:G82" si="11">(E70-F70)*C70</f>
        <v>-99.999999999994316</v>
      </c>
      <c r="H70" s="7">
        <f t="shared" si="9"/>
        <v>-99.999999999994316</v>
      </c>
      <c r="J70" s="7">
        <f>G70</f>
        <v>-99.999999999994316</v>
      </c>
      <c r="K70" s="7">
        <f t="shared" si="10"/>
        <v>-99.999999999994316</v>
      </c>
      <c r="L70" s="3">
        <v>1</v>
      </c>
      <c r="N70" s="80" t="s">
        <v>52</v>
      </c>
    </row>
    <row r="71" spans="1:16" x14ac:dyDescent="0.2">
      <c r="A71" s="30" t="s">
        <v>52</v>
      </c>
      <c r="B71" s="2" t="s">
        <v>167</v>
      </c>
      <c r="C71" s="13">
        <v>-15000</v>
      </c>
      <c r="D71" s="13" t="s">
        <v>52</v>
      </c>
      <c r="E71" s="1">
        <v>0.95</v>
      </c>
      <c r="F71" s="1">
        <v>0.95</v>
      </c>
      <c r="G71" s="7">
        <f>(E71-F71)*C71</f>
        <v>0</v>
      </c>
      <c r="H71" s="7">
        <f>C71*(E71-F71)</f>
        <v>0</v>
      </c>
      <c r="J71" s="7">
        <f>G71</f>
        <v>0</v>
      </c>
      <c r="K71" s="7">
        <f>J71</f>
        <v>0</v>
      </c>
      <c r="L71" s="3">
        <v>1</v>
      </c>
      <c r="M71" s="80">
        <f>C71*E71*-1</f>
        <v>14250</v>
      </c>
    </row>
    <row r="72" spans="1:16" x14ac:dyDescent="0.2">
      <c r="A72" s="30" t="s">
        <v>52</v>
      </c>
      <c r="B72" s="2" t="s">
        <v>165</v>
      </c>
      <c r="C72" s="13">
        <v>-2500</v>
      </c>
      <c r="D72" s="13" t="s">
        <v>52</v>
      </c>
      <c r="E72" s="1">
        <v>0.5</v>
      </c>
      <c r="F72" s="1">
        <v>0.5</v>
      </c>
      <c r="G72" s="7">
        <f>(E72-F72)*C72</f>
        <v>0</v>
      </c>
      <c r="H72" s="7">
        <f>C72*(E72-F72)</f>
        <v>0</v>
      </c>
      <c r="J72" s="7">
        <f>G72</f>
        <v>0</v>
      </c>
      <c r="K72" s="7">
        <f>J72</f>
        <v>0</v>
      </c>
      <c r="L72" s="3">
        <v>1</v>
      </c>
      <c r="M72" s="80">
        <f>C72*E72*-1</f>
        <v>1250</v>
      </c>
    </row>
    <row r="73" spans="1:16" x14ac:dyDescent="0.2">
      <c r="A73" s="30" t="s">
        <v>52</v>
      </c>
      <c r="B73" s="2" t="s">
        <v>135</v>
      </c>
      <c r="C73" s="13">
        <v>-5000</v>
      </c>
      <c r="D73" s="13" t="s">
        <v>52</v>
      </c>
      <c r="E73" s="1">
        <v>0.15</v>
      </c>
      <c r="F73" s="1">
        <v>0.15</v>
      </c>
      <c r="G73" s="7">
        <f t="shared" si="11"/>
        <v>0</v>
      </c>
      <c r="H73" s="7">
        <f t="shared" si="9"/>
        <v>0</v>
      </c>
      <c r="J73" s="7">
        <f t="shared" ref="J73:J81" si="12">G73</f>
        <v>0</v>
      </c>
      <c r="K73" s="7">
        <f t="shared" si="10"/>
        <v>0</v>
      </c>
      <c r="L73" s="3">
        <v>1</v>
      </c>
      <c r="M73" s="80">
        <f t="shared" ref="M73:M82" si="13">C73*E73*-1</f>
        <v>750</v>
      </c>
    </row>
    <row r="74" spans="1:16" x14ac:dyDescent="0.2">
      <c r="A74" s="30" t="s">
        <v>52</v>
      </c>
      <c r="B74" s="2" t="s">
        <v>136</v>
      </c>
      <c r="C74" s="13">
        <v>-15000</v>
      </c>
      <c r="D74" s="13" t="s">
        <v>52</v>
      </c>
      <c r="E74" s="1">
        <v>0.05</v>
      </c>
      <c r="F74" s="1">
        <v>0.05</v>
      </c>
      <c r="G74" s="7">
        <f t="shared" si="11"/>
        <v>0</v>
      </c>
      <c r="H74" s="7">
        <f t="shared" si="9"/>
        <v>0</v>
      </c>
      <c r="J74" s="7">
        <f t="shared" si="12"/>
        <v>0</v>
      </c>
      <c r="K74" s="7">
        <f t="shared" si="10"/>
        <v>0</v>
      </c>
      <c r="L74" s="3">
        <v>1</v>
      </c>
      <c r="M74" s="80">
        <f t="shared" si="13"/>
        <v>750</v>
      </c>
      <c r="N74" s="80" t="s">
        <v>52</v>
      </c>
    </row>
    <row r="75" spans="1:16" x14ac:dyDescent="0.2">
      <c r="A75" s="30" t="s">
        <v>52</v>
      </c>
      <c r="B75" s="2" t="s">
        <v>153</v>
      </c>
      <c r="C75" s="13">
        <v>-5000</v>
      </c>
      <c r="D75" s="13" t="s">
        <v>52</v>
      </c>
      <c r="E75" s="1">
        <v>0.75</v>
      </c>
      <c r="F75" s="1">
        <v>0.9</v>
      </c>
      <c r="G75" s="7">
        <f>(E75-F75)*C75</f>
        <v>750.00000000000011</v>
      </c>
      <c r="H75" s="7">
        <f>C75*(E75-F75)</f>
        <v>750.00000000000011</v>
      </c>
      <c r="J75" s="7">
        <f>G75</f>
        <v>750.00000000000011</v>
      </c>
      <c r="K75" s="7">
        <f t="shared" si="10"/>
        <v>750.00000000000011</v>
      </c>
      <c r="L75" s="3">
        <v>1</v>
      </c>
      <c r="M75" s="80">
        <f>C75*E75*-1</f>
        <v>3750</v>
      </c>
    </row>
    <row r="76" spans="1:16" x14ac:dyDescent="0.2">
      <c r="A76" s="30" t="s">
        <v>52</v>
      </c>
      <c r="B76" s="2" t="s">
        <v>137</v>
      </c>
      <c r="C76" s="13">
        <v>-15000</v>
      </c>
      <c r="D76" s="13" t="s">
        <v>52</v>
      </c>
      <c r="E76" s="1">
        <v>0.5</v>
      </c>
      <c r="F76" s="1">
        <v>0.6</v>
      </c>
      <c r="G76" s="7">
        <f t="shared" si="11"/>
        <v>1499.9999999999998</v>
      </c>
      <c r="H76" s="7">
        <f t="shared" si="9"/>
        <v>1499.9999999999998</v>
      </c>
      <c r="J76" s="7">
        <f t="shared" si="12"/>
        <v>1499.9999999999998</v>
      </c>
      <c r="K76" s="7">
        <f t="shared" si="10"/>
        <v>1499.9999999999998</v>
      </c>
      <c r="L76" s="3">
        <v>1</v>
      </c>
      <c r="M76" s="80">
        <f t="shared" si="13"/>
        <v>7500</v>
      </c>
      <c r="O76" s="5" t="s">
        <v>52</v>
      </c>
    </row>
    <row r="77" spans="1:16" x14ac:dyDescent="0.2">
      <c r="A77" s="30" t="s">
        <v>52</v>
      </c>
      <c r="B77" s="2" t="s">
        <v>149</v>
      </c>
      <c r="C77" s="13">
        <v>-15000</v>
      </c>
      <c r="D77" s="13" t="s">
        <v>52</v>
      </c>
      <c r="E77" s="1">
        <v>0.3</v>
      </c>
      <c r="F77" s="1">
        <v>0.3</v>
      </c>
      <c r="G77" s="7">
        <f>(E77-F77)*C77</f>
        <v>0</v>
      </c>
      <c r="H77" s="7">
        <f>C77*(E77-F77)</f>
        <v>0</v>
      </c>
      <c r="J77" s="7">
        <f>G77</f>
        <v>0</v>
      </c>
      <c r="K77" s="7">
        <f t="shared" si="10"/>
        <v>0</v>
      </c>
      <c r="L77" s="3">
        <v>1</v>
      </c>
      <c r="M77" s="80">
        <f>C77*E77*-1</f>
        <v>4500</v>
      </c>
      <c r="O77" s="5" t="s">
        <v>52</v>
      </c>
    </row>
    <row r="78" spans="1:16" x14ac:dyDescent="0.2">
      <c r="A78" s="30" t="s">
        <v>52</v>
      </c>
      <c r="B78" s="2" t="s">
        <v>138</v>
      </c>
      <c r="C78" s="13">
        <v>-10000</v>
      </c>
      <c r="D78" s="13" t="s">
        <v>52</v>
      </c>
      <c r="E78" s="1">
        <v>0.2</v>
      </c>
      <c r="F78" s="1">
        <v>0.2</v>
      </c>
      <c r="G78" s="7">
        <f t="shared" si="11"/>
        <v>0</v>
      </c>
      <c r="H78" s="7">
        <f t="shared" si="9"/>
        <v>0</v>
      </c>
      <c r="J78" s="7">
        <f>G78</f>
        <v>0</v>
      </c>
      <c r="K78" s="7">
        <f t="shared" si="10"/>
        <v>0</v>
      </c>
      <c r="L78" s="3">
        <v>1</v>
      </c>
      <c r="M78" s="80">
        <f t="shared" si="13"/>
        <v>2000</v>
      </c>
      <c r="O78" s="7" t="s">
        <v>52</v>
      </c>
    </row>
    <row r="79" spans="1:16" x14ac:dyDescent="0.2">
      <c r="A79" s="30" t="s">
        <v>52</v>
      </c>
      <c r="B79" s="2" t="s">
        <v>139</v>
      </c>
      <c r="C79" s="13">
        <v>-10000</v>
      </c>
      <c r="D79" s="13" t="s">
        <v>52</v>
      </c>
      <c r="E79" s="1">
        <v>0.15</v>
      </c>
      <c r="F79" s="1">
        <v>0.2</v>
      </c>
      <c r="G79" s="7">
        <f t="shared" si="11"/>
        <v>500.00000000000017</v>
      </c>
      <c r="H79" s="7">
        <f t="shared" si="9"/>
        <v>500.00000000000017</v>
      </c>
      <c r="J79" s="7">
        <f t="shared" si="12"/>
        <v>500.00000000000017</v>
      </c>
      <c r="K79" s="7">
        <f t="shared" si="10"/>
        <v>500.00000000000017</v>
      </c>
      <c r="L79" s="3">
        <v>1</v>
      </c>
      <c r="M79" s="80">
        <f t="shared" si="13"/>
        <v>1500</v>
      </c>
      <c r="O79" s="7" t="s">
        <v>52</v>
      </c>
    </row>
    <row r="80" spans="1:16" x14ac:dyDescent="0.2">
      <c r="A80" s="30" t="s">
        <v>52</v>
      </c>
      <c r="B80" s="2" t="s">
        <v>140</v>
      </c>
      <c r="C80" s="13">
        <v>-10000</v>
      </c>
      <c r="D80" s="13" t="s">
        <v>52</v>
      </c>
      <c r="E80" s="1">
        <v>0.1</v>
      </c>
      <c r="F80" s="1">
        <v>0.15</v>
      </c>
      <c r="G80" s="7">
        <f t="shared" si="11"/>
        <v>499.99999999999989</v>
      </c>
      <c r="H80" s="7">
        <f t="shared" si="9"/>
        <v>499.99999999999989</v>
      </c>
      <c r="J80" s="7">
        <f t="shared" si="12"/>
        <v>499.99999999999989</v>
      </c>
      <c r="K80" s="7">
        <f t="shared" si="10"/>
        <v>499.99999999999989</v>
      </c>
      <c r="L80" s="3">
        <v>1</v>
      </c>
      <c r="M80" s="80">
        <f t="shared" si="13"/>
        <v>1000</v>
      </c>
      <c r="O80" s="7" t="s">
        <v>52</v>
      </c>
      <c r="P80" s="1" t="s">
        <v>52</v>
      </c>
    </row>
    <row r="81" spans="1:16" x14ac:dyDescent="0.2">
      <c r="A81" s="30" t="s">
        <v>52</v>
      </c>
      <c r="B81" s="2" t="s">
        <v>141</v>
      </c>
      <c r="C81" s="13">
        <v>-10000</v>
      </c>
      <c r="D81" s="13" t="s">
        <v>52</v>
      </c>
      <c r="E81" s="1">
        <v>0.1</v>
      </c>
      <c r="F81" s="1">
        <v>0.1</v>
      </c>
      <c r="G81" s="7">
        <f t="shared" si="11"/>
        <v>0</v>
      </c>
      <c r="H81" s="7">
        <f t="shared" si="9"/>
        <v>0</v>
      </c>
      <c r="J81" s="7">
        <f t="shared" si="12"/>
        <v>0</v>
      </c>
      <c r="K81" s="7">
        <f t="shared" si="10"/>
        <v>0</v>
      </c>
      <c r="L81" s="3">
        <v>1</v>
      </c>
      <c r="M81" s="92">
        <f t="shared" si="13"/>
        <v>1000</v>
      </c>
      <c r="O81" s="80" t="s">
        <v>52</v>
      </c>
      <c r="P81" s="1" t="s">
        <v>52</v>
      </c>
    </row>
    <row r="82" spans="1:16" ht="13.5" thickBot="1" x14ac:dyDescent="0.25">
      <c r="A82" s="30" t="s">
        <v>52</v>
      </c>
      <c r="B82" s="2" t="s">
        <v>142</v>
      </c>
      <c r="C82" s="13">
        <v>-5000</v>
      </c>
      <c r="D82" s="13" t="s">
        <v>52</v>
      </c>
      <c r="E82" s="1">
        <v>0.1</v>
      </c>
      <c r="F82" s="1">
        <v>0.1</v>
      </c>
      <c r="G82" s="7">
        <f t="shared" si="11"/>
        <v>0</v>
      </c>
      <c r="H82" s="7">
        <f t="shared" si="9"/>
        <v>0</v>
      </c>
      <c r="J82" s="7">
        <f>G82</f>
        <v>0</v>
      </c>
      <c r="K82" s="7">
        <f t="shared" si="10"/>
        <v>0</v>
      </c>
      <c r="L82" s="3">
        <v>1</v>
      </c>
      <c r="M82" s="93">
        <f t="shared" si="13"/>
        <v>500</v>
      </c>
      <c r="N82" s="80" t="s">
        <v>52</v>
      </c>
      <c r="O82" s="7" t="s">
        <v>52</v>
      </c>
      <c r="P82" s="1" t="s">
        <v>52</v>
      </c>
    </row>
    <row r="83" spans="1:16" x14ac:dyDescent="0.2">
      <c r="A83" s="8" t="s">
        <v>52</v>
      </c>
      <c r="C83" s="29" t="s">
        <v>52</v>
      </c>
      <c r="D83" s="13" t="s">
        <v>52</v>
      </c>
      <c r="E83" s="1"/>
      <c r="F83" s="1"/>
      <c r="G83" s="7" t="s">
        <v>52</v>
      </c>
      <c r="H83" s="7" t="s">
        <v>52</v>
      </c>
      <c r="I83" s="1"/>
      <c r="J83" s="7" t="str">
        <f>G83</f>
        <v xml:space="preserve"> </v>
      </c>
      <c r="K83" s="7" t="str">
        <f t="shared" si="10"/>
        <v xml:space="preserve"> </v>
      </c>
      <c r="M83" s="80">
        <f>SUM(M69:M82)</f>
        <v>38750</v>
      </c>
      <c r="N83" s="80">
        <v>4900</v>
      </c>
      <c r="O83" s="80">
        <v>2949478</v>
      </c>
      <c r="P83" s="1" t="s">
        <v>52</v>
      </c>
    </row>
    <row r="84" spans="1:16" x14ac:dyDescent="0.2">
      <c r="A84" s="8" t="s">
        <v>57</v>
      </c>
      <c r="B84" s="5" t="s">
        <v>22</v>
      </c>
      <c r="C84" s="13" t="s">
        <v>52</v>
      </c>
      <c r="D84" s="13" t="s">
        <v>52</v>
      </c>
      <c r="E84" s="14"/>
      <c r="F84" s="14"/>
      <c r="G84" s="14" t="s">
        <v>52</v>
      </c>
      <c r="H84" s="7" t="s">
        <v>52</v>
      </c>
      <c r="I84" s="3"/>
      <c r="K84" s="7" t="s">
        <v>52</v>
      </c>
      <c r="M84" s="80" t="s">
        <v>52</v>
      </c>
      <c r="N84" s="80">
        <f>SUM(H68:H82)</f>
        <v>4900.0000000000036</v>
      </c>
      <c r="O84" s="80">
        <f>SUM(K68:K82)</f>
        <v>2949478.03</v>
      </c>
    </row>
    <row r="85" spans="1:16" x14ac:dyDescent="0.2">
      <c r="A85" s="30" t="s">
        <v>52</v>
      </c>
      <c r="B85" s="2" t="s">
        <v>62</v>
      </c>
      <c r="C85" s="13">
        <v>387</v>
      </c>
      <c r="D85" s="13" t="s">
        <v>52</v>
      </c>
      <c r="E85" s="16">
        <v>35.950000000000003</v>
      </c>
      <c r="F85" s="16">
        <v>35.479999999999997</v>
      </c>
      <c r="G85" s="7">
        <f>C85*(E85-F85)</f>
        <v>181.89000000000232</v>
      </c>
      <c r="H85" s="7">
        <f>C85*(E85-F85)</f>
        <v>181.89000000000232</v>
      </c>
      <c r="I85" s="1"/>
      <c r="J85" s="7">
        <f>C85*E85</f>
        <v>13912.650000000001</v>
      </c>
      <c r="K85" s="7">
        <f>J85</f>
        <v>13912.650000000001</v>
      </c>
      <c r="L85" s="3">
        <v>2</v>
      </c>
      <c r="M85" s="80" t="s">
        <v>52</v>
      </c>
    </row>
    <row r="86" spans="1:16" x14ac:dyDescent="0.2">
      <c r="A86" s="8" t="s">
        <v>52</v>
      </c>
      <c r="B86" s="2" t="s">
        <v>23</v>
      </c>
      <c r="C86" s="13">
        <v>158.15</v>
      </c>
      <c r="D86" s="13" t="s">
        <v>52</v>
      </c>
      <c r="E86" s="1">
        <v>1</v>
      </c>
      <c r="F86" s="1">
        <v>1</v>
      </c>
      <c r="G86" s="7">
        <f>C86*(E86-F86)</f>
        <v>0</v>
      </c>
      <c r="H86" s="7">
        <f>C86*(E86-F86)</f>
        <v>0</v>
      </c>
      <c r="I86" s="1"/>
      <c r="J86" s="7">
        <f>C86*E86</f>
        <v>158.15</v>
      </c>
      <c r="K86" s="7">
        <f>J86</f>
        <v>158.15</v>
      </c>
      <c r="L86" s="3">
        <v>1</v>
      </c>
    </row>
    <row r="87" spans="1:16" x14ac:dyDescent="0.2">
      <c r="A87" s="8" t="s">
        <v>52</v>
      </c>
      <c r="B87" s="5" t="s">
        <v>52</v>
      </c>
      <c r="D87" s="13" t="s">
        <v>52</v>
      </c>
      <c r="E87" s="1" t="s">
        <v>52</v>
      </c>
      <c r="F87" s="1" t="s">
        <v>52</v>
      </c>
      <c r="H87" s="7" t="s">
        <v>52</v>
      </c>
      <c r="I87" s="3"/>
      <c r="K87" s="15"/>
    </row>
    <row r="88" spans="1:16" x14ac:dyDescent="0.2">
      <c r="A88" s="8" t="s">
        <v>12</v>
      </c>
      <c r="B88" s="5" t="s">
        <v>22</v>
      </c>
      <c r="C88" s="13" t="s">
        <v>52</v>
      </c>
      <c r="D88" s="13" t="s">
        <v>52</v>
      </c>
      <c r="E88" s="3"/>
      <c r="F88" s="3"/>
      <c r="H88" s="7" t="s">
        <v>52</v>
      </c>
      <c r="I88" s="3"/>
    </row>
    <row r="89" spans="1:16" x14ac:dyDescent="0.2">
      <c r="A89" s="8" t="s">
        <v>13</v>
      </c>
      <c r="B89" s="2" t="s">
        <v>26</v>
      </c>
      <c r="C89" s="13">
        <v>233.09899999999999</v>
      </c>
      <c r="D89" s="13" t="s">
        <v>52</v>
      </c>
      <c r="E89" s="1">
        <v>45.17</v>
      </c>
      <c r="F89" s="1">
        <v>45.03</v>
      </c>
      <c r="G89" s="7">
        <f t="shared" ref="G89:G95" si="14">C89*(E89-F89)</f>
        <v>32.633860000000134</v>
      </c>
      <c r="H89" s="7">
        <f t="shared" ref="H89:H95" si="15">C89*(E89-F89)</f>
        <v>32.633860000000134</v>
      </c>
      <c r="I89" s="1"/>
      <c r="J89" s="7">
        <f t="shared" ref="J89:J95" si="16">C89*E89</f>
        <v>10529.081829999999</v>
      </c>
      <c r="K89" s="7">
        <f>J89</f>
        <v>10529.081829999999</v>
      </c>
      <c r="L89" s="3">
        <v>2</v>
      </c>
    </row>
    <row r="90" spans="1:16" x14ac:dyDescent="0.2">
      <c r="A90" s="8"/>
      <c r="B90" s="2" t="s">
        <v>27</v>
      </c>
      <c r="C90" s="13">
        <v>735.23400000000004</v>
      </c>
      <c r="D90" s="13" t="s">
        <v>52</v>
      </c>
      <c r="E90" s="1">
        <v>7.99</v>
      </c>
      <c r="F90" s="1">
        <v>7.91</v>
      </c>
      <c r="G90" s="7">
        <f t="shared" si="14"/>
        <v>58.818720000000056</v>
      </c>
      <c r="H90" s="7">
        <f t="shared" si="15"/>
        <v>58.818720000000056</v>
      </c>
      <c r="I90" s="1"/>
      <c r="J90" s="7">
        <f t="shared" si="16"/>
        <v>5874.5196600000008</v>
      </c>
      <c r="K90" s="7">
        <f t="shared" ref="K90:K106" si="17">J90</f>
        <v>5874.5196600000008</v>
      </c>
      <c r="L90" s="3">
        <v>2</v>
      </c>
    </row>
    <row r="91" spans="1:16" x14ac:dyDescent="0.2">
      <c r="A91" s="8"/>
      <c r="B91" s="2" t="s">
        <v>28</v>
      </c>
      <c r="C91" s="13">
        <v>2419.6770000000001</v>
      </c>
      <c r="D91" s="13" t="s">
        <v>52</v>
      </c>
      <c r="E91" s="1">
        <v>18.52</v>
      </c>
      <c r="F91" s="1">
        <v>18.34</v>
      </c>
      <c r="G91" s="7">
        <f t="shared" si="14"/>
        <v>435.54185999999936</v>
      </c>
      <c r="H91" s="7">
        <f t="shared" si="15"/>
        <v>435.54185999999936</v>
      </c>
      <c r="I91" s="1"/>
      <c r="J91" s="7">
        <f t="shared" si="16"/>
        <v>44812.418040000004</v>
      </c>
      <c r="K91" s="7">
        <f t="shared" si="17"/>
        <v>44812.418040000004</v>
      </c>
      <c r="L91" s="3">
        <v>2</v>
      </c>
    </row>
    <row r="92" spans="1:16" x14ac:dyDescent="0.2">
      <c r="A92" s="8"/>
      <c r="B92" s="2" t="s">
        <v>29</v>
      </c>
      <c r="C92" s="13">
        <v>1221.6199999999999</v>
      </c>
      <c r="D92" s="13" t="s">
        <v>52</v>
      </c>
      <c r="E92" s="1">
        <v>7.54</v>
      </c>
      <c r="F92" s="1">
        <v>7.47</v>
      </c>
      <c r="G92" s="7">
        <f t="shared" si="14"/>
        <v>85.513400000000345</v>
      </c>
      <c r="H92" s="7">
        <f t="shared" si="15"/>
        <v>85.513400000000345</v>
      </c>
      <c r="I92" s="1"/>
      <c r="J92" s="7">
        <f t="shared" si="16"/>
        <v>9211.014799999999</v>
      </c>
      <c r="K92" s="7">
        <f t="shared" si="17"/>
        <v>9211.014799999999</v>
      </c>
      <c r="L92" s="3">
        <v>2</v>
      </c>
    </row>
    <row r="93" spans="1:16" x14ac:dyDescent="0.2">
      <c r="A93" s="8"/>
      <c r="B93" s="2" t="s">
        <v>30</v>
      </c>
      <c r="C93" s="13">
        <v>256.94099999999997</v>
      </c>
      <c r="D93" s="13" t="s">
        <v>52</v>
      </c>
      <c r="E93" s="1">
        <v>33.93</v>
      </c>
      <c r="F93" s="1">
        <v>33.5</v>
      </c>
      <c r="G93" s="7">
        <f t="shared" si="14"/>
        <v>110.48462999999991</v>
      </c>
      <c r="H93" s="7">
        <f t="shared" si="15"/>
        <v>110.48462999999991</v>
      </c>
      <c r="I93" s="1"/>
      <c r="J93" s="7">
        <f t="shared" si="16"/>
        <v>8718.0081299999983</v>
      </c>
      <c r="K93" s="7">
        <f t="shared" si="17"/>
        <v>8718.0081299999983</v>
      </c>
      <c r="L93" s="3">
        <v>2</v>
      </c>
    </row>
    <row r="94" spans="1:16" x14ac:dyDescent="0.2">
      <c r="A94" s="8"/>
      <c r="B94" s="2" t="s">
        <v>31</v>
      </c>
      <c r="C94" s="13">
        <v>372.8</v>
      </c>
      <c r="D94" s="13" t="s">
        <v>52</v>
      </c>
      <c r="E94" s="1">
        <v>24.04</v>
      </c>
      <c r="F94" s="1">
        <v>23.73</v>
      </c>
      <c r="G94" s="7">
        <f t="shared" si="14"/>
        <v>115.56799999999953</v>
      </c>
      <c r="H94" s="7">
        <f t="shared" si="15"/>
        <v>115.56799999999953</v>
      </c>
      <c r="I94" s="1"/>
      <c r="J94" s="7">
        <f t="shared" si="16"/>
        <v>8962.1119999999992</v>
      </c>
      <c r="K94" s="7">
        <f t="shared" si="17"/>
        <v>8962.1119999999992</v>
      </c>
      <c r="L94" s="3">
        <v>2</v>
      </c>
    </row>
    <row r="95" spans="1:16" x14ac:dyDescent="0.2">
      <c r="A95" s="8" t="s">
        <v>52</v>
      </c>
      <c r="B95" s="2" t="s">
        <v>49</v>
      </c>
      <c r="C95" s="13">
        <v>9555</v>
      </c>
      <c r="D95" s="13" t="s">
        <v>52</v>
      </c>
      <c r="E95" s="1">
        <v>10.97</v>
      </c>
      <c r="F95" s="1">
        <v>10.97</v>
      </c>
      <c r="G95" s="7">
        <f t="shared" si="14"/>
        <v>0</v>
      </c>
      <c r="H95" s="7">
        <f t="shared" si="15"/>
        <v>0</v>
      </c>
      <c r="I95" s="1" t="s">
        <v>52</v>
      </c>
      <c r="J95" s="7">
        <f t="shared" si="16"/>
        <v>104818.35</v>
      </c>
      <c r="K95" s="7">
        <f t="shared" si="17"/>
        <v>104818.35</v>
      </c>
      <c r="L95" s="3">
        <v>1</v>
      </c>
    </row>
    <row r="96" spans="1:16" x14ac:dyDescent="0.2">
      <c r="A96" s="8"/>
      <c r="E96" s="2"/>
      <c r="F96" s="2"/>
      <c r="G96" s="15"/>
      <c r="H96" s="7" t="s">
        <v>52</v>
      </c>
      <c r="I96" s="2" t="s">
        <v>52</v>
      </c>
    </row>
    <row r="97" spans="1:15" x14ac:dyDescent="0.2">
      <c r="A97" s="8" t="s">
        <v>14</v>
      </c>
      <c r="B97" s="2" t="s">
        <v>58</v>
      </c>
      <c r="C97" s="13">
        <v>5000</v>
      </c>
      <c r="E97" s="1">
        <v>1</v>
      </c>
      <c r="F97" s="1">
        <v>1</v>
      </c>
      <c r="G97" s="7">
        <f>C97*(E97-F97)</f>
        <v>0</v>
      </c>
      <c r="H97" s="7">
        <f>C97*(E97-F97)</f>
        <v>0</v>
      </c>
      <c r="I97" s="1"/>
      <c r="J97" s="7">
        <f>C97*E97</f>
        <v>5000</v>
      </c>
      <c r="K97" s="7">
        <f t="shared" si="17"/>
        <v>5000</v>
      </c>
      <c r="L97" s="3">
        <v>1</v>
      </c>
    </row>
    <row r="98" spans="1:15" x14ac:dyDescent="0.2">
      <c r="E98" s="2"/>
      <c r="F98" s="2"/>
      <c r="G98" s="15"/>
      <c r="H98" s="7" t="s">
        <v>52</v>
      </c>
      <c r="I98" s="2"/>
    </row>
    <row r="99" spans="1:15" x14ac:dyDescent="0.2">
      <c r="A99" s="8" t="s">
        <v>15</v>
      </c>
      <c r="B99" s="2" t="s">
        <v>34</v>
      </c>
      <c r="C99" s="13">
        <v>3829.12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3829.12</v>
      </c>
      <c r="K99" s="7">
        <f t="shared" si="17"/>
        <v>3829.12</v>
      </c>
      <c r="L99" s="3">
        <v>1</v>
      </c>
    </row>
    <row r="100" spans="1:15" x14ac:dyDescent="0.2">
      <c r="A100" s="8"/>
      <c r="B100" s="2" t="s">
        <v>35</v>
      </c>
      <c r="C100" s="13">
        <v>4769.42</v>
      </c>
      <c r="E100" s="1">
        <v>1</v>
      </c>
      <c r="F100" s="1">
        <v>1</v>
      </c>
      <c r="G100" s="7">
        <f>C100*(E100-F100)</f>
        <v>0</v>
      </c>
      <c r="H100" s="7">
        <f>C100*(E100-F100)</f>
        <v>0</v>
      </c>
      <c r="I100" s="1"/>
      <c r="J100" s="7">
        <f>C100*E100</f>
        <v>4769.42</v>
      </c>
      <c r="K100" s="7">
        <f t="shared" si="17"/>
        <v>4769.42</v>
      </c>
      <c r="L100" s="3">
        <v>1</v>
      </c>
    </row>
    <row r="101" spans="1:15" x14ac:dyDescent="0.2">
      <c r="E101" s="2"/>
      <c r="F101" s="2"/>
      <c r="G101" s="15"/>
      <c r="H101" s="7" t="s">
        <v>52</v>
      </c>
      <c r="I101" s="2"/>
      <c r="K101" s="7" t="s">
        <v>52</v>
      </c>
    </row>
    <row r="102" spans="1:15" x14ac:dyDescent="0.2">
      <c r="A102" s="8" t="s">
        <v>16</v>
      </c>
      <c r="B102" s="2" t="s">
        <v>36</v>
      </c>
      <c r="C102" s="13">
        <v>9759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9759</v>
      </c>
      <c r="K102" s="7">
        <f t="shared" si="17"/>
        <v>9759</v>
      </c>
      <c r="L102" s="3">
        <v>1</v>
      </c>
      <c r="M102" s="80" t="s">
        <v>87</v>
      </c>
    </row>
    <row r="103" spans="1:15" x14ac:dyDescent="0.2">
      <c r="A103" s="8"/>
      <c r="B103" s="2" t="s">
        <v>38</v>
      </c>
      <c r="C103" s="13">
        <v>3718</v>
      </c>
      <c r="E103" s="1">
        <v>1</v>
      </c>
      <c r="F103" s="1">
        <v>1</v>
      </c>
      <c r="G103" s="7">
        <f>C103*(E103-F103)</f>
        <v>0</v>
      </c>
      <c r="H103" s="7">
        <f>C103*(E103-F103)</f>
        <v>0</v>
      </c>
      <c r="I103" s="1"/>
      <c r="J103" s="7">
        <f>C103*E103</f>
        <v>3718</v>
      </c>
      <c r="K103" s="7">
        <f t="shared" si="17"/>
        <v>3718</v>
      </c>
      <c r="L103" s="3">
        <v>1</v>
      </c>
      <c r="M103" s="80">
        <f>(C9*E9)+(C10*E10)+(C11*E11)</f>
        <v>-3664900</v>
      </c>
      <c r="N103" s="26">
        <f>M103/M110</f>
        <v>-0.60661603685453058</v>
      </c>
      <c r="O103" s="5" t="s">
        <v>85</v>
      </c>
    </row>
    <row r="104" spans="1:15" x14ac:dyDescent="0.2">
      <c r="A104" s="8"/>
      <c r="B104" s="2" t="s">
        <v>39</v>
      </c>
      <c r="C104" s="13">
        <v>943</v>
      </c>
      <c r="E104" s="1">
        <v>1</v>
      </c>
      <c r="F104" s="1">
        <v>1</v>
      </c>
      <c r="G104" s="7">
        <f>C104*(E104-F104)</f>
        <v>0</v>
      </c>
      <c r="H104" s="7">
        <f>C104*(E104-F104)</f>
        <v>0</v>
      </c>
      <c r="I104" s="1"/>
      <c r="J104" s="7">
        <f>C104*E104</f>
        <v>943</v>
      </c>
      <c r="K104" s="7">
        <f t="shared" si="17"/>
        <v>943</v>
      </c>
      <c r="L104" s="3">
        <v>1</v>
      </c>
      <c r="M104" s="80">
        <f>SUMIF(L5:L111,2,K5:K111)</f>
        <v>389216.13886172208</v>
      </c>
      <c r="N104" s="26">
        <f>M104/M110</f>
        <v>6.4423245282578104E-2</v>
      </c>
      <c r="O104" s="5" t="s">
        <v>22</v>
      </c>
    </row>
    <row r="105" spans="1:15" x14ac:dyDescent="0.2">
      <c r="A105" s="8"/>
      <c r="B105" s="2" t="s">
        <v>40</v>
      </c>
      <c r="C105" s="13">
        <v>1235</v>
      </c>
      <c r="E105" s="1">
        <v>1</v>
      </c>
      <c r="F105" s="1">
        <v>1</v>
      </c>
      <c r="G105" s="7">
        <f>C105*(E105-F105)</f>
        <v>0</v>
      </c>
      <c r="H105" s="7">
        <f>C105*(E105-F105)</f>
        <v>0</v>
      </c>
      <c r="I105" s="1"/>
      <c r="J105" s="7">
        <f>C105*E105</f>
        <v>1235</v>
      </c>
      <c r="K105" s="7">
        <f t="shared" si="17"/>
        <v>1235</v>
      </c>
      <c r="L105" s="3">
        <v>1</v>
      </c>
      <c r="M105" s="80" t="s">
        <v>60</v>
      </c>
      <c r="N105" s="26"/>
      <c r="O105" s="7" t="s">
        <v>52</v>
      </c>
    </row>
    <row r="106" spans="1:15" x14ac:dyDescent="0.2">
      <c r="A106" s="8"/>
      <c r="B106" s="2" t="s">
        <v>37</v>
      </c>
      <c r="C106" s="13">
        <v>2234.7820000000002</v>
      </c>
      <c r="D106" s="13" t="s">
        <v>52</v>
      </c>
      <c r="E106" s="1">
        <v>1.684671</v>
      </c>
      <c r="F106" s="1">
        <v>1.684671</v>
      </c>
      <c r="G106" s="7">
        <f>C106*(E106-F106)</f>
        <v>0</v>
      </c>
      <c r="H106" s="7">
        <f>C106*(E106-F106)</f>
        <v>0</v>
      </c>
      <c r="I106" s="1"/>
      <c r="J106" s="7">
        <f>C106*E106</f>
        <v>3764.8724267220005</v>
      </c>
      <c r="K106" s="7">
        <f t="shared" si="17"/>
        <v>3764.8724267220005</v>
      </c>
      <c r="L106" s="3">
        <v>2</v>
      </c>
      <c r="M106" s="80">
        <f>SUMIF(L5:L111,1,K5:K111)</f>
        <v>6247332.0190199995</v>
      </c>
      <c r="N106" s="26">
        <f>M106/M110</f>
        <v>1.0340614451396559</v>
      </c>
    </row>
    <row r="107" spans="1:15" x14ac:dyDescent="0.2">
      <c r="A107" s="8"/>
      <c r="E107" s="1"/>
      <c r="F107" s="1"/>
      <c r="I107" s="1"/>
      <c r="M107" s="80" t="s">
        <v>166</v>
      </c>
      <c r="N107" s="26"/>
    </row>
    <row r="108" spans="1:15" x14ac:dyDescent="0.2">
      <c r="A108" s="8" t="s">
        <v>88</v>
      </c>
      <c r="B108" s="2" t="s">
        <v>156</v>
      </c>
      <c r="C108" s="13">
        <v>-180000</v>
      </c>
      <c r="D108" s="13" t="s">
        <v>52</v>
      </c>
      <c r="E108" s="27" t="s">
        <v>52</v>
      </c>
      <c r="F108" s="27" t="s">
        <v>52</v>
      </c>
      <c r="G108" s="27" t="s">
        <v>52</v>
      </c>
      <c r="H108" s="27" t="s">
        <v>52</v>
      </c>
      <c r="J108" s="7">
        <f>+C108</f>
        <v>-180000</v>
      </c>
      <c r="K108" s="7">
        <f>J108</f>
        <v>-180000</v>
      </c>
      <c r="L108" s="3">
        <v>0</v>
      </c>
      <c r="M108" s="80">
        <f>SUM(K108:K110)</f>
        <v>-595000</v>
      </c>
      <c r="N108" s="26">
        <f>+M108/M110</f>
        <v>-9.8484690422234081E-2</v>
      </c>
    </row>
    <row r="109" spans="1:15" x14ac:dyDescent="0.2">
      <c r="A109" s="8" t="s">
        <v>52</v>
      </c>
      <c r="B109" s="2" t="s">
        <v>163</v>
      </c>
      <c r="C109" s="13">
        <v>-160000</v>
      </c>
      <c r="D109" s="13" t="s">
        <v>52</v>
      </c>
      <c r="E109" s="27" t="s">
        <v>52</v>
      </c>
      <c r="F109" s="27" t="s">
        <v>52</v>
      </c>
      <c r="G109" s="27" t="s">
        <v>52</v>
      </c>
      <c r="H109" s="27" t="s">
        <v>52</v>
      </c>
      <c r="J109" s="7">
        <f>+C109</f>
        <v>-160000</v>
      </c>
      <c r="K109" s="7">
        <f>J109</f>
        <v>-160000</v>
      </c>
      <c r="L109" s="3">
        <v>0</v>
      </c>
      <c r="M109" s="80" t="s">
        <v>91</v>
      </c>
      <c r="N109" s="26"/>
    </row>
    <row r="110" spans="1:15" x14ac:dyDescent="0.2">
      <c r="A110" s="8" t="s">
        <v>52</v>
      </c>
      <c r="B110" s="2" t="s">
        <v>164</v>
      </c>
      <c r="C110" s="13">
        <v>-255000</v>
      </c>
      <c r="D110" s="13" t="s">
        <v>52</v>
      </c>
      <c r="E110" s="27" t="s">
        <v>52</v>
      </c>
      <c r="F110" s="27" t="s">
        <v>52</v>
      </c>
      <c r="G110" s="27" t="s">
        <v>52</v>
      </c>
      <c r="H110" s="27" t="s">
        <v>52</v>
      </c>
      <c r="J110" s="7">
        <f>+C110</f>
        <v>-255000</v>
      </c>
      <c r="K110" s="7">
        <f>J110</f>
        <v>-255000</v>
      </c>
      <c r="L110" s="3">
        <v>0</v>
      </c>
      <c r="M110" s="80">
        <f>K113</f>
        <v>6041548.1578817219</v>
      </c>
      <c r="N110" s="26">
        <f>+M110/K113</f>
        <v>1</v>
      </c>
    </row>
    <row r="111" spans="1:15" ht="13.5" thickBot="1" x14ac:dyDescent="0.25">
      <c r="A111" s="8" t="s">
        <v>52</v>
      </c>
      <c r="B111" s="63" t="s">
        <v>52</v>
      </c>
      <c r="C111" s="24"/>
      <c r="D111" s="24" t="s">
        <v>52</v>
      </c>
      <c r="E111" s="18"/>
      <c r="F111" s="18"/>
      <c r="G111" s="19"/>
      <c r="H111" s="19"/>
      <c r="I111" s="18"/>
      <c r="J111" s="19"/>
      <c r="K111" s="19" t="s">
        <v>52</v>
      </c>
      <c r="L111" s="65"/>
      <c r="M111" s="93" t="s">
        <v>52</v>
      </c>
      <c r="N111" s="93"/>
    </row>
    <row r="112" spans="1:15" x14ac:dyDescent="0.2">
      <c r="A112" s="8"/>
      <c r="M112" s="80" t="s">
        <v>56</v>
      </c>
    </row>
    <row r="113" spans="1:14" x14ac:dyDescent="0.2">
      <c r="A113" s="8" t="s">
        <v>17</v>
      </c>
      <c r="C113" s="13">
        <f>SUM(C53:C65)+C32+C38+C45+C48+C49+C50</f>
        <v>21376.1299</v>
      </c>
      <c r="D113" s="13">
        <f>SUM(D5:D108)</f>
        <v>9741.1298999999999</v>
      </c>
      <c r="G113" s="7">
        <f>SUM(G5:G111)</f>
        <v>-59712.546539999777</v>
      </c>
      <c r="H113" s="7">
        <f>SUM(H5:H111)</f>
        <v>-60226.164139999775</v>
      </c>
      <c r="J113" s="7">
        <f>SUM(J5:J111)</f>
        <v>6500560.4168617213</v>
      </c>
      <c r="K113" s="7">
        <f>SUM(K5:K111)</f>
        <v>6041548.1578817219</v>
      </c>
      <c r="M113" s="92">
        <f>SUM(K45:K65)+K32+K38</f>
        <v>250265.321975</v>
      </c>
      <c r="N113" s="94">
        <f>M113/K113</f>
        <v>4.1424038248955651E-2</v>
      </c>
    </row>
    <row r="114" spans="1:14" ht="13.5" thickBot="1" x14ac:dyDescent="0.25">
      <c r="A114" s="8"/>
      <c r="B114" s="17"/>
      <c r="C114" s="24"/>
      <c r="D114" s="24"/>
      <c r="E114" s="18"/>
      <c r="F114" s="18"/>
      <c r="G114" s="19"/>
      <c r="H114" s="19"/>
      <c r="I114" s="18"/>
      <c r="J114" s="19"/>
      <c r="K114" s="19"/>
      <c r="L114" s="65"/>
      <c r="M114" s="93"/>
      <c r="N114" s="93"/>
    </row>
    <row r="115" spans="1:14" x14ac:dyDescent="0.2">
      <c r="A115" s="8"/>
    </row>
    <row r="116" spans="1:14" x14ac:dyDescent="0.2">
      <c r="A116" s="8" t="s">
        <v>18</v>
      </c>
      <c r="B116" s="5" t="s">
        <v>22</v>
      </c>
      <c r="C116" s="13" t="s">
        <v>52</v>
      </c>
      <c r="M116" s="80" t="s">
        <v>52</v>
      </c>
    </row>
    <row r="117" spans="1:14" x14ac:dyDescent="0.2">
      <c r="A117" s="8" t="s">
        <v>19</v>
      </c>
      <c r="B117" s="2" t="s">
        <v>32</v>
      </c>
      <c r="C117" s="13">
        <v>1220.472</v>
      </c>
      <c r="D117" s="13" t="s">
        <v>52</v>
      </c>
      <c r="E117" s="1">
        <v>16.73</v>
      </c>
      <c r="F117" s="1">
        <v>16.59</v>
      </c>
      <c r="G117" s="7">
        <f>C117*(E117-F117)</f>
        <v>170.86608000000069</v>
      </c>
      <c r="H117" s="7">
        <f>C117*(E117-F117)</f>
        <v>170.86608000000069</v>
      </c>
      <c r="I117" s="1"/>
      <c r="J117" s="7">
        <f>C117*E117</f>
        <v>20418.49656</v>
      </c>
      <c r="K117" s="7">
        <f>J117</f>
        <v>20418.49656</v>
      </c>
      <c r="L117" s="3">
        <v>2</v>
      </c>
    </row>
    <row r="118" spans="1:14" x14ac:dyDescent="0.2">
      <c r="A118" s="8" t="s">
        <v>52</v>
      </c>
      <c r="B118" s="2" t="s">
        <v>61</v>
      </c>
      <c r="C118" s="13">
        <v>387</v>
      </c>
      <c r="D118" s="13" t="s">
        <v>52</v>
      </c>
      <c r="E118" s="1">
        <f>+E85</f>
        <v>35.950000000000003</v>
      </c>
      <c r="F118" s="1">
        <f>+F85</f>
        <v>35.479999999999997</v>
      </c>
      <c r="G118" s="7">
        <f>C118*(E118-F118)</f>
        <v>181.89000000000232</v>
      </c>
      <c r="H118" s="7">
        <f>C118*(E118-F118)</f>
        <v>181.89000000000232</v>
      </c>
      <c r="I118" s="1"/>
      <c r="J118" s="7">
        <f>C118*E118</f>
        <v>13912.650000000001</v>
      </c>
      <c r="K118" s="7">
        <f>J118</f>
        <v>13912.650000000001</v>
      </c>
      <c r="L118" s="3">
        <v>2</v>
      </c>
    </row>
    <row r="119" spans="1:14" x14ac:dyDescent="0.2">
      <c r="A119" s="8" t="s">
        <v>52</v>
      </c>
      <c r="B119" s="2" t="s">
        <v>23</v>
      </c>
      <c r="C119" s="13">
        <v>158.15</v>
      </c>
      <c r="D119" s="13" t="s">
        <v>52</v>
      </c>
      <c r="E119" s="1">
        <v>1</v>
      </c>
      <c r="F119" s="1">
        <v>1</v>
      </c>
      <c r="G119" s="7">
        <f>C119*(E119-F119)</f>
        <v>0</v>
      </c>
      <c r="H119" s="7">
        <f>C119*(E119-F119)</f>
        <v>0</v>
      </c>
      <c r="I119" s="1"/>
      <c r="J119" s="7">
        <f>C119*E119</f>
        <v>158.15</v>
      </c>
      <c r="K119" s="7">
        <f>J119</f>
        <v>158.15</v>
      </c>
      <c r="L119" s="3">
        <v>1</v>
      </c>
    </row>
    <row r="120" spans="1:14" x14ac:dyDescent="0.2">
      <c r="A120" s="8"/>
      <c r="E120" s="3"/>
      <c r="F120" s="3"/>
      <c r="H120" s="7" t="s">
        <v>52</v>
      </c>
      <c r="I120" s="3"/>
    </row>
    <row r="121" spans="1:14" x14ac:dyDescent="0.2">
      <c r="A121" s="8" t="s">
        <v>18</v>
      </c>
      <c r="B121" s="5" t="s">
        <v>22</v>
      </c>
      <c r="C121" s="13" t="s">
        <v>52</v>
      </c>
      <c r="E121" s="3"/>
      <c r="F121" s="3"/>
      <c r="H121" s="7" t="s">
        <v>52</v>
      </c>
      <c r="I121" s="3"/>
    </row>
    <row r="122" spans="1:14" x14ac:dyDescent="0.2">
      <c r="A122" s="8" t="s">
        <v>20</v>
      </c>
      <c r="B122" s="2" t="s">
        <v>33</v>
      </c>
      <c r="C122" s="13">
        <v>2000.077</v>
      </c>
      <c r="D122" s="13" t="s">
        <v>52</v>
      </c>
      <c r="E122" s="1">
        <v>10.8</v>
      </c>
      <c r="F122" s="1">
        <v>10.56</v>
      </c>
      <c r="G122" s="7">
        <f>C122*(E122-F122)</f>
        <v>480.01848000000041</v>
      </c>
      <c r="H122" s="7">
        <f>C122*(E122-F122)</f>
        <v>480.01848000000041</v>
      </c>
      <c r="I122" s="1"/>
      <c r="J122" s="7">
        <f>C122*E122</f>
        <v>21600.831600000001</v>
      </c>
      <c r="K122" s="7">
        <f>J122</f>
        <v>21600.831600000001</v>
      </c>
      <c r="L122" s="3">
        <v>2</v>
      </c>
    </row>
    <row r="123" spans="1:14" x14ac:dyDescent="0.2">
      <c r="A123" s="8" t="s">
        <v>52</v>
      </c>
      <c r="B123" s="2" t="s">
        <v>61</v>
      </c>
      <c r="C123" s="13">
        <v>387</v>
      </c>
      <c r="D123" s="13" t="s">
        <v>52</v>
      </c>
      <c r="E123" s="1">
        <f>+E85</f>
        <v>35.950000000000003</v>
      </c>
      <c r="F123" s="1">
        <f>+F85</f>
        <v>35.479999999999997</v>
      </c>
      <c r="G123" s="7">
        <f>C123*(E123-F123)</f>
        <v>181.89000000000232</v>
      </c>
      <c r="H123" s="7">
        <f>C123*(E123-F123)</f>
        <v>181.89000000000232</v>
      </c>
      <c r="I123" s="1"/>
      <c r="J123" s="7">
        <f>C123*E123</f>
        <v>13912.650000000001</v>
      </c>
      <c r="K123" s="7">
        <f>J123</f>
        <v>13912.650000000001</v>
      </c>
      <c r="L123" s="3">
        <v>2</v>
      </c>
    </row>
    <row r="124" spans="1:14" x14ac:dyDescent="0.2">
      <c r="A124" s="8" t="s">
        <v>52</v>
      </c>
      <c r="B124" s="2" t="s">
        <v>23</v>
      </c>
      <c r="C124" s="13">
        <v>158.15</v>
      </c>
      <c r="D124" s="13" t="s">
        <v>52</v>
      </c>
      <c r="E124" s="1">
        <v>1</v>
      </c>
      <c r="F124" s="1">
        <v>1</v>
      </c>
      <c r="G124" s="7">
        <f>C124*(E124-F124)</f>
        <v>0</v>
      </c>
      <c r="H124" s="7">
        <f>C124*(E124-F124)</f>
        <v>0</v>
      </c>
      <c r="I124" s="1"/>
      <c r="J124" s="7">
        <f>C124*E124</f>
        <v>158.15</v>
      </c>
      <c r="K124" s="7">
        <f>J124</f>
        <v>158.15</v>
      </c>
      <c r="L124" s="3">
        <v>1</v>
      </c>
      <c r="M124" s="80" t="s">
        <v>52</v>
      </c>
    </row>
    <row r="125" spans="1:14" x14ac:dyDescent="0.2">
      <c r="A125" s="8"/>
      <c r="E125" s="1"/>
      <c r="F125" s="1"/>
      <c r="H125" s="7" t="s">
        <v>52</v>
      </c>
      <c r="I125" s="1"/>
    </row>
    <row r="126" spans="1:14" x14ac:dyDescent="0.2">
      <c r="A126" s="8" t="s">
        <v>63</v>
      </c>
      <c r="B126" s="2" t="s">
        <v>61</v>
      </c>
      <c r="C126" s="13">
        <v>387</v>
      </c>
      <c r="D126" s="13" t="s">
        <v>52</v>
      </c>
      <c r="E126" s="1">
        <f>+E85</f>
        <v>35.950000000000003</v>
      </c>
      <c r="F126" s="1">
        <f>+F85</f>
        <v>35.479999999999997</v>
      </c>
      <c r="G126" s="7">
        <f>C126*(E126-F126)</f>
        <v>181.89000000000232</v>
      </c>
      <c r="H126" s="7">
        <f>C126*(E126-F126)</f>
        <v>181.89000000000232</v>
      </c>
      <c r="I126" s="1"/>
      <c r="J126" s="7">
        <f>C126*E126</f>
        <v>13912.650000000001</v>
      </c>
      <c r="K126" s="7">
        <f>J126</f>
        <v>13912.650000000001</v>
      </c>
      <c r="L126" s="3">
        <v>2</v>
      </c>
    </row>
    <row r="127" spans="1:14" x14ac:dyDescent="0.2">
      <c r="A127" s="8" t="s">
        <v>52</v>
      </c>
      <c r="B127" s="2" t="s">
        <v>23</v>
      </c>
      <c r="C127" s="13">
        <v>158.15</v>
      </c>
      <c r="D127" s="13" t="s">
        <v>52</v>
      </c>
      <c r="E127" s="1">
        <v>1</v>
      </c>
      <c r="F127" s="1">
        <v>1</v>
      </c>
      <c r="G127" s="7">
        <f>C127*(E127-F127)</f>
        <v>0</v>
      </c>
      <c r="H127" s="7">
        <f>C127*(E127-F127)</f>
        <v>0</v>
      </c>
      <c r="I127" s="1"/>
      <c r="J127" s="7">
        <f>C127*E127</f>
        <v>158.15</v>
      </c>
      <c r="K127" s="7">
        <f>J127</f>
        <v>158.15</v>
      </c>
      <c r="L127" s="3">
        <v>1</v>
      </c>
    </row>
    <row r="128" spans="1:14" x14ac:dyDescent="0.2">
      <c r="A128" s="8"/>
      <c r="C128" s="13" t="s">
        <v>52</v>
      </c>
      <c r="E128" s="4"/>
      <c r="F128" s="4"/>
      <c r="H128" s="7" t="s">
        <v>52</v>
      </c>
      <c r="I128" s="1"/>
    </row>
    <row r="129" spans="1:16" x14ac:dyDescent="0.2">
      <c r="A129" s="8" t="s">
        <v>64</v>
      </c>
      <c r="B129" s="5" t="s">
        <v>22</v>
      </c>
      <c r="D129" s="13" t="s">
        <v>52</v>
      </c>
      <c r="E129" s="14"/>
      <c r="F129" s="14"/>
      <c r="H129" s="7" t="s">
        <v>52</v>
      </c>
      <c r="I129" s="3"/>
      <c r="K129" s="7" t="s">
        <v>52</v>
      </c>
    </row>
    <row r="130" spans="1:16" x14ac:dyDescent="0.2">
      <c r="A130" s="8" t="s">
        <v>79</v>
      </c>
      <c r="B130" s="2" t="s">
        <v>90</v>
      </c>
      <c r="C130" s="13">
        <v>288</v>
      </c>
      <c r="D130" s="13">
        <v>0</v>
      </c>
      <c r="E130" s="1">
        <f>E$32</f>
        <v>25.25</v>
      </c>
      <c r="F130" s="1">
        <f>F$32</f>
        <v>25.15</v>
      </c>
      <c r="G130" s="7">
        <f>C130*(E130-F130)</f>
        <v>28.800000000000409</v>
      </c>
      <c r="H130" s="7">
        <f>C130*(E130-F130)*0.5895</f>
        <v>16.97760000000024</v>
      </c>
      <c r="I130" s="1"/>
      <c r="J130" s="7">
        <f>C130*E130</f>
        <v>7272</v>
      </c>
      <c r="K130" s="7">
        <f>J130*0.5995</f>
        <v>4359.5640000000003</v>
      </c>
      <c r="L130" s="3">
        <v>2</v>
      </c>
      <c r="M130" s="80">
        <f>SUM(K113:K130)+K139</f>
        <v>6193116.925041724</v>
      </c>
      <c r="O130" s="7" t="s">
        <v>52</v>
      </c>
    </row>
    <row r="131" spans="1:16" x14ac:dyDescent="0.2">
      <c r="A131" s="8"/>
      <c r="E131" s="1" t="s">
        <v>52</v>
      </c>
      <c r="F131" s="1" t="s">
        <v>52</v>
      </c>
      <c r="H131" s="7" t="s">
        <v>52</v>
      </c>
      <c r="I131" s="1"/>
      <c r="K131" s="7" t="s">
        <v>52</v>
      </c>
    </row>
    <row r="132" spans="1:16" x14ac:dyDescent="0.2">
      <c r="A132" s="8" t="s">
        <v>21</v>
      </c>
      <c r="B132" s="5" t="s">
        <v>22</v>
      </c>
      <c r="C132" s="13" t="s">
        <v>52</v>
      </c>
      <c r="E132" s="1" t="s">
        <v>52</v>
      </c>
      <c r="F132" s="1" t="s">
        <v>52</v>
      </c>
      <c r="H132" s="7" t="s">
        <v>52</v>
      </c>
      <c r="I132" s="3"/>
      <c r="K132" s="7" t="s">
        <v>52</v>
      </c>
      <c r="M132" s="95" t="s">
        <v>52</v>
      </c>
    </row>
    <row r="133" spans="1:16" x14ac:dyDescent="0.2">
      <c r="A133" s="8" t="s">
        <v>11</v>
      </c>
      <c r="B133" s="2" t="s">
        <v>95</v>
      </c>
      <c r="C133" s="13">
        <v>3331</v>
      </c>
      <c r="D133" s="13">
        <v>0</v>
      </c>
      <c r="E133" s="1">
        <f t="shared" ref="E133:F136" si="18">E$32</f>
        <v>25.25</v>
      </c>
      <c r="F133" s="1">
        <f t="shared" si="18"/>
        <v>25.15</v>
      </c>
      <c r="G133" s="7">
        <f>C133*(E133-F133)</f>
        <v>333.10000000000474</v>
      </c>
      <c r="H133" s="7">
        <f>C133*(E133-F133)*0.5895</f>
        <v>196.36245000000281</v>
      </c>
      <c r="I133" s="1"/>
      <c r="J133" s="7">
        <f>C133*E133</f>
        <v>84107.75</v>
      </c>
      <c r="K133" s="7">
        <v>0</v>
      </c>
      <c r="L133" s="3">
        <v>2</v>
      </c>
      <c r="M133" s="80" t="s">
        <v>52</v>
      </c>
    </row>
    <row r="134" spans="1:16" x14ac:dyDescent="0.2">
      <c r="A134" s="8" t="s">
        <v>52</v>
      </c>
      <c r="B134" s="2" t="s">
        <v>148</v>
      </c>
      <c r="C134" s="13">
        <v>668</v>
      </c>
      <c r="D134" s="13">
        <v>0</v>
      </c>
      <c r="E134" s="1">
        <f t="shared" si="18"/>
        <v>25.25</v>
      </c>
      <c r="F134" s="1">
        <f t="shared" si="18"/>
        <v>25.15</v>
      </c>
      <c r="G134" s="7">
        <f>C134*(E134-F134)</f>
        <v>66.800000000000949</v>
      </c>
      <c r="H134" s="7">
        <f>C134*(E134-F134)*0.5895</f>
        <v>39.37860000000056</v>
      </c>
      <c r="I134" s="1"/>
      <c r="J134" s="7">
        <f>C134*E134</f>
        <v>16867</v>
      </c>
      <c r="K134" s="7">
        <v>0</v>
      </c>
      <c r="L134" s="3">
        <v>2</v>
      </c>
      <c r="M134" s="80" t="s">
        <v>52</v>
      </c>
    </row>
    <row r="135" spans="1:16" x14ac:dyDescent="0.2">
      <c r="A135" s="8" t="s">
        <v>52</v>
      </c>
      <c r="B135" s="2" t="s">
        <v>150</v>
      </c>
      <c r="C135" s="13">
        <v>786</v>
      </c>
      <c r="D135" s="13">
        <v>0</v>
      </c>
      <c r="E135" s="1">
        <f t="shared" si="18"/>
        <v>25.25</v>
      </c>
      <c r="F135" s="1">
        <f t="shared" si="18"/>
        <v>25.15</v>
      </c>
      <c r="G135" s="7">
        <f>C135*(E135-F135)</f>
        <v>78.600000000001117</v>
      </c>
      <c r="H135" s="7">
        <f>C135*(E135-F135)*0.5895</f>
        <v>46.334700000000659</v>
      </c>
      <c r="I135" s="1"/>
      <c r="J135" s="7">
        <f>C135*E135</f>
        <v>19846.5</v>
      </c>
      <c r="K135" s="7">
        <v>0</v>
      </c>
      <c r="L135" s="3">
        <v>2</v>
      </c>
      <c r="M135" s="80" t="s">
        <v>52</v>
      </c>
    </row>
    <row r="136" spans="1:16" x14ac:dyDescent="0.2">
      <c r="A136" s="8" t="s">
        <v>52</v>
      </c>
      <c r="B136" s="2" t="s">
        <v>157</v>
      </c>
      <c r="C136" s="13">
        <v>863</v>
      </c>
      <c r="D136" s="13">
        <v>0</v>
      </c>
      <c r="E136" s="1">
        <f t="shared" si="18"/>
        <v>25.25</v>
      </c>
      <c r="F136" s="1">
        <f t="shared" si="18"/>
        <v>25.15</v>
      </c>
      <c r="G136" s="7">
        <f>C136*(E136-F136)</f>
        <v>86.300000000001234</v>
      </c>
      <c r="H136" s="7">
        <f>C136*(E136-F136)*0.5895</f>
        <v>50.873850000000729</v>
      </c>
      <c r="I136" s="1"/>
      <c r="J136" s="7">
        <f>C136*E136</f>
        <v>21790.75</v>
      </c>
      <c r="K136" s="7">
        <v>0</v>
      </c>
      <c r="L136" s="3">
        <v>2</v>
      </c>
      <c r="M136" s="80" t="s">
        <v>87</v>
      </c>
    </row>
    <row r="137" spans="1:16" x14ac:dyDescent="0.2">
      <c r="A137" s="8"/>
      <c r="C137" s="13" t="s">
        <v>52</v>
      </c>
      <c r="E137" s="1" t="s">
        <v>52</v>
      </c>
      <c r="F137" s="1" t="s">
        <v>52</v>
      </c>
      <c r="I137" s="1"/>
      <c r="K137" s="7" t="s">
        <v>52</v>
      </c>
      <c r="M137" s="80">
        <f>M103</f>
        <v>-3664900</v>
      </c>
      <c r="N137" s="26">
        <f>M137/M144</f>
        <v>-0.59176987038320938</v>
      </c>
      <c r="O137" s="5" t="s">
        <v>85</v>
      </c>
    </row>
    <row r="138" spans="1:16" x14ac:dyDescent="0.2">
      <c r="A138" s="8" t="s">
        <v>59</v>
      </c>
      <c r="B138" s="5" t="s">
        <v>22</v>
      </c>
      <c r="C138" s="13" t="s">
        <v>52</v>
      </c>
      <c r="D138" s="13" t="s">
        <v>52</v>
      </c>
      <c r="E138" s="1" t="s">
        <v>52</v>
      </c>
      <c r="F138" s="1" t="s">
        <v>52</v>
      </c>
      <c r="G138" s="15"/>
      <c r="H138" s="15"/>
      <c r="I138" s="2"/>
      <c r="K138" s="7" t="s">
        <v>52</v>
      </c>
      <c r="M138" s="80">
        <f>SUMIF(L117:L148,2,K117:K148)+M104</f>
        <v>540310.45602172206</v>
      </c>
      <c r="N138" s="26">
        <f>M138/M144</f>
        <v>8.7243703382539006E-2</v>
      </c>
      <c r="O138" s="5" t="s">
        <v>22</v>
      </c>
    </row>
    <row r="139" spans="1:16" x14ac:dyDescent="0.2">
      <c r="A139" s="8" t="s">
        <v>9</v>
      </c>
      <c r="B139" s="2" t="s">
        <v>124</v>
      </c>
      <c r="C139" s="13">
        <v>15280</v>
      </c>
      <c r="D139" s="13">
        <v>15280</v>
      </c>
      <c r="E139" s="1">
        <f t="shared" ref="E139:F147" si="19">E$32</f>
        <v>25.25</v>
      </c>
      <c r="F139" s="1">
        <f t="shared" si="19"/>
        <v>25.15</v>
      </c>
      <c r="G139" s="7">
        <f t="shared" ref="G139:G147" si="20">IF(E139&gt;I139,(E139-F139)*C139,0)</f>
        <v>1528.0000000000218</v>
      </c>
      <c r="H139" s="7">
        <f t="shared" ref="H139:H147" si="21">IF(E139&gt;I139,(E139-F139)*C139*0.5895,0)</f>
        <v>900.75600000001293</v>
      </c>
      <c r="I139" s="1">
        <v>18.375</v>
      </c>
      <c r="J139" s="7">
        <f t="shared" ref="J139:J147" si="22">IF(C139*(E139-I139)&gt;0,C139*(E139-I139),0)</f>
        <v>105050</v>
      </c>
      <c r="K139" s="7">
        <f>J139*0.5995</f>
        <v>62977.475000000006</v>
      </c>
      <c r="L139" s="3">
        <v>2</v>
      </c>
      <c r="M139" s="80" t="s">
        <v>60</v>
      </c>
      <c r="N139" s="26"/>
      <c r="O139" s="7" t="s">
        <v>52</v>
      </c>
      <c r="P139" s="15" t="s">
        <v>52</v>
      </c>
    </row>
    <row r="140" spans="1:16" x14ac:dyDescent="0.2">
      <c r="A140" s="8" t="s">
        <v>52</v>
      </c>
      <c r="B140" s="2" t="s">
        <v>125</v>
      </c>
      <c r="C140" s="13">
        <v>5130</v>
      </c>
      <c r="D140" s="13">
        <v>0</v>
      </c>
      <c r="E140" s="1">
        <f t="shared" si="19"/>
        <v>25.25</v>
      </c>
      <c r="F140" s="1">
        <f t="shared" si="19"/>
        <v>25.15</v>
      </c>
      <c r="G140" s="7">
        <f t="shared" si="20"/>
        <v>0</v>
      </c>
      <c r="H140" s="7">
        <f t="shared" si="21"/>
        <v>0</v>
      </c>
      <c r="I140" s="1">
        <v>55.5</v>
      </c>
      <c r="J140" s="7">
        <f t="shared" si="22"/>
        <v>0</v>
      </c>
      <c r="K140" s="7">
        <f t="shared" ref="K140:K147" si="23">J140*0.5895</f>
        <v>0</v>
      </c>
      <c r="L140" s="3">
        <v>2</v>
      </c>
      <c r="M140" s="80">
        <f>SUMIF(L117:L148,1,K117:K148)+M106</f>
        <v>6247806.4690199997</v>
      </c>
      <c r="N140" s="26">
        <f>M140/M144</f>
        <v>1.0088306977956676</v>
      </c>
      <c r="O140" s="7" t="s">
        <v>52</v>
      </c>
      <c r="P140" s="15" t="s">
        <v>52</v>
      </c>
    </row>
    <row r="141" spans="1:16" x14ac:dyDescent="0.2">
      <c r="A141" s="8"/>
      <c r="B141" s="2" t="s">
        <v>126</v>
      </c>
      <c r="C141" s="13">
        <v>25</v>
      </c>
      <c r="D141" s="13">
        <v>0</v>
      </c>
      <c r="E141" s="1">
        <f t="shared" si="19"/>
        <v>25.25</v>
      </c>
      <c r="F141" s="1">
        <f t="shared" si="19"/>
        <v>25.15</v>
      </c>
      <c r="G141" s="7">
        <f t="shared" si="20"/>
        <v>0</v>
      </c>
      <c r="H141" s="7">
        <f t="shared" si="21"/>
        <v>0</v>
      </c>
      <c r="I141" s="1">
        <v>55.5</v>
      </c>
      <c r="J141" s="7">
        <f t="shared" si="22"/>
        <v>0</v>
      </c>
      <c r="K141" s="7">
        <f t="shared" si="23"/>
        <v>0</v>
      </c>
      <c r="L141" s="3">
        <v>2</v>
      </c>
      <c r="M141" s="80" t="s">
        <v>166</v>
      </c>
      <c r="N141" s="26"/>
      <c r="P141" s="2" t="s">
        <v>52</v>
      </c>
    </row>
    <row r="142" spans="1:16" x14ac:dyDescent="0.2">
      <c r="A142" s="8"/>
      <c r="B142" s="2" t="s">
        <v>127</v>
      </c>
      <c r="C142" s="13">
        <v>7608</v>
      </c>
      <c r="D142" s="13">
        <v>0</v>
      </c>
      <c r="E142" s="1">
        <f t="shared" si="19"/>
        <v>25.25</v>
      </c>
      <c r="F142" s="1">
        <f t="shared" si="19"/>
        <v>25.15</v>
      </c>
      <c r="G142" s="7">
        <f t="shared" si="20"/>
        <v>0</v>
      </c>
      <c r="H142" s="7">
        <f t="shared" si="21"/>
        <v>0</v>
      </c>
      <c r="I142" s="1">
        <v>75.0625</v>
      </c>
      <c r="J142" s="7">
        <f t="shared" si="22"/>
        <v>0</v>
      </c>
      <c r="K142" s="7">
        <f t="shared" si="23"/>
        <v>0</v>
      </c>
      <c r="L142" s="3">
        <v>2</v>
      </c>
      <c r="M142" s="80">
        <f>+M108</f>
        <v>-595000</v>
      </c>
      <c r="N142" s="26">
        <f>+M142/M144</f>
        <v>-9.6074401178206648E-2</v>
      </c>
      <c r="P142" s="15" t="s">
        <v>52</v>
      </c>
    </row>
    <row r="143" spans="1:16" x14ac:dyDescent="0.2">
      <c r="A143" s="8"/>
      <c r="B143" s="2" t="s">
        <v>128</v>
      </c>
      <c r="C143" s="13">
        <v>2540</v>
      </c>
      <c r="D143" s="13">
        <v>0</v>
      </c>
      <c r="E143" s="1">
        <f t="shared" si="19"/>
        <v>25.25</v>
      </c>
      <c r="F143" s="1">
        <f t="shared" si="19"/>
        <v>25.15</v>
      </c>
      <c r="G143" s="7">
        <f t="shared" si="20"/>
        <v>0</v>
      </c>
      <c r="H143" s="7">
        <f t="shared" si="21"/>
        <v>0</v>
      </c>
      <c r="I143" s="1">
        <v>76</v>
      </c>
      <c r="J143" s="7">
        <f t="shared" si="22"/>
        <v>0</v>
      </c>
      <c r="K143" s="7">
        <f t="shared" si="23"/>
        <v>0</v>
      </c>
      <c r="L143" s="3">
        <v>2</v>
      </c>
      <c r="M143" s="80" t="s">
        <v>91</v>
      </c>
      <c r="N143" s="26"/>
    </row>
    <row r="144" spans="1:16" x14ac:dyDescent="0.2">
      <c r="A144" s="8"/>
      <c r="B144" s="2" t="s">
        <v>144</v>
      </c>
      <c r="C144" s="13">
        <v>1524</v>
      </c>
      <c r="D144" s="13">
        <v>0</v>
      </c>
      <c r="E144" s="1">
        <f t="shared" si="19"/>
        <v>25.25</v>
      </c>
      <c r="F144" s="1">
        <f t="shared" si="19"/>
        <v>25.15</v>
      </c>
      <c r="G144" s="7">
        <f t="shared" si="20"/>
        <v>0</v>
      </c>
      <c r="H144" s="7">
        <f t="shared" si="21"/>
        <v>0</v>
      </c>
      <c r="I144" s="1">
        <v>83.125</v>
      </c>
      <c r="J144" s="7">
        <f t="shared" si="22"/>
        <v>0</v>
      </c>
      <c r="K144" s="7">
        <f t="shared" si="23"/>
        <v>0</v>
      </c>
      <c r="L144" s="3">
        <v>2</v>
      </c>
      <c r="M144" s="80">
        <f>SUM(K117:K139)+K113</f>
        <v>6193116.9250417221</v>
      </c>
      <c r="N144" s="26">
        <f>+M144/K150</f>
        <v>0.99999999999999967</v>
      </c>
    </row>
    <row r="145" spans="1:15" x14ac:dyDescent="0.2">
      <c r="A145" s="8"/>
      <c r="B145" s="2" t="s">
        <v>146</v>
      </c>
      <c r="C145" s="13">
        <v>1968</v>
      </c>
      <c r="D145" s="13">
        <v>0</v>
      </c>
      <c r="E145" s="1">
        <f t="shared" si="19"/>
        <v>25.25</v>
      </c>
      <c r="F145" s="1">
        <f t="shared" si="19"/>
        <v>25.15</v>
      </c>
      <c r="G145" s="7">
        <f>IF(E145&gt;I145,(E145-F145)*C145,0)</f>
        <v>0</v>
      </c>
      <c r="H145" s="7">
        <f>IF(E145&gt;I145,(E145-F145)*C145*0.5895,0)</f>
        <v>0</v>
      </c>
      <c r="I145" s="1">
        <v>62.41</v>
      </c>
      <c r="J145" s="7">
        <f>IF(C145*(E145-I145)&gt;0,C145*(E145-I145),0)</f>
        <v>0</v>
      </c>
      <c r="K145" s="7">
        <f t="shared" si="23"/>
        <v>0</v>
      </c>
      <c r="L145" s="3">
        <v>2</v>
      </c>
      <c r="M145" s="80" t="s">
        <v>52</v>
      </c>
      <c r="N145" s="80" t="s">
        <v>52</v>
      </c>
    </row>
    <row r="146" spans="1:15" x14ac:dyDescent="0.2">
      <c r="A146" s="8"/>
      <c r="B146" s="2" t="s">
        <v>151</v>
      </c>
      <c r="C146" s="13">
        <v>1967</v>
      </c>
      <c r="D146" s="13">
        <v>0</v>
      </c>
      <c r="E146" s="1">
        <f t="shared" si="19"/>
        <v>25.25</v>
      </c>
      <c r="F146" s="1">
        <f t="shared" si="19"/>
        <v>25.15</v>
      </c>
      <c r="G146" s="7">
        <f>IF(E146&gt;I146,(E146-F146)*C146,0)</f>
        <v>0</v>
      </c>
      <c r="H146" s="7">
        <f>IF(E146&gt;I146,(E146-F146)*C146*0.5895,0)</f>
        <v>0</v>
      </c>
      <c r="I146" s="1">
        <v>54.03</v>
      </c>
      <c r="J146" s="7">
        <f>IF(C146*(E146-I146)&gt;0,C146*(E146-I146),0)</f>
        <v>0</v>
      </c>
      <c r="K146" s="7">
        <f t="shared" si="23"/>
        <v>0</v>
      </c>
      <c r="L146" s="3">
        <v>2</v>
      </c>
      <c r="M146" s="80" t="s">
        <v>52</v>
      </c>
      <c r="N146" s="80" t="s">
        <v>52</v>
      </c>
    </row>
    <row r="147" spans="1:15" x14ac:dyDescent="0.2">
      <c r="A147" s="8"/>
      <c r="B147" s="2" t="s">
        <v>159</v>
      </c>
      <c r="C147" s="13">
        <f>2778-417</f>
        <v>2361</v>
      </c>
      <c r="D147" s="13">
        <v>0</v>
      </c>
      <c r="E147" s="1">
        <f t="shared" si="19"/>
        <v>25.25</v>
      </c>
      <c r="F147" s="1">
        <f t="shared" si="19"/>
        <v>25.15</v>
      </c>
      <c r="G147" s="7">
        <f t="shared" si="20"/>
        <v>0</v>
      </c>
      <c r="H147" s="7">
        <f t="shared" si="21"/>
        <v>0</v>
      </c>
      <c r="I147" s="1">
        <v>48.3</v>
      </c>
      <c r="J147" s="7">
        <f t="shared" si="22"/>
        <v>0</v>
      </c>
      <c r="K147" s="7">
        <f t="shared" si="23"/>
        <v>0</v>
      </c>
      <c r="L147" s="3">
        <v>2</v>
      </c>
      <c r="M147" s="80" t="s">
        <v>52</v>
      </c>
      <c r="N147" s="80" t="s">
        <v>52</v>
      </c>
    </row>
    <row r="148" spans="1:15" ht="13.5" thickBot="1" x14ac:dyDescent="0.25">
      <c r="A148" s="8"/>
      <c r="B148" s="17"/>
      <c r="C148" s="24" t="s">
        <v>52</v>
      </c>
      <c r="D148" s="24"/>
      <c r="E148" s="18"/>
      <c r="F148" s="18"/>
      <c r="G148" s="19"/>
      <c r="H148" s="19"/>
      <c r="I148" s="18"/>
      <c r="J148" s="19"/>
      <c r="K148" s="44"/>
      <c r="L148" s="65"/>
      <c r="M148" s="93"/>
      <c r="N148" s="93"/>
    </row>
    <row r="149" spans="1:15" x14ac:dyDescent="0.2">
      <c r="A149" s="8"/>
      <c r="C149" s="13" t="s">
        <v>52</v>
      </c>
      <c r="M149" s="80" t="s">
        <v>56</v>
      </c>
    </row>
    <row r="150" spans="1:15" x14ac:dyDescent="0.2">
      <c r="A150" s="8" t="s">
        <v>17</v>
      </c>
      <c r="B150" s="29" t="s">
        <v>52</v>
      </c>
      <c r="C150" s="13">
        <f>SUM(C130:C147)+C113</f>
        <v>65715.1299</v>
      </c>
      <c r="D150" s="13">
        <f>SUM(D130:D147)+D113</f>
        <v>25021.1299</v>
      </c>
      <c r="G150" s="7">
        <f>SUM(G113:G148)</f>
        <v>-56394.391979999746</v>
      </c>
      <c r="H150" s="7">
        <f>SUM(H113:H148)</f>
        <v>-57778.926379999757</v>
      </c>
      <c r="J150" s="7">
        <f>SUM(J113:J148)</f>
        <v>6839726.1450217236</v>
      </c>
      <c r="K150" s="7">
        <f>SUM(K113:K148)</f>
        <v>6193116.925041724</v>
      </c>
      <c r="M150" s="92">
        <f>SUM(K130:K147)+M113</f>
        <v>317602.36097500002</v>
      </c>
      <c r="N150" s="94">
        <f>M150/K150</f>
        <v>5.1283120409172683E-2</v>
      </c>
      <c r="O150" s="7">
        <f>SUM(O113:O148)</f>
        <v>0</v>
      </c>
    </row>
    <row r="151" spans="1:15" ht="13.5" thickBot="1" x14ac:dyDescent="0.25">
      <c r="A151" s="8"/>
      <c r="B151" s="17"/>
      <c r="C151" s="24"/>
      <c r="D151" s="24"/>
      <c r="E151" s="18"/>
      <c r="F151" s="18"/>
      <c r="G151" s="19"/>
      <c r="H151" s="19"/>
      <c r="I151" s="18"/>
      <c r="J151" s="19"/>
      <c r="K151" s="19"/>
      <c r="L151" s="65"/>
      <c r="M151" s="93"/>
      <c r="N151" s="93"/>
    </row>
    <row r="152" spans="1:15" x14ac:dyDescent="0.2">
      <c r="A152" s="8"/>
    </row>
    <row r="153" spans="1:15" x14ac:dyDescent="0.2">
      <c r="A153" s="21" t="s">
        <v>52</v>
      </c>
      <c r="B153" s="73" t="s">
        <v>52</v>
      </c>
      <c r="E153" s="2" t="s">
        <v>52</v>
      </c>
      <c r="F153" s="2" t="s">
        <v>52</v>
      </c>
      <c r="G153" s="2"/>
      <c r="H153" s="2"/>
      <c r="I153" s="2"/>
      <c r="K153" s="20">
        <v>7.0000000000000007E-2</v>
      </c>
      <c r="L153" s="66"/>
      <c r="M153" s="81"/>
    </row>
    <row r="154" spans="1:15" x14ac:dyDescent="0.2">
      <c r="A154" s="21" t="s">
        <v>52</v>
      </c>
      <c r="B154" s="73"/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7">
        <f>K113*K153</f>
        <v>422908.37105172058</v>
      </c>
      <c r="L154" s="66"/>
      <c r="M154" s="81" t="s">
        <v>52</v>
      </c>
    </row>
    <row r="155" spans="1:15" x14ac:dyDescent="0.2">
      <c r="A155" s="2" t="s">
        <v>52</v>
      </c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/>
      <c r="I155" s="2"/>
      <c r="K155" s="7">
        <f>K150*K153</f>
        <v>433518.1847529207</v>
      </c>
      <c r="L155" s="66"/>
      <c r="M155" s="81" t="s">
        <v>52</v>
      </c>
    </row>
    <row r="156" spans="1:15" x14ac:dyDescent="0.2">
      <c r="B156" s="73" t="s">
        <v>52</v>
      </c>
      <c r="D156" s="13" t="s">
        <v>52</v>
      </c>
      <c r="E156" s="28" t="s">
        <v>52</v>
      </c>
      <c r="F156" s="28" t="s">
        <v>52</v>
      </c>
      <c r="G156" s="2"/>
      <c r="H156" s="2"/>
      <c r="I156" s="2"/>
      <c r="K156" s="15"/>
      <c r="L156" s="66"/>
      <c r="M156" s="81" t="s">
        <v>52</v>
      </c>
    </row>
    <row r="157" spans="1:15" x14ac:dyDescent="0.2"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 t="s">
        <v>52</v>
      </c>
      <c r="I157" s="2"/>
      <c r="K157" s="15"/>
      <c r="L157" s="66"/>
      <c r="M157" s="81"/>
    </row>
    <row r="158" spans="1:15" x14ac:dyDescent="0.2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 t="s">
        <v>52</v>
      </c>
      <c r="I158" s="2"/>
      <c r="K158" s="7" t="s">
        <v>52</v>
      </c>
      <c r="L158" s="66"/>
      <c r="M158" s="81"/>
    </row>
    <row r="159" spans="1:15" x14ac:dyDescent="0.2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7" t="s">
        <v>52</v>
      </c>
      <c r="L159" s="66"/>
      <c r="M159" s="81"/>
    </row>
    <row r="160" spans="1:15" x14ac:dyDescent="0.2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/>
      <c r="I160" s="2"/>
      <c r="K160" s="7" t="s">
        <v>52</v>
      </c>
      <c r="L160" s="66"/>
      <c r="M160" s="81"/>
    </row>
    <row r="161" spans="2:13" x14ac:dyDescent="0.2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7" t="s">
        <v>52</v>
      </c>
      <c r="L161" s="66"/>
      <c r="M161" s="81"/>
    </row>
    <row r="162" spans="2:13" x14ac:dyDescent="0.2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 t="s">
        <v>52</v>
      </c>
      <c r="L162" s="66"/>
      <c r="M162" s="81"/>
    </row>
    <row r="163" spans="2:13" x14ac:dyDescent="0.2">
      <c r="B163" s="7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2:13" x14ac:dyDescent="0.2">
      <c r="B164" s="73" t="s">
        <v>52</v>
      </c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15"/>
      <c r="L164" s="66"/>
      <c r="M164" s="81"/>
    </row>
    <row r="165" spans="2:13" x14ac:dyDescent="0.2">
      <c r="B165" s="73" t="s">
        <v>52</v>
      </c>
      <c r="D165" s="13" t="s">
        <v>52</v>
      </c>
      <c r="E165" s="28" t="s">
        <v>52</v>
      </c>
      <c r="F165" s="28" t="s">
        <v>52</v>
      </c>
      <c r="G165" s="2"/>
      <c r="H165" s="2"/>
      <c r="I165" s="2"/>
      <c r="K165" s="15"/>
      <c r="L165" s="66"/>
      <c r="M165" s="81"/>
    </row>
    <row r="166" spans="2:13" x14ac:dyDescent="0.2">
      <c r="B166" s="73" t="s">
        <v>52</v>
      </c>
      <c r="D166" s="13" t="s">
        <v>52</v>
      </c>
      <c r="E166" s="28" t="s">
        <v>52</v>
      </c>
      <c r="F166" s="28" t="s">
        <v>52</v>
      </c>
      <c r="G166" s="2" t="s">
        <v>52</v>
      </c>
      <c r="H166" s="2"/>
      <c r="I166" s="2"/>
      <c r="K166" s="15"/>
      <c r="L166" s="66"/>
      <c r="M166" s="81"/>
    </row>
    <row r="167" spans="2:13" x14ac:dyDescent="0.2">
      <c r="B167" s="73" t="s">
        <v>52</v>
      </c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2:13" x14ac:dyDescent="0.2">
      <c r="D168" s="13" t="s">
        <v>52</v>
      </c>
      <c r="E168" s="28" t="s">
        <v>52</v>
      </c>
      <c r="F168" s="28" t="s">
        <v>52</v>
      </c>
      <c r="G168" s="2"/>
      <c r="H168" s="2"/>
      <c r="I168" s="2"/>
      <c r="K168" s="15"/>
      <c r="L168" s="66"/>
      <c r="M168" s="81"/>
    </row>
    <row r="169" spans="2:13" x14ac:dyDescent="0.2">
      <c r="D169" s="13" t="s">
        <v>52</v>
      </c>
      <c r="E169" s="28" t="s">
        <v>52</v>
      </c>
      <c r="F169" s="28" t="s">
        <v>52</v>
      </c>
      <c r="G169" s="2"/>
      <c r="H169" s="2"/>
      <c r="I169" s="2"/>
      <c r="L169" s="66"/>
      <c r="M169" s="81"/>
    </row>
    <row r="170" spans="2:13" x14ac:dyDescent="0.2"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2:13" x14ac:dyDescent="0.2">
      <c r="D171" s="13" t="s">
        <v>52</v>
      </c>
      <c r="E171" s="28" t="s">
        <v>52</v>
      </c>
      <c r="F171" s="28" t="s">
        <v>52</v>
      </c>
      <c r="G171" s="2"/>
      <c r="H171" s="2"/>
      <c r="I171" s="2"/>
      <c r="K171" s="15"/>
      <c r="L171" s="66"/>
      <c r="M171" s="81"/>
    </row>
    <row r="172" spans="2:13" x14ac:dyDescent="0.2">
      <c r="D172" s="13" t="s">
        <v>52</v>
      </c>
      <c r="E172" s="28" t="s">
        <v>52</v>
      </c>
      <c r="F172" s="28" t="s">
        <v>52</v>
      </c>
      <c r="G172" s="2"/>
      <c r="H172" s="2"/>
      <c r="I172" s="2"/>
      <c r="K172" s="15"/>
      <c r="L172" s="66"/>
      <c r="M172" s="81"/>
    </row>
    <row r="173" spans="2:13" x14ac:dyDescent="0.2">
      <c r="E173" s="2"/>
      <c r="F173" s="2"/>
      <c r="G173" s="2"/>
      <c r="H173" s="2"/>
      <c r="I173" s="2"/>
      <c r="K173" s="15"/>
      <c r="L173" s="66"/>
      <c r="M173" s="81"/>
    </row>
    <row r="174" spans="2:13" x14ac:dyDescent="0.2">
      <c r="E174" s="2"/>
      <c r="F174" s="2"/>
      <c r="G174" s="2"/>
      <c r="H174" s="2"/>
      <c r="I174" s="2"/>
      <c r="K174" s="15"/>
      <c r="L174" s="66"/>
      <c r="M174" s="81"/>
    </row>
    <row r="175" spans="2:13" x14ac:dyDescent="0.2">
      <c r="E175" s="2"/>
      <c r="F175" s="2"/>
      <c r="G175" s="2"/>
      <c r="H175" s="2"/>
      <c r="I175" s="2"/>
      <c r="K175" s="15"/>
      <c r="L175" s="66"/>
      <c r="M175" s="81"/>
    </row>
    <row r="176" spans="2:13" x14ac:dyDescent="0.2">
      <c r="E176" s="2"/>
      <c r="F176" s="2"/>
      <c r="G176" s="2" t="s">
        <v>52</v>
      </c>
      <c r="H176" s="2"/>
      <c r="I176" s="2"/>
      <c r="K176" s="15"/>
      <c r="L176" s="66"/>
      <c r="M176" s="81"/>
    </row>
    <row r="177" spans="3:13" x14ac:dyDescent="0.2">
      <c r="E177" s="2"/>
      <c r="F177" s="2"/>
      <c r="G177" s="2"/>
      <c r="H177" s="2"/>
      <c r="I177" s="2"/>
      <c r="K177" s="15"/>
      <c r="L177" s="66"/>
      <c r="M177" s="81"/>
    </row>
    <row r="178" spans="3:13" x14ac:dyDescent="0.2">
      <c r="E178" s="2"/>
      <c r="F178" s="2"/>
      <c r="G178" s="2"/>
      <c r="H178" s="2"/>
      <c r="I178" s="2"/>
      <c r="K178" s="15"/>
      <c r="L178" s="66"/>
      <c r="M178" s="81"/>
    </row>
    <row r="179" spans="3:13" x14ac:dyDescent="0.2">
      <c r="E179" s="2"/>
      <c r="F179" s="2"/>
      <c r="G179" s="2"/>
      <c r="H179" s="2"/>
      <c r="I179" s="2"/>
      <c r="K179" s="15"/>
      <c r="L179" s="66"/>
      <c r="M179" s="81"/>
    </row>
    <row r="180" spans="3:13" x14ac:dyDescent="0.2">
      <c r="E180" s="2"/>
      <c r="F180" s="2"/>
      <c r="G180" s="2"/>
      <c r="H180" s="2"/>
      <c r="I180" s="2"/>
      <c r="K180" s="15"/>
      <c r="L180" s="66"/>
      <c r="M180" s="81"/>
    </row>
    <row r="181" spans="3:13" x14ac:dyDescent="0.2">
      <c r="E181" s="2"/>
      <c r="F181" s="2"/>
      <c r="G181" s="2"/>
      <c r="H181" s="2"/>
      <c r="I181" s="2"/>
      <c r="K181" s="15"/>
      <c r="L181" s="66"/>
      <c r="M181" s="81"/>
    </row>
    <row r="182" spans="3:13" x14ac:dyDescent="0.2">
      <c r="E182" s="2"/>
      <c r="F182" s="2"/>
      <c r="G182" s="2"/>
      <c r="H182" s="2"/>
      <c r="I182" s="2"/>
      <c r="K182" s="15"/>
      <c r="L182" s="66"/>
      <c r="M182" s="81"/>
    </row>
    <row r="183" spans="3:13" x14ac:dyDescent="0.2">
      <c r="E183" s="2"/>
      <c r="F183" s="2"/>
      <c r="G183" s="2"/>
      <c r="H183" s="2"/>
      <c r="I183" s="2"/>
      <c r="K183" s="15"/>
      <c r="L183" s="66"/>
      <c r="M183" s="81"/>
    </row>
    <row r="184" spans="3:13" x14ac:dyDescent="0.2">
      <c r="E184" s="2"/>
      <c r="F184" s="2"/>
      <c r="G184" s="2"/>
      <c r="H184" s="2"/>
      <c r="I184" s="2"/>
      <c r="K184" s="15"/>
      <c r="L184" s="66"/>
      <c r="M184" s="81"/>
    </row>
    <row r="185" spans="3:13" x14ac:dyDescent="0.2">
      <c r="E185" s="2"/>
      <c r="F185" s="2"/>
      <c r="G185" s="2"/>
      <c r="H185" s="2"/>
      <c r="I185" s="2"/>
      <c r="K185" s="15"/>
      <c r="L185" s="66"/>
      <c r="M185" s="81"/>
    </row>
    <row r="186" spans="3:13" x14ac:dyDescent="0.2">
      <c r="E186" s="2"/>
      <c r="F186" s="2"/>
      <c r="G186" s="2"/>
      <c r="H186" s="2"/>
      <c r="I186" s="2"/>
      <c r="K186" s="15"/>
      <c r="L186" s="66"/>
      <c r="M186" s="81"/>
    </row>
    <row r="187" spans="3:13" x14ac:dyDescent="0.2">
      <c r="E187" s="2"/>
      <c r="F187" s="2"/>
      <c r="G187" s="2"/>
      <c r="H187" s="2"/>
      <c r="I187" s="2"/>
      <c r="K187" s="15"/>
      <c r="L187" s="66"/>
      <c r="M187" s="81"/>
    </row>
    <row r="188" spans="3:13" x14ac:dyDescent="0.2">
      <c r="C188" s="13" t="s">
        <v>52</v>
      </c>
      <c r="E188" s="2"/>
      <c r="F188" s="2"/>
      <c r="G188" s="2"/>
      <c r="H188" s="2"/>
      <c r="I188" s="2"/>
      <c r="K188" s="15"/>
      <c r="L188" s="66"/>
      <c r="M188" s="81"/>
    </row>
    <row r="189" spans="3:13" x14ac:dyDescent="0.2">
      <c r="E189" s="2"/>
      <c r="F189" s="2"/>
      <c r="G189" s="2"/>
      <c r="H189" s="2"/>
      <c r="I189" s="2"/>
      <c r="K189" s="15"/>
      <c r="L189" s="66"/>
      <c r="M189" s="81"/>
    </row>
    <row r="190" spans="3:13" x14ac:dyDescent="0.2">
      <c r="E190" s="2"/>
      <c r="F190" s="2"/>
      <c r="G190" s="2"/>
      <c r="H190" s="2"/>
      <c r="I190" s="2"/>
      <c r="K190" s="15"/>
      <c r="L190" s="66"/>
      <c r="M190" s="81"/>
    </row>
    <row r="191" spans="3:13" x14ac:dyDescent="0.2">
      <c r="E191" s="2"/>
      <c r="F191" s="2"/>
      <c r="G191" s="2"/>
      <c r="H191" s="2"/>
      <c r="I191" s="2"/>
      <c r="K191" s="15"/>
      <c r="L191" s="66"/>
      <c r="M191" s="81"/>
    </row>
    <row r="192" spans="3:13" x14ac:dyDescent="0.2">
      <c r="E192" s="2"/>
      <c r="F192" s="2"/>
      <c r="G192" s="2"/>
      <c r="H192" s="2"/>
      <c r="I192" s="2"/>
      <c r="K192" s="15"/>
      <c r="L192" s="66"/>
      <c r="M192" s="81"/>
    </row>
    <row r="193" spans="2:13" x14ac:dyDescent="0.2">
      <c r="E193" s="2"/>
      <c r="F193" s="2"/>
      <c r="G193" s="2"/>
      <c r="H193" s="2"/>
      <c r="I193" s="2"/>
      <c r="K193" s="15"/>
      <c r="L193" s="66"/>
      <c r="M193" s="81"/>
    </row>
    <row r="194" spans="2:13" x14ac:dyDescent="0.2">
      <c r="B194" s="2" t="s">
        <v>52</v>
      </c>
      <c r="E194" s="2"/>
      <c r="F194" s="2"/>
      <c r="G194" s="2"/>
      <c r="H194" s="2"/>
      <c r="I194" s="2"/>
      <c r="K194" s="15"/>
      <c r="L194" s="66"/>
      <c r="M194" s="81"/>
    </row>
    <row r="195" spans="2:13" x14ac:dyDescent="0.2">
      <c r="E195" s="2"/>
      <c r="F195" s="2"/>
      <c r="G195" s="2"/>
      <c r="H195" s="2"/>
      <c r="I195" s="2"/>
      <c r="K195" s="15"/>
      <c r="L195" s="66"/>
      <c r="M195" s="81"/>
    </row>
    <row r="196" spans="2:13" x14ac:dyDescent="0.2">
      <c r="E196" s="2"/>
      <c r="F196" s="2"/>
      <c r="G196" s="2"/>
      <c r="H196" s="2"/>
      <c r="I196" s="2"/>
      <c r="K196" s="15"/>
      <c r="L196" s="66"/>
      <c r="M196" s="81"/>
    </row>
    <row r="197" spans="2:13" x14ac:dyDescent="0.2">
      <c r="E197" s="2"/>
      <c r="F197" s="2"/>
      <c r="G197" s="2"/>
      <c r="H197" s="2"/>
      <c r="I197" s="2"/>
      <c r="K197" s="15"/>
      <c r="L197" s="66"/>
      <c r="M197" s="81"/>
    </row>
    <row r="198" spans="2:13" x14ac:dyDescent="0.2">
      <c r="E198" s="2"/>
      <c r="F198" s="2"/>
      <c r="G198" s="2"/>
      <c r="H198" s="2"/>
      <c r="I198" s="2"/>
      <c r="K198" s="15"/>
      <c r="L198" s="66"/>
      <c r="M198" s="81"/>
    </row>
    <row r="199" spans="2:13" x14ac:dyDescent="0.2">
      <c r="E199" s="2"/>
      <c r="F199" s="2"/>
      <c r="G199" s="2"/>
      <c r="H199" s="2"/>
      <c r="I199" s="2"/>
      <c r="K199" s="15"/>
      <c r="L199" s="66"/>
      <c r="M199" s="81"/>
    </row>
    <row r="200" spans="2:13" x14ac:dyDescent="0.2">
      <c r="E200" s="2"/>
      <c r="F200" s="2"/>
      <c r="G200" s="2"/>
      <c r="H200" s="2"/>
      <c r="I200" s="2"/>
      <c r="K200" s="15"/>
      <c r="L200" s="66"/>
      <c r="M200" s="81"/>
    </row>
    <row r="201" spans="2:13" x14ac:dyDescent="0.2">
      <c r="E201" s="2"/>
      <c r="F201" s="2"/>
      <c r="G201" s="2"/>
      <c r="H201" s="2"/>
      <c r="I201" s="2"/>
      <c r="K201" s="15"/>
      <c r="L201" s="66"/>
      <c r="M201" s="81"/>
    </row>
    <row r="202" spans="2:13" x14ac:dyDescent="0.2">
      <c r="E202" s="2"/>
      <c r="F202" s="2"/>
      <c r="G202" s="2"/>
      <c r="H202" s="2"/>
      <c r="I202" s="2"/>
      <c r="K202" s="15"/>
      <c r="L202" s="66"/>
      <c r="M202" s="81"/>
    </row>
    <row r="203" spans="2:13" x14ac:dyDescent="0.2">
      <c r="E203" s="2"/>
      <c r="F203" s="2"/>
      <c r="G203" s="2"/>
      <c r="H203" s="2"/>
      <c r="I203" s="2"/>
      <c r="K203" s="15"/>
      <c r="L203" s="66"/>
      <c r="M203" s="81"/>
    </row>
    <row r="204" spans="2:13" x14ac:dyDescent="0.2">
      <c r="E204" s="2"/>
      <c r="F204" s="2"/>
      <c r="G204" s="2"/>
      <c r="H204" s="2"/>
      <c r="I204" s="2"/>
      <c r="K204" s="15"/>
      <c r="L204" s="66"/>
      <c r="M204" s="81"/>
    </row>
    <row r="205" spans="2:13" x14ac:dyDescent="0.2">
      <c r="E205" s="2"/>
      <c r="F205" s="2"/>
      <c r="G205" s="2"/>
      <c r="H205" s="2"/>
      <c r="I205" s="2"/>
      <c r="K205" s="15"/>
      <c r="L205" s="66"/>
      <c r="M205" s="81"/>
    </row>
    <row r="206" spans="2:13" x14ac:dyDescent="0.2">
      <c r="E206" s="2"/>
      <c r="F206" s="2"/>
      <c r="G206" s="2"/>
      <c r="H206" s="2"/>
      <c r="I206" s="2"/>
      <c r="K206" s="15"/>
      <c r="L206" s="66"/>
      <c r="M206" s="81"/>
    </row>
    <row r="207" spans="2:13" x14ac:dyDescent="0.2">
      <c r="E207" s="2"/>
      <c r="F207" s="2"/>
      <c r="G207" s="2"/>
      <c r="H207" s="2"/>
      <c r="I207" s="2"/>
      <c r="K207" s="15"/>
      <c r="L207" s="66"/>
      <c r="M207" s="81"/>
    </row>
    <row r="208" spans="2:13" x14ac:dyDescent="0.2">
      <c r="E208" s="2"/>
      <c r="F208" s="2"/>
      <c r="G208" s="2"/>
      <c r="H208" s="2"/>
      <c r="I208" s="2"/>
      <c r="K208" s="15"/>
      <c r="L208" s="66"/>
      <c r="M208" s="81"/>
    </row>
    <row r="209" spans="5:13" x14ac:dyDescent="0.2">
      <c r="E209" s="2"/>
      <c r="F209" s="2"/>
      <c r="G209" s="2"/>
      <c r="H209" s="2"/>
      <c r="I209" s="2"/>
      <c r="K209" s="15"/>
      <c r="L209" s="66"/>
      <c r="M209" s="81"/>
    </row>
    <row r="210" spans="5:13" x14ac:dyDescent="0.2">
      <c r="E210" s="2"/>
      <c r="F210" s="2"/>
      <c r="G210" s="2"/>
      <c r="H210" s="2"/>
      <c r="I210" s="2"/>
      <c r="K210" s="15"/>
      <c r="L210" s="66"/>
      <c r="M210" s="81"/>
    </row>
    <row r="211" spans="5:13" x14ac:dyDescent="0.2">
      <c r="E211" s="2"/>
      <c r="F211" s="2"/>
      <c r="G211" s="2"/>
      <c r="H211" s="2"/>
      <c r="I211" s="2"/>
      <c r="K211" s="15"/>
      <c r="L211" s="66"/>
      <c r="M211" s="81"/>
    </row>
    <row r="212" spans="5:13" x14ac:dyDescent="0.2">
      <c r="E212" s="2"/>
      <c r="F212" s="2"/>
      <c r="G212" s="2"/>
      <c r="H212" s="2"/>
      <c r="I212" s="2"/>
      <c r="K212" s="15"/>
      <c r="L212" s="66"/>
      <c r="M212" s="81"/>
    </row>
    <row r="213" spans="5:13" x14ac:dyDescent="0.2">
      <c r="E213" s="2"/>
      <c r="F213" s="2"/>
      <c r="G213" s="2"/>
      <c r="H213" s="2"/>
      <c r="I213" s="2"/>
      <c r="K213" s="15"/>
      <c r="L213" s="66"/>
      <c r="M213" s="81"/>
    </row>
    <row r="214" spans="5:13" x14ac:dyDescent="0.2">
      <c r="E214" s="2"/>
      <c r="F214" s="2"/>
      <c r="G214" s="2"/>
      <c r="H214" s="2"/>
      <c r="I214" s="2"/>
      <c r="K214" s="15"/>
      <c r="L214" s="66"/>
      <c r="M214" s="81"/>
    </row>
    <row r="215" spans="5:13" x14ac:dyDescent="0.2">
      <c r="E215" s="2"/>
      <c r="F215" s="2"/>
      <c r="G215" s="2"/>
      <c r="H215" s="2"/>
      <c r="I215" s="2"/>
      <c r="K215" s="15"/>
      <c r="L215" s="66"/>
      <c r="M215" s="81"/>
    </row>
    <row r="216" spans="5:13" x14ac:dyDescent="0.2">
      <c r="E216" s="2"/>
      <c r="F216" s="2"/>
      <c r="G216" s="2"/>
      <c r="H216" s="2"/>
      <c r="I216" s="2"/>
      <c r="K216" s="15"/>
      <c r="L216" s="66"/>
      <c r="M216" s="81"/>
    </row>
    <row r="217" spans="5:13" x14ac:dyDescent="0.2">
      <c r="E217" s="2"/>
      <c r="F217" s="2"/>
      <c r="G217" s="2"/>
      <c r="H217" s="2"/>
      <c r="I217" s="2"/>
      <c r="K217" s="15"/>
      <c r="L217" s="66"/>
      <c r="M217" s="81"/>
    </row>
    <row r="218" spans="5:13" x14ac:dyDescent="0.2">
      <c r="E218" s="2"/>
      <c r="F218" s="2"/>
      <c r="G218" s="2"/>
      <c r="H218" s="2"/>
      <c r="I218" s="2"/>
      <c r="K218" s="15"/>
      <c r="L218" s="66"/>
      <c r="M218" s="81"/>
    </row>
    <row r="219" spans="5:13" x14ac:dyDescent="0.2">
      <c r="E219" s="2"/>
      <c r="F219" s="2"/>
      <c r="G219" s="2"/>
      <c r="H219" s="2"/>
      <c r="I219" s="2"/>
      <c r="K219" s="15"/>
      <c r="L219" s="66"/>
      <c r="M219" s="81"/>
    </row>
    <row r="220" spans="5:13" x14ac:dyDescent="0.2">
      <c r="E220" s="2"/>
      <c r="F220" s="2"/>
      <c r="G220" s="2"/>
      <c r="H220" s="2"/>
      <c r="I220" s="2"/>
      <c r="K220" s="15"/>
      <c r="L220" s="66"/>
      <c r="M220" s="81"/>
    </row>
    <row r="221" spans="5:13" x14ac:dyDescent="0.2">
      <c r="E221" s="2"/>
      <c r="F221" s="2"/>
      <c r="G221" s="2"/>
      <c r="H221" s="2"/>
      <c r="I221" s="2"/>
      <c r="K221" s="15"/>
      <c r="L221" s="66"/>
      <c r="M221" s="81"/>
    </row>
    <row r="222" spans="5:13" x14ac:dyDescent="0.2">
      <c r="E222" s="2"/>
      <c r="F222" s="2"/>
      <c r="G222" s="2"/>
      <c r="H222" s="2"/>
      <c r="I222" s="2"/>
      <c r="K222" s="15"/>
      <c r="L222" s="66"/>
      <c r="M222" s="81"/>
    </row>
    <row r="223" spans="5:13" x14ac:dyDescent="0.2">
      <c r="E223" s="2"/>
      <c r="F223" s="2"/>
      <c r="G223" s="2"/>
      <c r="H223" s="2"/>
      <c r="I223" s="2"/>
      <c r="K223" s="15"/>
      <c r="L223" s="66"/>
      <c r="M223" s="81"/>
    </row>
    <row r="224" spans="5:13" x14ac:dyDescent="0.2">
      <c r="E224" s="2"/>
      <c r="F224" s="2"/>
      <c r="G224" s="2"/>
      <c r="H224" s="2"/>
      <c r="I224" s="2"/>
      <c r="K224" s="15"/>
      <c r="L224" s="66"/>
      <c r="M224" s="81"/>
    </row>
    <row r="225" spans="5:13" x14ac:dyDescent="0.2">
      <c r="E225" s="2"/>
      <c r="F225" s="2"/>
      <c r="G225" s="2"/>
      <c r="H225" s="2"/>
      <c r="I225" s="2"/>
      <c r="K225" s="15"/>
      <c r="L225" s="66"/>
      <c r="M225" s="81"/>
    </row>
    <row r="226" spans="5:13" x14ac:dyDescent="0.2">
      <c r="E226" s="2"/>
      <c r="F226" s="2"/>
      <c r="G226" s="2"/>
      <c r="H226" s="2"/>
      <c r="I226" s="2"/>
      <c r="K226" s="15"/>
      <c r="L226" s="66"/>
      <c r="M226" s="81"/>
    </row>
    <row r="227" spans="5:13" x14ac:dyDescent="0.2">
      <c r="E227" s="2"/>
      <c r="F227" s="2"/>
      <c r="G227" s="2"/>
      <c r="H227" s="2"/>
      <c r="I227" s="2"/>
      <c r="K227" s="15"/>
      <c r="L227" s="66"/>
      <c r="M227" s="81"/>
    </row>
    <row r="228" spans="5:13" x14ac:dyDescent="0.2">
      <c r="E228" s="2"/>
      <c r="F228" s="2"/>
      <c r="G228" s="2"/>
      <c r="H228" s="2"/>
      <c r="I228" s="2"/>
      <c r="K228" s="15"/>
      <c r="L228" s="66"/>
      <c r="M228" s="81"/>
    </row>
    <row r="229" spans="5:13" x14ac:dyDescent="0.2">
      <c r="E229" s="2"/>
      <c r="F229" s="2"/>
      <c r="G229" s="2"/>
      <c r="H229" s="2"/>
      <c r="I229" s="2"/>
      <c r="K229" s="15"/>
      <c r="L229" s="66"/>
      <c r="M229" s="81"/>
    </row>
    <row r="230" spans="5:13" x14ac:dyDescent="0.2">
      <c r="E230" s="2"/>
      <c r="F230" s="2"/>
      <c r="G230" s="2"/>
      <c r="H230" s="2"/>
      <c r="I230" s="2"/>
      <c r="K230" s="15"/>
      <c r="L230" s="66"/>
      <c r="M230" s="81"/>
    </row>
    <row r="231" spans="5:13" x14ac:dyDescent="0.2">
      <c r="E231" s="2"/>
      <c r="F231" s="2"/>
      <c r="G231" s="2"/>
      <c r="H231" s="2"/>
      <c r="I231" s="2"/>
      <c r="L231" s="66"/>
      <c r="M231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workbookViewId="0">
      <pane xSplit="1" ySplit="13" topLeftCell="B18" activePane="bottomRight" state="frozen"/>
      <selection pane="topRight" activeCell="B1" sqref="B1"/>
      <selection pane="bottomLeft" activeCell="A9" sqref="A9"/>
      <selection pane="bottomRight" activeCell="B31" sqref="B31"/>
    </sheetView>
  </sheetViews>
  <sheetFormatPr defaultRowHeight="12.75" x14ac:dyDescent="0.2"/>
  <cols>
    <col min="1" max="1" width="9.140625" style="10"/>
    <col min="2" max="2" width="13.85546875" style="31" bestFit="1" customWidth="1"/>
    <col min="3" max="3" width="14.42578125" style="32" bestFit="1" customWidth="1"/>
    <col min="4" max="4" width="12.28515625" style="33" bestFit="1" customWidth="1"/>
    <col min="5" max="5" width="16.28515625" style="31" bestFit="1" customWidth="1"/>
    <col min="6" max="6" width="10.7109375" style="31" bestFit="1" customWidth="1"/>
    <col min="7" max="8" width="13.28515625" style="43" bestFit="1" customWidth="1"/>
    <col min="9" max="9" width="12.7109375" bestFit="1" customWidth="1"/>
    <col min="10" max="10" width="11.7109375" bestFit="1" customWidth="1"/>
  </cols>
  <sheetData>
    <row r="1" spans="1:23" ht="13.5" thickBot="1" x14ac:dyDescent="0.25">
      <c r="B1" s="10" t="s">
        <v>52</v>
      </c>
      <c r="C1" s="9" t="s">
        <v>52</v>
      </c>
    </row>
    <row r="2" spans="1:23" ht="13.5" thickBot="1" x14ac:dyDescent="0.25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5" thickBot="1" x14ac:dyDescent="0.25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5" thickBot="1" x14ac:dyDescent="0.25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91</v>
      </c>
      <c r="E5" s="38">
        <f>SUM(E3:E4)</f>
        <v>34201</v>
      </c>
    </row>
    <row r="6" spans="1:23" x14ac:dyDescent="0.2">
      <c r="A6" s="10">
        <v>2004</v>
      </c>
      <c r="B6" s="16">
        <f>G31</f>
        <v>0</v>
      </c>
      <c r="C6" s="16">
        <f>H31</f>
        <v>0</v>
      </c>
    </row>
    <row r="7" spans="1:23" x14ac:dyDescent="0.2">
      <c r="A7" s="10">
        <v>2005</v>
      </c>
      <c r="B7" s="16">
        <f>G33</f>
        <v>84107.75</v>
      </c>
      <c r="C7" s="16">
        <f>H33</f>
        <v>50422.596125000004</v>
      </c>
    </row>
    <row r="8" spans="1:23" x14ac:dyDescent="0.2">
      <c r="B8" s="16"/>
      <c r="C8" s="16"/>
    </row>
    <row r="9" spans="1:23" x14ac:dyDescent="0.2">
      <c r="A9" s="10" t="s">
        <v>91</v>
      </c>
      <c r="B9" s="16" t="e">
        <f>SUM(B3:B8)</f>
        <v>#REF!</v>
      </c>
      <c r="C9" s="16" t="e">
        <f>SUM(C3:C8)</f>
        <v>#REF!</v>
      </c>
    </row>
    <row r="10" spans="1:23" ht="13.5" thickBot="1" x14ac:dyDescent="0.25">
      <c r="B10" s="10"/>
      <c r="C10" s="10"/>
    </row>
    <row r="11" spans="1:23" x14ac:dyDescent="0.2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5" thickBot="1" x14ac:dyDescent="0.25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f>C14*(Sheet1!$E$32-D14)</f>
        <v>105050</v>
      </c>
      <c r="H14" s="11">
        <f>G14*0.5995</f>
        <v>62977.475000000006</v>
      </c>
      <c r="I14" s="39" t="s">
        <v>52</v>
      </c>
    </row>
    <row r="15" spans="1:23" s="10" customFormat="1" x14ac:dyDescent="0.2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1" si="0">G16*0.5995</f>
        <v>0</v>
      </c>
      <c r="I16" s="39" t="s">
        <v>52</v>
      </c>
      <c r="J16" s="10"/>
    </row>
    <row r="17" spans="1:11" x14ac:dyDescent="0.2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">
      <c r="A25" s="10">
        <v>144377</v>
      </c>
      <c r="B25" s="5" t="s">
        <v>77</v>
      </c>
      <c r="C25" s="13">
        <v>288</v>
      </c>
      <c r="D25" s="1">
        <f>D$87</f>
        <v>0</v>
      </c>
      <c r="E25" s="1" t="s">
        <v>74</v>
      </c>
      <c r="F25" s="34">
        <v>37645</v>
      </c>
      <c r="G25" s="1">
        <f>C25*(Sheet1!$E$32-D25)</f>
        <v>7272</v>
      </c>
      <c r="H25" s="11">
        <f t="shared" si="0"/>
        <v>4359.5640000000003</v>
      </c>
      <c r="I25" s="10" t="s">
        <v>52</v>
      </c>
      <c r="J25" s="10"/>
      <c r="K25" s="5"/>
    </row>
    <row r="26" spans="1:11" s="2" customFormat="1" x14ac:dyDescent="0.2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154</v>
      </c>
      <c r="J29" s="10" t="s">
        <v>52</v>
      </c>
    </row>
    <row r="30" spans="1:11" x14ac:dyDescent="0.2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">
      <c r="B32" s="5"/>
      <c r="F32" s="34"/>
      <c r="G32" s="1"/>
      <c r="H32" s="11"/>
      <c r="I32" s="58"/>
      <c r="J32" s="9"/>
    </row>
    <row r="33" spans="1:11" s="2" customFormat="1" x14ac:dyDescent="0.2">
      <c r="A33" s="10">
        <v>151699</v>
      </c>
      <c r="B33" s="5" t="s">
        <v>76</v>
      </c>
      <c r="C33" s="13">
        <v>3331</v>
      </c>
      <c r="D33" s="1">
        <f>D$87</f>
        <v>0</v>
      </c>
      <c r="E33" s="1" t="s">
        <v>74</v>
      </c>
      <c r="F33" s="69" t="s">
        <v>94</v>
      </c>
      <c r="G33" s="1">
        <f>C33*(Sheet1!$E$32-D33)</f>
        <v>84107.75</v>
      </c>
      <c r="H33" s="11">
        <f t="shared" si="0"/>
        <v>50422.596125000004</v>
      </c>
      <c r="I33" s="10"/>
      <c r="J33" s="10" t="s">
        <v>52</v>
      </c>
      <c r="K33" s="5"/>
    </row>
    <row r="34" spans="1:11" s="2" customFormat="1" x14ac:dyDescent="0.2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">
      <c r="B39" s="5"/>
      <c r="C39" s="13"/>
      <c r="F39" s="34"/>
      <c r="G39" s="1"/>
      <c r="H39" s="11" t="s">
        <v>52</v>
      </c>
      <c r="I39" s="10"/>
      <c r="J39" s="10"/>
    </row>
    <row r="40" spans="1:11" x14ac:dyDescent="0.2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88">
        <v>37196</v>
      </c>
      <c r="G40" s="1">
        <v>0</v>
      </c>
      <c r="H40" s="11">
        <f t="shared" si="0"/>
        <v>0</v>
      </c>
      <c r="I40" s="10"/>
      <c r="J40" s="10"/>
    </row>
    <row r="41" spans="1:11" x14ac:dyDescent="0.2">
      <c r="B41" s="5" t="s">
        <v>68</v>
      </c>
      <c r="C41" s="13">
        <v>347</v>
      </c>
      <c r="D41" s="33">
        <v>62.41</v>
      </c>
      <c r="E41" s="31" t="s">
        <v>74</v>
      </c>
      <c r="F41" s="34">
        <v>37377</v>
      </c>
      <c r="G41" s="1">
        <v>0</v>
      </c>
      <c r="H41" s="11">
        <f t="shared" si="0"/>
        <v>0</v>
      </c>
      <c r="I41" s="10"/>
      <c r="J41" s="10"/>
    </row>
    <row r="42" spans="1:11" x14ac:dyDescent="0.2">
      <c r="B42" s="5" t="s">
        <v>68</v>
      </c>
      <c r="C42" s="13">
        <v>347</v>
      </c>
      <c r="D42" s="33">
        <v>62.41</v>
      </c>
      <c r="E42" s="31" t="s">
        <v>74</v>
      </c>
      <c r="F42" s="34">
        <v>37561</v>
      </c>
      <c r="G42" s="1">
        <v>0</v>
      </c>
      <c r="H42" s="11">
        <f t="shared" si="0"/>
        <v>0</v>
      </c>
      <c r="I42" s="10"/>
      <c r="J42" s="10"/>
    </row>
    <row r="43" spans="1:11" x14ac:dyDescent="0.2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37742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">
      <c r="A44" s="10" t="s">
        <v>52</v>
      </c>
      <c r="B44" s="5" t="s">
        <v>68</v>
      </c>
      <c r="C44" s="13">
        <v>347</v>
      </c>
      <c r="D44" s="33">
        <v>62.41</v>
      </c>
      <c r="E44" s="31" t="s">
        <v>74</v>
      </c>
      <c r="F44" s="34">
        <v>37926</v>
      </c>
      <c r="G44" s="1">
        <v>0</v>
      </c>
      <c r="H44" s="11">
        <f t="shared" si="0"/>
        <v>0</v>
      </c>
      <c r="I44" s="10" t="s">
        <v>52</v>
      </c>
      <c r="J44" s="10"/>
    </row>
    <row r="45" spans="1:11" x14ac:dyDescent="0.2">
      <c r="A45" s="23" t="s">
        <v>52</v>
      </c>
      <c r="B45" s="5" t="s">
        <v>68</v>
      </c>
      <c r="C45" s="13">
        <v>233</v>
      </c>
      <c r="D45" s="33">
        <v>62.41</v>
      </c>
      <c r="E45" s="31" t="s">
        <v>74</v>
      </c>
      <c r="F45" s="34">
        <v>38108</v>
      </c>
      <c r="G45" s="1">
        <v>0</v>
      </c>
      <c r="H45" s="11">
        <f t="shared" si="0"/>
        <v>0</v>
      </c>
      <c r="I45" s="23" t="s">
        <v>52</v>
      </c>
      <c r="J45" s="10"/>
    </row>
    <row r="46" spans="1:11" x14ac:dyDescent="0.2">
      <c r="B46" s="5"/>
      <c r="C46" s="13"/>
      <c r="F46" s="34"/>
      <c r="G46" s="1"/>
      <c r="H46" s="11"/>
      <c r="I46" s="23"/>
      <c r="J46" s="10"/>
    </row>
    <row r="47" spans="1:11" s="2" customFormat="1" x14ac:dyDescent="0.2">
      <c r="A47" s="10">
        <v>170894</v>
      </c>
      <c r="B47" s="5" t="s">
        <v>76</v>
      </c>
      <c r="C47" s="13">
        <v>223</v>
      </c>
      <c r="D47" s="1">
        <f>D$87</f>
        <v>0</v>
      </c>
      <c r="E47" s="1" t="s">
        <v>74</v>
      </c>
      <c r="F47" s="34">
        <v>37377</v>
      </c>
      <c r="G47" s="1">
        <f>C47*(Sheet1!$E$32-D47)</f>
        <v>5630.75</v>
      </c>
      <c r="H47" s="11">
        <f t="shared" si="0"/>
        <v>3375.6346250000001</v>
      </c>
      <c r="I47" s="10"/>
      <c r="J47" s="10"/>
      <c r="K47" s="5"/>
    </row>
    <row r="48" spans="1:11" s="2" customFormat="1" x14ac:dyDescent="0.2">
      <c r="A48" s="10" t="s">
        <v>52</v>
      </c>
      <c r="B48" s="5" t="s">
        <v>76</v>
      </c>
      <c r="C48" s="13">
        <v>223</v>
      </c>
      <c r="D48" s="1">
        <f>D$87</f>
        <v>0</v>
      </c>
      <c r="E48" s="1" t="s">
        <v>74</v>
      </c>
      <c r="F48" s="34">
        <v>37742</v>
      </c>
      <c r="G48" s="1">
        <f>C48*(Sheet1!$E$32-D48)</f>
        <v>5630.75</v>
      </c>
      <c r="H48" s="11">
        <f t="shared" si="0"/>
        <v>3375.6346250000001</v>
      </c>
      <c r="I48" s="10"/>
      <c r="J48" s="10"/>
      <c r="K48" s="5"/>
    </row>
    <row r="49" spans="1:11" s="2" customFormat="1" x14ac:dyDescent="0.2">
      <c r="A49" s="10" t="s">
        <v>52</v>
      </c>
      <c r="B49" s="5" t="s">
        <v>76</v>
      </c>
      <c r="C49" s="13">
        <v>222</v>
      </c>
      <c r="D49" s="1">
        <f>D$87</f>
        <v>0</v>
      </c>
      <c r="E49" s="1" t="s">
        <v>74</v>
      </c>
      <c r="F49" s="34">
        <v>38108</v>
      </c>
      <c r="G49" s="1">
        <f>C49*(Sheet1!$E$32-D49)</f>
        <v>5605.5</v>
      </c>
      <c r="H49" s="11">
        <f t="shared" si="0"/>
        <v>3360.4972500000003</v>
      </c>
      <c r="I49" s="10"/>
      <c r="J49" s="10"/>
      <c r="K49" s="5"/>
    </row>
    <row r="50" spans="1:11" s="2" customFormat="1" x14ac:dyDescent="0.2">
      <c r="A50" s="10"/>
      <c r="B50" s="5"/>
      <c r="C50" s="13"/>
      <c r="D50" s="1"/>
      <c r="E50" s="1"/>
      <c r="F50" s="34"/>
      <c r="G50" s="1"/>
      <c r="H50" s="11" t="s">
        <v>52</v>
      </c>
      <c r="I50" s="10"/>
      <c r="J50" s="10"/>
      <c r="K50" s="5"/>
    </row>
    <row r="51" spans="1:11" s="2" customFormat="1" x14ac:dyDescent="0.2">
      <c r="A51" s="10">
        <v>171029</v>
      </c>
      <c r="B51" s="5" t="s">
        <v>68</v>
      </c>
      <c r="C51" s="91">
        <v>348</v>
      </c>
      <c r="D51" s="33">
        <v>53.04</v>
      </c>
      <c r="E51" s="31" t="s">
        <v>74</v>
      </c>
      <c r="F51" s="88">
        <v>37226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">
      <c r="A52" s="10"/>
      <c r="B52" s="5" t="s">
        <v>68</v>
      </c>
      <c r="C52" s="13">
        <v>348</v>
      </c>
      <c r="D52" s="33">
        <v>53.04</v>
      </c>
      <c r="E52" s="31" t="s">
        <v>74</v>
      </c>
      <c r="F52" s="34">
        <v>37408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">
      <c r="A53" s="23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37591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37773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">
      <c r="A55" s="10" t="s">
        <v>52</v>
      </c>
      <c r="B55" s="5" t="s">
        <v>68</v>
      </c>
      <c r="C55" s="13">
        <v>348</v>
      </c>
      <c r="D55" s="33">
        <v>53.04</v>
      </c>
      <c r="E55" s="31" t="s">
        <v>74</v>
      </c>
      <c r="F55" s="34">
        <v>37956</v>
      </c>
      <c r="G55" s="1">
        <v>0</v>
      </c>
      <c r="H55" s="11">
        <f t="shared" si="0"/>
        <v>0</v>
      </c>
      <c r="I55" s="10"/>
      <c r="J55" s="10"/>
      <c r="K55" s="5"/>
    </row>
    <row r="56" spans="1:11" s="2" customFormat="1" x14ac:dyDescent="0.2">
      <c r="A56" s="23" t="s">
        <v>52</v>
      </c>
      <c r="B56" s="5" t="s">
        <v>68</v>
      </c>
      <c r="C56" s="13">
        <v>227</v>
      </c>
      <c r="D56" s="33">
        <v>53.04</v>
      </c>
      <c r="E56" s="31" t="s">
        <v>74</v>
      </c>
      <c r="F56" s="34">
        <v>38139</v>
      </c>
      <c r="G56" s="1">
        <v>0</v>
      </c>
      <c r="H56" s="11">
        <f t="shared" si="0"/>
        <v>0</v>
      </c>
      <c r="I56" s="23" t="s">
        <v>52</v>
      </c>
      <c r="J56" s="10"/>
      <c r="K56" s="5"/>
    </row>
    <row r="57" spans="1:11" s="2" customFormat="1" x14ac:dyDescent="0.2">
      <c r="A57" s="10"/>
      <c r="B57" s="5"/>
      <c r="C57" s="13"/>
      <c r="D57" s="33"/>
      <c r="E57" s="31"/>
      <c r="F57" s="34"/>
      <c r="G57" s="1"/>
      <c r="H57" s="11"/>
      <c r="I57" s="23"/>
      <c r="J57" s="10"/>
      <c r="K57" s="5"/>
    </row>
    <row r="58" spans="1:11" s="2" customFormat="1" x14ac:dyDescent="0.2">
      <c r="A58" s="10">
        <v>171088</v>
      </c>
      <c r="B58" s="5" t="s">
        <v>76</v>
      </c>
      <c r="C58" s="13">
        <v>262</v>
      </c>
      <c r="D58" s="1">
        <f>D$87</f>
        <v>0</v>
      </c>
      <c r="E58" s="1" t="s">
        <v>74</v>
      </c>
      <c r="F58" s="34">
        <v>37408</v>
      </c>
      <c r="G58" s="1">
        <f>C58*(Sheet1!$E$32-D58)</f>
        <v>6615.5</v>
      </c>
      <c r="H58" s="11">
        <f t="shared" si="0"/>
        <v>3965.9922500000002</v>
      </c>
      <c r="I58" s="10"/>
      <c r="J58" s="10"/>
      <c r="K58" s="5"/>
    </row>
    <row r="59" spans="1:11" s="2" customFormat="1" x14ac:dyDescent="0.2">
      <c r="A59" s="10" t="s">
        <v>52</v>
      </c>
      <c r="B59" s="5" t="s">
        <v>76</v>
      </c>
      <c r="C59" s="13">
        <v>262</v>
      </c>
      <c r="D59" s="1">
        <f>D$87</f>
        <v>0</v>
      </c>
      <c r="E59" s="1" t="s">
        <v>74</v>
      </c>
      <c r="F59" s="34">
        <v>37773</v>
      </c>
      <c r="G59" s="1">
        <f>C59*(Sheet1!$E$32-D59)</f>
        <v>6615.5</v>
      </c>
      <c r="H59" s="11">
        <f t="shared" si="0"/>
        <v>3965.9922500000002</v>
      </c>
      <c r="I59" s="10"/>
      <c r="J59" s="10"/>
      <c r="K59" s="5"/>
    </row>
    <row r="60" spans="1:11" s="2" customFormat="1" x14ac:dyDescent="0.2">
      <c r="A60" s="23" t="s">
        <v>52</v>
      </c>
      <c r="B60" s="5" t="s">
        <v>76</v>
      </c>
      <c r="C60" s="13">
        <v>262</v>
      </c>
      <c r="D60" s="1">
        <f>D$87</f>
        <v>0</v>
      </c>
      <c r="E60" s="1" t="s">
        <v>74</v>
      </c>
      <c r="F60" s="34">
        <v>38139</v>
      </c>
      <c r="G60" s="1">
        <f>C60*(Sheet1!$E$32-D60)</f>
        <v>6615.5</v>
      </c>
      <c r="H60" s="11">
        <f t="shared" si="0"/>
        <v>3965.9922500000002</v>
      </c>
      <c r="I60" s="10"/>
      <c r="J60" s="10"/>
      <c r="K60" s="5"/>
    </row>
    <row r="61" spans="1:11" s="2" customFormat="1" x14ac:dyDescent="0.2">
      <c r="A61" s="10"/>
      <c r="B61" s="5"/>
      <c r="C61" s="13"/>
      <c r="D61" s="1"/>
      <c r="E61" s="1"/>
      <c r="F61" s="34"/>
      <c r="G61" s="1"/>
      <c r="H61" s="11"/>
      <c r="I61" s="10"/>
      <c r="J61" s="10"/>
      <c r="K61" s="5"/>
    </row>
    <row r="62" spans="1:11" s="2" customFormat="1" x14ac:dyDescent="0.2">
      <c r="A62" s="10">
        <v>171153</v>
      </c>
      <c r="B62" s="5" t="s">
        <v>68</v>
      </c>
      <c r="C62" s="13">
        <v>417</v>
      </c>
      <c r="D62" s="33">
        <v>48.3</v>
      </c>
      <c r="E62" s="31" t="s">
        <v>74</v>
      </c>
      <c r="F62" s="34">
        <v>37258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37439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">
      <c r="A64" s="10"/>
      <c r="B64" s="5" t="s">
        <v>68</v>
      </c>
      <c r="C64" s="13">
        <v>417</v>
      </c>
      <c r="D64" s="33">
        <v>48.3</v>
      </c>
      <c r="E64" s="31" t="s">
        <v>74</v>
      </c>
      <c r="F64" s="34">
        <v>37623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37804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">
      <c r="A66" s="10" t="s">
        <v>52</v>
      </c>
      <c r="B66" s="5" t="s">
        <v>68</v>
      </c>
      <c r="C66" s="13">
        <v>417</v>
      </c>
      <c r="D66" s="33">
        <v>48.3</v>
      </c>
      <c r="E66" s="31" t="s">
        <v>74</v>
      </c>
      <c r="F66" s="34">
        <v>37988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">
      <c r="A67" s="10" t="s">
        <v>52</v>
      </c>
      <c r="B67" s="5" t="s">
        <v>68</v>
      </c>
      <c r="C67" s="13">
        <v>276</v>
      </c>
      <c r="D67" s="33">
        <v>48.3</v>
      </c>
      <c r="E67" s="31" t="s">
        <v>74</v>
      </c>
      <c r="F67" s="34">
        <v>38170</v>
      </c>
      <c r="G67" s="1">
        <v>0</v>
      </c>
      <c r="H67" s="11">
        <f t="shared" si="0"/>
        <v>0</v>
      </c>
      <c r="I67" s="10"/>
      <c r="J67" s="10"/>
      <c r="K67" s="5"/>
    </row>
    <row r="68" spans="1:11" s="2" customFormat="1" x14ac:dyDescent="0.2">
      <c r="A68" s="10"/>
      <c r="B68" s="5"/>
      <c r="C68" s="13"/>
      <c r="D68" s="1"/>
      <c r="E68" s="1"/>
      <c r="F68" s="34"/>
      <c r="G68" s="1"/>
      <c r="H68" s="11"/>
      <c r="I68" s="10"/>
      <c r="J68" s="10"/>
      <c r="K68" s="5"/>
    </row>
    <row r="69" spans="1:11" s="2" customFormat="1" x14ac:dyDescent="0.2">
      <c r="A69" s="10">
        <v>171230</v>
      </c>
      <c r="B69" s="5" t="s">
        <v>76</v>
      </c>
      <c r="C69" s="13">
        <v>288</v>
      </c>
      <c r="D69" s="1">
        <v>0</v>
      </c>
      <c r="E69" s="1" t="s">
        <v>74</v>
      </c>
      <c r="F69" s="34">
        <v>37439</v>
      </c>
      <c r="G69" s="1">
        <f>C69*(Sheet1!$E$32-D69)</f>
        <v>7272</v>
      </c>
      <c r="H69" s="11">
        <f t="shared" si="0"/>
        <v>4359.5640000000003</v>
      </c>
      <c r="I69" s="10"/>
      <c r="J69" s="10"/>
      <c r="K69" s="5"/>
    </row>
    <row r="70" spans="1:11" s="2" customFormat="1" x14ac:dyDescent="0.2">
      <c r="A70" s="10" t="s">
        <v>52</v>
      </c>
      <c r="B70" s="5" t="s">
        <v>76</v>
      </c>
      <c r="C70" s="13">
        <v>288</v>
      </c>
      <c r="D70" s="1">
        <f>D$87</f>
        <v>0</v>
      </c>
      <c r="E70" s="1" t="s">
        <v>74</v>
      </c>
      <c r="F70" s="34">
        <v>37804</v>
      </c>
      <c r="G70" s="1">
        <f>C70*(Sheet1!$E$32-D70)</f>
        <v>7272</v>
      </c>
      <c r="H70" s="11">
        <f t="shared" si="0"/>
        <v>4359.5640000000003</v>
      </c>
      <c r="I70" s="10"/>
      <c r="J70" s="10"/>
      <c r="K70" s="5"/>
    </row>
    <row r="71" spans="1:11" s="2" customFormat="1" x14ac:dyDescent="0.2">
      <c r="A71" s="10" t="s">
        <v>52</v>
      </c>
      <c r="B71" s="5" t="s">
        <v>76</v>
      </c>
      <c r="C71" s="13">
        <v>287</v>
      </c>
      <c r="D71" s="1">
        <f>D$87</f>
        <v>0</v>
      </c>
      <c r="E71" s="1" t="s">
        <v>74</v>
      </c>
      <c r="F71" s="34">
        <v>38170</v>
      </c>
      <c r="G71" s="1">
        <f>C71*(Sheet1!$E$32-D71)</f>
        <v>7246.75</v>
      </c>
      <c r="H71" s="11">
        <f t="shared" si="0"/>
        <v>4344.4266250000001</v>
      </c>
      <c r="I71" s="10"/>
      <c r="J71" s="10"/>
      <c r="K71" s="5"/>
    </row>
    <row r="72" spans="1:11" s="2" customFormat="1" x14ac:dyDescent="0.2">
      <c r="A72" s="10"/>
      <c r="B72" s="5"/>
      <c r="C72" s="13"/>
      <c r="D72" s="1"/>
      <c r="E72" s="1"/>
      <c r="F72" s="34"/>
      <c r="G72" s="1"/>
      <c r="H72" s="7"/>
      <c r="I72" s="10"/>
      <c r="J72" s="10"/>
      <c r="K72" s="5"/>
    </row>
    <row r="73" spans="1:11" x14ac:dyDescent="0.2">
      <c r="B73" s="5"/>
      <c r="C73" s="13"/>
      <c r="F73" s="34"/>
      <c r="G73" s="1"/>
      <c r="H73" s="7"/>
      <c r="I73" s="10"/>
      <c r="J73" s="10"/>
    </row>
    <row r="74" spans="1:11" s="2" customFormat="1" ht="13.5" thickBot="1" x14ac:dyDescent="0.25">
      <c r="A74" s="51"/>
      <c r="B74" s="18"/>
      <c r="C74" s="24"/>
      <c r="D74" s="82"/>
      <c r="E74" s="82"/>
      <c r="F74" s="83"/>
      <c r="G74" s="44"/>
      <c r="H74" s="44"/>
      <c r="I74" s="10"/>
      <c r="J74" s="10"/>
      <c r="K74" s="5"/>
    </row>
    <row r="75" spans="1:11" x14ac:dyDescent="0.2">
      <c r="A75" s="39"/>
      <c r="B75" s="85"/>
      <c r="C75" s="36" t="s">
        <v>52</v>
      </c>
      <c r="D75" s="86"/>
      <c r="E75" s="84"/>
      <c r="F75" s="85"/>
      <c r="I75" s="10"/>
      <c r="J75" s="9" t="s">
        <v>52</v>
      </c>
    </row>
    <row r="76" spans="1:11" x14ac:dyDescent="0.2">
      <c r="C76" s="31" t="s">
        <v>52</v>
      </c>
      <c r="E76" s="1"/>
      <c r="G76" s="15">
        <f>SUM(G14:G74)</f>
        <v>254934</v>
      </c>
      <c r="H76" s="15">
        <f>SUM(H14:H74)</f>
        <v>152832.93300000005</v>
      </c>
      <c r="I76" s="10"/>
      <c r="J76" s="9" t="s">
        <v>52</v>
      </c>
    </row>
    <row r="77" spans="1:11" ht="13.5" thickBot="1" x14ac:dyDescent="0.25">
      <c r="C77" s="31" t="s">
        <v>93</v>
      </c>
      <c r="G77" s="44"/>
      <c r="H77" s="44"/>
    </row>
    <row r="78" spans="1:11" x14ac:dyDescent="0.2">
      <c r="C78" s="31" t="s">
        <v>52</v>
      </c>
      <c r="G78" s="15"/>
      <c r="H78" s="15"/>
    </row>
    <row r="79" spans="1:11" x14ac:dyDescent="0.2">
      <c r="A79" s="10" t="s">
        <v>52</v>
      </c>
      <c r="B79" s="31" t="s">
        <v>52</v>
      </c>
      <c r="C79" s="31" t="s">
        <v>52</v>
      </c>
      <c r="G79" s="15"/>
      <c r="H79" s="15"/>
    </row>
    <row r="80" spans="1:11" x14ac:dyDescent="0.2">
      <c r="C80" s="31" t="s">
        <v>52</v>
      </c>
      <c r="G80" s="15"/>
      <c r="H80" s="15"/>
    </row>
    <row r="81" spans="2:8" x14ac:dyDescent="0.2">
      <c r="C81" s="31" t="s">
        <v>52</v>
      </c>
      <c r="G81" s="15"/>
      <c r="H81" s="15"/>
    </row>
    <row r="82" spans="2:8" x14ac:dyDescent="0.2">
      <c r="C82" s="31" t="s">
        <v>52</v>
      </c>
      <c r="G82" s="15"/>
      <c r="H82" s="15"/>
    </row>
    <row r="83" spans="2:8" x14ac:dyDescent="0.2">
      <c r="C83" s="31" t="s">
        <v>52</v>
      </c>
      <c r="G83" s="15"/>
      <c r="H83" s="15"/>
    </row>
    <row r="84" spans="2:8" x14ac:dyDescent="0.2">
      <c r="B84" s="75" t="s">
        <v>96</v>
      </c>
      <c r="C84" s="31" t="s">
        <v>52</v>
      </c>
      <c r="G84" s="15"/>
      <c r="H84" s="15"/>
    </row>
    <row r="85" spans="2:8" x14ac:dyDescent="0.2">
      <c r="B85" s="76">
        <v>1703520.19</v>
      </c>
      <c r="C85" s="31" t="s">
        <v>97</v>
      </c>
      <c r="G85" s="15"/>
      <c r="H85" s="15"/>
    </row>
    <row r="86" spans="2:8" x14ac:dyDescent="0.2">
      <c r="B86" s="76">
        <f>8102.62*11</f>
        <v>89128.819999999992</v>
      </c>
      <c r="C86" s="31" t="s">
        <v>98</v>
      </c>
      <c r="G86" s="15"/>
      <c r="H86" s="15"/>
    </row>
    <row r="87" spans="2:8" x14ac:dyDescent="0.2">
      <c r="B87" s="76">
        <v>333000</v>
      </c>
      <c r="C87" s="31" t="s">
        <v>106</v>
      </c>
      <c r="G87" s="15"/>
      <c r="H87" s="15"/>
    </row>
    <row r="88" spans="2:8" x14ac:dyDescent="0.2">
      <c r="B88" s="76"/>
      <c r="C88" s="31" t="s">
        <v>52</v>
      </c>
      <c r="G88" s="15"/>
      <c r="H88" s="15"/>
    </row>
    <row r="89" spans="2:8" x14ac:dyDescent="0.2">
      <c r="B89" s="76"/>
      <c r="C89" s="31" t="s">
        <v>52</v>
      </c>
      <c r="G89" s="15"/>
      <c r="H89" s="15"/>
    </row>
    <row r="90" spans="2:8" x14ac:dyDescent="0.2">
      <c r="B90" s="76"/>
      <c r="C90" s="31" t="s">
        <v>52</v>
      </c>
      <c r="G90" s="15"/>
      <c r="H90" s="15"/>
    </row>
    <row r="91" spans="2:8" ht="13.5" thickBot="1" x14ac:dyDescent="0.25">
      <c r="B91" s="77"/>
      <c r="C91" s="31" t="s">
        <v>52</v>
      </c>
      <c r="G91" s="15"/>
      <c r="H91" s="15"/>
    </row>
    <row r="92" spans="2:8" x14ac:dyDescent="0.2">
      <c r="B92" s="76"/>
      <c r="C92" s="31" t="s">
        <v>52</v>
      </c>
      <c r="G92" s="15"/>
      <c r="H92" s="15"/>
    </row>
    <row r="93" spans="2:8" x14ac:dyDescent="0.2">
      <c r="B93" s="76">
        <f>SUM(B85:B91)</f>
        <v>2125649.0099999998</v>
      </c>
      <c r="C93" s="32" t="s">
        <v>99</v>
      </c>
      <c r="G93" s="15"/>
      <c r="H93" s="15"/>
    </row>
    <row r="94" spans="2:8" ht="13.5" thickBot="1" x14ac:dyDescent="0.25">
      <c r="B94" s="77">
        <v>0.39600000000000002</v>
      </c>
      <c r="C94" s="74" t="s">
        <v>100</v>
      </c>
      <c r="G94" s="15"/>
      <c r="H94" s="15"/>
    </row>
    <row r="95" spans="2:8" x14ac:dyDescent="0.2">
      <c r="B95" s="76"/>
      <c r="C95" s="32" t="s">
        <v>102</v>
      </c>
      <c r="G95" s="15"/>
      <c r="H95" s="15"/>
    </row>
    <row r="96" spans="2:8" x14ac:dyDescent="0.2">
      <c r="B96" s="76">
        <f>B93*B94</f>
        <v>841757.00795999996</v>
      </c>
      <c r="C96" s="32" t="s">
        <v>101</v>
      </c>
      <c r="G96" s="15"/>
      <c r="H96" s="15"/>
    </row>
    <row r="97" spans="2:8" x14ac:dyDescent="0.2">
      <c r="B97" s="76"/>
      <c r="G97" s="15"/>
      <c r="H97" s="15"/>
    </row>
    <row r="98" spans="2:8" x14ac:dyDescent="0.2">
      <c r="B98" s="76">
        <v>-475166.71</v>
      </c>
      <c r="C98" s="32" t="s">
        <v>103</v>
      </c>
      <c r="G98" s="15"/>
      <c r="H98" s="15"/>
    </row>
    <row r="99" spans="2:8" x14ac:dyDescent="0.2">
      <c r="B99" s="76"/>
      <c r="G99" s="15"/>
      <c r="H99" s="15"/>
    </row>
    <row r="100" spans="2:8" x14ac:dyDescent="0.2">
      <c r="B100" s="76">
        <f>-21*1677</f>
        <v>-35217</v>
      </c>
      <c r="C100" s="32" t="s">
        <v>104</v>
      </c>
      <c r="G100" s="15"/>
      <c r="H100" s="15"/>
    </row>
    <row r="101" spans="2:8" x14ac:dyDescent="0.2">
      <c r="B101" s="76"/>
      <c r="C101" s="32" t="s">
        <v>105</v>
      </c>
      <c r="G101" s="15"/>
      <c r="H101" s="15"/>
    </row>
    <row r="102" spans="2:8" x14ac:dyDescent="0.2">
      <c r="B102" s="76"/>
      <c r="G102" s="15"/>
      <c r="H102" s="15"/>
    </row>
    <row r="103" spans="2:8" x14ac:dyDescent="0.2">
      <c r="B103" s="76">
        <f>-333000*0.28</f>
        <v>-93240.000000000015</v>
      </c>
      <c r="C103" s="32" t="s">
        <v>107</v>
      </c>
      <c r="G103" s="15"/>
      <c r="H103" s="15"/>
    </row>
    <row r="104" spans="2:8" ht="13.5" thickBot="1" x14ac:dyDescent="0.25">
      <c r="B104" s="77"/>
      <c r="C104" s="32" t="s">
        <v>108</v>
      </c>
      <c r="G104" s="15"/>
      <c r="H104" s="15"/>
    </row>
    <row r="105" spans="2:8" x14ac:dyDescent="0.2">
      <c r="B105" s="76"/>
      <c r="G105" s="15"/>
      <c r="H105" s="15"/>
    </row>
    <row r="106" spans="2:8" x14ac:dyDescent="0.2">
      <c r="B106" s="76">
        <f>SUM(B96:B103)</f>
        <v>238133.29795999994</v>
      </c>
      <c r="C106" s="32" t="s">
        <v>109</v>
      </c>
      <c r="G106" s="15"/>
      <c r="H106" s="15"/>
    </row>
    <row r="107" spans="2:8" ht="13.5" thickBot="1" x14ac:dyDescent="0.25">
      <c r="B107" s="77"/>
      <c r="C107" s="32" t="s">
        <v>110</v>
      </c>
      <c r="G107" s="15"/>
      <c r="H107" s="15"/>
    </row>
    <row r="108" spans="2:8" x14ac:dyDescent="0.2">
      <c r="B108" s="76"/>
      <c r="C108" s="32" t="s">
        <v>111</v>
      </c>
    </row>
    <row r="109" spans="2:8" x14ac:dyDescent="0.2">
      <c r="B109" s="76"/>
    </row>
    <row r="110" spans="2:8" x14ac:dyDescent="0.2">
      <c r="B110" s="76">
        <f>+B$106/4</f>
        <v>59533.324489999985</v>
      </c>
      <c r="C110" s="32" t="s">
        <v>113</v>
      </c>
    </row>
    <row r="111" spans="2:8" x14ac:dyDescent="0.2">
      <c r="B111" s="76">
        <f>+B$106/4</f>
        <v>59533.324489999985</v>
      </c>
      <c r="C111" s="32" t="s">
        <v>114</v>
      </c>
    </row>
    <row r="112" spans="2:8" x14ac:dyDescent="0.2">
      <c r="B112" s="76">
        <f>+B$106/4</f>
        <v>59533.324489999985</v>
      </c>
      <c r="C112" s="32" t="s">
        <v>115</v>
      </c>
    </row>
    <row r="113" spans="2:9" x14ac:dyDescent="0.2">
      <c r="B113" s="76">
        <f>+B$106/4</f>
        <v>59533.324489999985</v>
      </c>
      <c r="C113" s="32" t="s">
        <v>112</v>
      </c>
    </row>
    <row r="114" spans="2:9" x14ac:dyDescent="0.2">
      <c r="B114" s="76" t="s">
        <v>52</v>
      </c>
    </row>
    <row r="115" spans="2:9" x14ac:dyDescent="0.2">
      <c r="B115" s="76"/>
    </row>
    <row r="119" spans="2:9" x14ac:dyDescent="0.2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">
      <c r="B121" s="2" t="s">
        <v>52</v>
      </c>
      <c r="C121" s="13" t="s">
        <v>52</v>
      </c>
      <c r="D121" s="13" t="s">
        <v>52</v>
      </c>
      <c r="E121" s="1" t="s">
        <v>52</v>
      </c>
      <c r="I121" s="1"/>
    </row>
    <row r="122" spans="2:9" x14ac:dyDescent="0.2">
      <c r="B122" s="2"/>
      <c r="C122" s="13" t="s">
        <v>52</v>
      </c>
      <c r="D122" s="13" t="s">
        <v>52</v>
      </c>
      <c r="E122" s="1" t="s">
        <v>52</v>
      </c>
      <c r="I122" s="1"/>
    </row>
    <row r="123" spans="2:9" x14ac:dyDescent="0.2">
      <c r="B123" s="5" t="s">
        <v>52</v>
      </c>
      <c r="C123" s="13" t="s">
        <v>52</v>
      </c>
      <c r="D123" s="13" t="s">
        <v>52</v>
      </c>
      <c r="E123" s="1" t="s">
        <v>52</v>
      </c>
      <c r="I123" s="2"/>
    </row>
    <row r="124" spans="2:9" x14ac:dyDescent="0.2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  <row r="131" spans="2:9" x14ac:dyDescent="0.2">
      <c r="B131" s="2" t="s">
        <v>52</v>
      </c>
      <c r="C131" s="13" t="s">
        <v>52</v>
      </c>
      <c r="D131" s="13" t="s">
        <v>52</v>
      </c>
      <c r="E131" s="1" t="s">
        <v>52</v>
      </c>
      <c r="F131" s="1" t="s">
        <v>52</v>
      </c>
      <c r="I131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Jan Havlíček</cp:lastModifiedBy>
  <cp:lastPrinted>2001-09-27T00:19:18Z</cp:lastPrinted>
  <dcterms:created xsi:type="dcterms:W3CDTF">1998-07-16T04:01:00Z</dcterms:created>
  <dcterms:modified xsi:type="dcterms:W3CDTF">2023-09-20T00:34:12Z</dcterms:modified>
</cp:coreProperties>
</file>