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D3BDBA-654E-4A53-99B3-10137C3FAC38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D44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<sst xmlns="http://schemas.openxmlformats.org/spreadsheetml/2006/main" count="925" uniqueCount="173">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</sst>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4" fillId="0" borderId="0" xfId="0" applyNumberFormat="1" applyFont="1"/>
    <xf numFmtId="37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7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H100" activePane="bottomRight" state="frozen"/>
      <selection pane="topRight" activeCell="C1" sqref="C1"/>
      <selection pane="bottomLeft" activeCell="A4" sqref="A4"/>
      <selection pane="bottomRight" activeCell="N18" sqref="N18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37189</v>
      </c>
      <c r="F3" s="12">
        <v>37188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f>2576106+33150-5047</f>
        <v>2604209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2604209</v>
      </c>
      <c r="K5" s="7">
        <f>J5</f>
        <v>2604209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14.09</v>
      </c>
      <c r="F6" s="1">
        <v>14.29</v>
      </c>
      <c r="G6" s="7">
        <f>C6*(E6-F6)</f>
        <v>-199.99999999999929</v>
      </c>
      <c r="H6" s="7">
        <f>C6*(E6-F6)</f>
        <v>-199.99999999999929</v>
      </c>
      <c r="J6" s="7">
        <f>C6*E6</f>
        <v>14090</v>
      </c>
      <c r="K6" s="7">
        <f>J6</f>
        <v>14090</v>
      </c>
      <c r="L6" s="3">
        <v>2</v>
      </c>
    </row>
    <row r="7" spans="1:15" x14ac:dyDescent="0.2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-35000</v>
      </c>
      <c r="D9" s="13" t="s">
        <v>52</v>
      </c>
      <c r="E9" s="1">
        <v>80.349999999999994</v>
      </c>
      <c r="F9" s="1">
        <v>79.55</v>
      </c>
      <c r="G9" s="7">
        <f>C9*(E9-F9)</f>
        <v>-27999.999999999902</v>
      </c>
      <c r="H9" s="7">
        <f>C9*(E9-F9)</f>
        <v>-27999.999999999902</v>
      </c>
      <c r="J9" s="7">
        <f>G9</f>
        <v>-27999.999999999902</v>
      </c>
      <c r="K9" s="7">
        <f t="shared" ref="K9:K15" si="0">J9</f>
        <v>-27999.999999999902</v>
      </c>
      <c r="L9" s="3">
        <v>1</v>
      </c>
    </row>
    <row r="10" spans="1:15" x14ac:dyDescent="0.2">
      <c r="A10" s="30"/>
      <c r="B10" s="62" t="s">
        <v>168</v>
      </c>
      <c r="C10" s="13">
        <v>-2000</v>
      </c>
      <c r="D10" s="13" t="s">
        <v>52</v>
      </c>
      <c r="E10" s="1">
        <v>94.98</v>
      </c>
      <c r="F10" s="1">
        <v>93.45</v>
      </c>
      <c r="G10" s="7">
        <f>C10*(E10-F10)</f>
        <v>-3060.0000000000023</v>
      </c>
      <c r="H10" s="7">
        <f>C10*(E10-F10)</f>
        <v>-3060.0000000000023</v>
      </c>
      <c r="J10" s="7">
        <f>G10</f>
        <v>-3060.0000000000023</v>
      </c>
      <c r="K10" s="7">
        <f t="shared" si="0"/>
        <v>-3060.0000000000023</v>
      </c>
      <c r="L10" s="3">
        <v>1</v>
      </c>
    </row>
    <row r="11" spans="1:15" x14ac:dyDescent="0.2">
      <c r="A11" s="30"/>
      <c r="B11" s="62" t="s">
        <v>169</v>
      </c>
      <c r="C11" s="13">
        <v>-4000</v>
      </c>
      <c r="D11" s="13" t="s">
        <v>52</v>
      </c>
      <c r="E11" s="1">
        <v>110.57</v>
      </c>
      <c r="F11" s="1">
        <v>108.62</v>
      </c>
      <c r="G11" s="7">
        <f>C11*(E11-F11)</f>
        <v>-7799.9999999999545</v>
      </c>
      <c r="H11" s="7">
        <f>C11*(E11-F11)</f>
        <v>-7799.9999999999545</v>
      </c>
      <c r="J11" s="7">
        <f>G11</f>
        <v>-7799.9999999999545</v>
      </c>
      <c r="K11" s="7">
        <f t="shared" si="0"/>
        <v>-7799.9999999999545</v>
      </c>
      <c r="L11" s="3">
        <v>1</v>
      </c>
    </row>
    <row r="12" spans="1:15" x14ac:dyDescent="0.2">
      <c r="A12" s="30"/>
      <c r="B12" s="62" t="s">
        <v>170</v>
      </c>
      <c r="C12" s="13">
        <v>-5000</v>
      </c>
      <c r="D12" s="13" t="s">
        <v>52</v>
      </c>
      <c r="E12" s="1">
        <v>36.799999999999997</v>
      </c>
      <c r="F12" s="1">
        <v>35.380000000000003</v>
      </c>
      <c r="G12" s="7">
        <f>C12*(E12-F12)</f>
        <v>-7099.9999999999727</v>
      </c>
      <c r="H12" s="7">
        <f>C12*(E12-F12)</f>
        <v>-7099.9999999999727</v>
      </c>
      <c r="J12" s="7">
        <f>G12</f>
        <v>-7099.9999999999727</v>
      </c>
      <c r="K12" s="7">
        <f t="shared" si="0"/>
        <v>-7099.9999999999727</v>
      </c>
      <c r="L12" s="3">
        <v>1</v>
      </c>
    </row>
    <row r="13" spans="1:15" x14ac:dyDescent="0.2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">
      <c r="A15" s="30" t="s">
        <v>52</v>
      </c>
      <c r="B15" s="2" t="s">
        <v>164</v>
      </c>
      <c r="C15" s="13">
        <v>-19000</v>
      </c>
      <c r="E15" s="1">
        <v>0.2</v>
      </c>
      <c r="F15" s="1">
        <v>0.2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3800</v>
      </c>
    </row>
    <row r="16" spans="1:15" x14ac:dyDescent="0.2">
      <c r="A16" s="30"/>
      <c r="E16" s="1"/>
      <c r="F16" s="1"/>
    </row>
    <row r="17" spans="1:15" x14ac:dyDescent="0.2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2572339</v>
      </c>
      <c r="N17" s="80">
        <v>2572339</v>
      </c>
      <c r="O17" s="67">
        <f>M17-N17</f>
        <v>0</v>
      </c>
    </row>
    <row r="18" spans="1:15" x14ac:dyDescent="0.2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">
      <c r="A23" s="8" t="s">
        <v>2</v>
      </c>
      <c r="B23" s="62" t="s">
        <v>24</v>
      </c>
      <c r="C23" s="13">
        <v>900</v>
      </c>
      <c r="E23" s="1">
        <v>13.95</v>
      </c>
      <c r="F23" s="1">
        <v>14.66</v>
      </c>
      <c r="G23" s="7">
        <f t="shared" ref="G23:G28" si="1">C23*(E23-F23)</f>
        <v>-639.0000000000008</v>
      </c>
      <c r="H23" s="7">
        <f t="shared" ref="H23:H28" si="2">C23*(E23-F23)</f>
        <v>-639.0000000000008</v>
      </c>
      <c r="I23" s="1"/>
      <c r="J23" s="7">
        <f t="shared" ref="J23:J28" si="3">C23*E23</f>
        <v>12555</v>
      </c>
      <c r="K23" s="7">
        <f t="shared" ref="K23:K34" si="4">J23</f>
        <v>12555</v>
      </c>
      <c r="L23" s="3">
        <v>2</v>
      </c>
      <c r="M23" s="80" t="s">
        <v>52</v>
      </c>
    </row>
    <row r="24" spans="1:15" x14ac:dyDescent="0.2">
      <c r="A24" s="8" t="s">
        <v>3</v>
      </c>
      <c r="B24" s="62" t="s">
        <v>25</v>
      </c>
      <c r="C24" s="13">
        <v>100</v>
      </c>
      <c r="E24" s="1">
        <v>17.899999999999999</v>
      </c>
      <c r="F24" s="1">
        <v>17.600000000000001</v>
      </c>
      <c r="G24" s="7">
        <f t="shared" si="1"/>
        <v>29.999999999999716</v>
      </c>
      <c r="H24" s="7">
        <f t="shared" si="2"/>
        <v>29.999999999999716</v>
      </c>
      <c r="I24" s="1"/>
      <c r="J24" s="7">
        <f t="shared" si="3"/>
        <v>1789.9999999999998</v>
      </c>
      <c r="K24" s="7">
        <f t="shared" si="4"/>
        <v>1789.9999999999998</v>
      </c>
      <c r="L24" s="3">
        <v>2</v>
      </c>
      <c r="M24" s="80" t="s">
        <v>52</v>
      </c>
    </row>
    <row r="25" spans="1:15" x14ac:dyDescent="0.2">
      <c r="A25" s="8"/>
      <c r="B25" s="62" t="s">
        <v>89</v>
      </c>
      <c r="C25" s="13">
        <v>83</v>
      </c>
      <c r="D25" s="13" t="s">
        <v>52</v>
      </c>
      <c r="E25" s="1">
        <v>49.9</v>
      </c>
      <c r="F25" s="1">
        <v>49.17</v>
      </c>
      <c r="G25" s="7">
        <f t="shared" si="1"/>
        <v>60.589999999999741</v>
      </c>
      <c r="H25" s="7">
        <f t="shared" si="2"/>
        <v>60.589999999999741</v>
      </c>
      <c r="I25" s="1"/>
      <c r="J25" s="7">
        <f t="shared" si="3"/>
        <v>4141.7</v>
      </c>
      <c r="K25" s="7">
        <f t="shared" si="4"/>
        <v>4141.7</v>
      </c>
      <c r="L25" s="3">
        <v>2</v>
      </c>
      <c r="M25" s="80" t="s">
        <v>52</v>
      </c>
    </row>
    <row r="26" spans="1:15" x14ac:dyDescent="0.2">
      <c r="A26" s="8"/>
      <c r="B26" s="62" t="s">
        <v>54</v>
      </c>
      <c r="C26" s="13">
        <v>169</v>
      </c>
      <c r="E26" s="1">
        <v>9.67</v>
      </c>
      <c r="F26" s="1">
        <v>9.4700000000000006</v>
      </c>
      <c r="G26" s="7">
        <f t="shared" si="1"/>
        <v>33.799999999999883</v>
      </c>
      <c r="H26" s="7">
        <f t="shared" si="2"/>
        <v>33.799999999999883</v>
      </c>
      <c r="I26" s="1"/>
      <c r="J26" s="7">
        <f t="shared" si="3"/>
        <v>1634.23</v>
      </c>
      <c r="K26" s="7">
        <f t="shared" si="4"/>
        <v>1634.23</v>
      </c>
      <c r="L26" s="3">
        <v>2</v>
      </c>
      <c r="M26" s="80" t="s">
        <v>52</v>
      </c>
    </row>
    <row r="27" spans="1:15" x14ac:dyDescent="0.2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">
      <c r="A31" s="25" t="s">
        <v>52</v>
      </c>
      <c r="B31" s="62" t="s">
        <v>132</v>
      </c>
      <c r="C31" s="13">
        <v>266.55579999999998</v>
      </c>
      <c r="D31" s="13">
        <f>C31*1</f>
        <v>266.55579999999998</v>
      </c>
      <c r="E31" s="16">
        <v>16.350000000000001</v>
      </c>
      <c r="F31" s="16">
        <v>16.41</v>
      </c>
      <c r="G31" s="7">
        <f>C31*(E31-F31)</f>
        <v>-15.993347999999658</v>
      </c>
      <c r="H31" s="7">
        <f>C31*(E31-F31)</f>
        <v>-15.993347999999658</v>
      </c>
      <c r="I31" s="3"/>
      <c r="J31" s="7">
        <f>C31*E31</f>
        <v>4358.1873299999997</v>
      </c>
      <c r="K31" s="7">
        <f t="shared" si="4"/>
        <v>4358.1873299999997</v>
      </c>
      <c r="L31" s="3">
        <v>2</v>
      </c>
      <c r="M31" s="80" t="s">
        <v>52</v>
      </c>
    </row>
    <row r="32" spans="1:15" x14ac:dyDescent="0.2">
      <c r="A32" s="8" t="s">
        <v>52</v>
      </c>
      <c r="B32" s="2" t="s">
        <v>118</v>
      </c>
      <c r="C32" s="13">
        <v>133821.74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133821.74</v>
      </c>
      <c r="K32" s="7">
        <f>J32</f>
        <v>133821.74</v>
      </c>
      <c r="L32" s="3">
        <v>1</v>
      </c>
      <c r="M32" s="80" t="s">
        <v>52</v>
      </c>
    </row>
    <row r="33" spans="1:27" x14ac:dyDescent="0.2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16.350000000000001</v>
      </c>
      <c r="F37" s="1">
        <f>F$31</f>
        <v>16.41</v>
      </c>
      <c r="G37" s="7">
        <f>C37*(E37-F37)</f>
        <v>-5.8075799999998763</v>
      </c>
      <c r="H37" s="7">
        <f>C37*(E37-F37)</f>
        <v>-5.8075799999998763</v>
      </c>
      <c r="I37" s="1"/>
      <c r="J37" s="7">
        <f>C37*E37</f>
        <v>1582.5655500000003</v>
      </c>
      <c r="K37" s="7">
        <f>J37</f>
        <v>1582.5655500000003</v>
      </c>
      <c r="L37" s="3">
        <v>2</v>
      </c>
      <c r="M37" s="80" t="s">
        <v>52</v>
      </c>
    </row>
    <row r="38" spans="1:27" x14ac:dyDescent="0.2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s="73" customFormat="1" x14ac:dyDescent="0.2">
      <c r="A40" s="96" t="s">
        <v>52</v>
      </c>
      <c r="B40" s="73" t="s">
        <v>118</v>
      </c>
      <c r="C40" s="97">
        <v>610385</v>
      </c>
      <c r="D40" s="97" t="s">
        <v>52</v>
      </c>
      <c r="E40" s="98">
        <v>1</v>
      </c>
      <c r="F40" s="98">
        <v>1</v>
      </c>
      <c r="G40" s="99">
        <f>C40*(E40-F40)</f>
        <v>0</v>
      </c>
      <c r="H40" s="99">
        <f>C40*(E40-F40)*0.5895</f>
        <v>0</v>
      </c>
      <c r="I40" s="100" t="s">
        <v>52</v>
      </c>
      <c r="J40" s="99">
        <f>C40*E40*0.9</f>
        <v>549346.5</v>
      </c>
      <c r="K40" s="99">
        <f>J40*0.614</f>
        <v>337298.75099999999</v>
      </c>
      <c r="L40" s="101">
        <v>1</v>
      </c>
      <c r="M40" s="102" t="s">
        <v>52</v>
      </c>
      <c r="N40" s="102"/>
      <c r="O40" s="103"/>
    </row>
    <row r="41" spans="1:27" x14ac:dyDescent="0.2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s="73" customFormat="1" x14ac:dyDescent="0.2">
      <c r="A43" s="96" t="s">
        <v>52</v>
      </c>
      <c r="B43" s="73" t="s">
        <v>118</v>
      </c>
      <c r="C43" s="97">
        <v>263131</v>
      </c>
      <c r="D43" s="97" t="s">
        <v>52</v>
      </c>
      <c r="E43" s="98">
        <v>1</v>
      </c>
      <c r="F43" s="98">
        <v>1</v>
      </c>
      <c r="G43" s="99">
        <f>C43*(E43-F43)</f>
        <v>0</v>
      </c>
      <c r="H43" s="99">
        <f>C43*(E43-F43)*0.5895</f>
        <v>0</v>
      </c>
      <c r="I43" s="100" t="s">
        <v>52</v>
      </c>
      <c r="J43" s="99">
        <f>C43*E43*0.9</f>
        <v>236817.9</v>
      </c>
      <c r="K43" s="99">
        <f>J43*0.614</f>
        <v>145406.1906</v>
      </c>
      <c r="L43" s="101">
        <v>1</v>
      </c>
      <c r="M43" s="102" t="s">
        <v>52</v>
      </c>
      <c r="N43" s="102"/>
      <c r="O43" s="103"/>
    </row>
    <row r="44" spans="1:27" s="73" customFormat="1" x14ac:dyDescent="0.2">
      <c r="A44" s="96" t="s">
        <v>52</v>
      </c>
      <c r="B44" s="73" t="s">
        <v>132</v>
      </c>
      <c r="C44" s="97">
        <v>8278</v>
      </c>
      <c r="D44" s="97">
        <f>C44*1</f>
        <v>8278</v>
      </c>
      <c r="E44" s="98">
        <v>27.23</v>
      </c>
      <c r="F44" s="98">
        <v>27.23</v>
      </c>
      <c r="G44" s="99">
        <f>C44*(E44-F44)</f>
        <v>0</v>
      </c>
      <c r="H44" s="99">
        <f>C44*(E44-F44)*0.5895</f>
        <v>0</v>
      </c>
      <c r="I44" s="100" t="s">
        <v>52</v>
      </c>
      <c r="J44" s="99">
        <f>C44*E44*0.9</f>
        <v>202868.946</v>
      </c>
      <c r="K44" s="99">
        <f>J44*0.614</f>
        <v>124561.532844</v>
      </c>
      <c r="L44" s="101">
        <v>2</v>
      </c>
      <c r="M44" s="102" t="s">
        <v>52</v>
      </c>
      <c r="N44" s="102"/>
      <c r="O44" s="103"/>
    </row>
    <row r="45" spans="1:27" x14ac:dyDescent="0.2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16.350000000000001</v>
      </c>
      <c r="F47" s="1">
        <f t="shared" si="5"/>
        <v>16.41</v>
      </c>
      <c r="G47" s="7">
        <f>C47*(E47-F47)</f>
        <v>-78.455171999998328</v>
      </c>
      <c r="H47" s="7">
        <f>C47*(E47-F47)</f>
        <v>-78.455171999998328</v>
      </c>
      <c r="I47" s="1"/>
      <c r="J47" s="7">
        <f>C47*E47</f>
        <v>21379.034370000001</v>
      </c>
      <c r="K47" s="7">
        <f>J47</f>
        <v>21379.034370000001</v>
      </c>
      <c r="L47" s="3">
        <v>2</v>
      </c>
      <c r="M47" s="80" t="s">
        <v>52</v>
      </c>
    </row>
    <row r="48" spans="1:27" x14ac:dyDescent="0.2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16.350000000000001</v>
      </c>
      <c r="F48" s="1">
        <f t="shared" si="5"/>
        <v>16.41</v>
      </c>
      <c r="G48" s="7">
        <f>C48*(E48-F48)</f>
        <v>-10.682003999999772</v>
      </c>
      <c r="H48" s="7">
        <f>C48*(E48-F48)</f>
        <v>-10.682003999999772</v>
      </c>
      <c r="I48" s="1"/>
      <c r="J48" s="7">
        <f>C48*E48</f>
        <v>2910.8460900000005</v>
      </c>
      <c r="K48" s="7">
        <f>J48</f>
        <v>2910.8460900000005</v>
      </c>
      <c r="L48" s="3">
        <v>2</v>
      </c>
      <c r="M48" s="80" t="s">
        <v>52</v>
      </c>
    </row>
    <row r="49" spans="1:16" x14ac:dyDescent="0.2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16.350000000000001</v>
      </c>
      <c r="F49" s="1">
        <f t="shared" si="5"/>
        <v>16.41</v>
      </c>
      <c r="G49" s="7">
        <f>C49*(E49-F49)</f>
        <v>-24.171245999999485</v>
      </c>
      <c r="H49" s="7">
        <f>C49*(E49-F49)</f>
        <v>-24.171245999999485</v>
      </c>
      <c r="I49" s="1"/>
      <c r="J49" s="7">
        <f>C49*E49</f>
        <v>6586.6645350000008</v>
      </c>
      <c r="K49" s="7">
        <f>J49</f>
        <v>6586.6645350000008</v>
      </c>
      <c r="L49" s="3">
        <v>2</v>
      </c>
      <c r="M49" s="80" t="s">
        <v>52</v>
      </c>
    </row>
    <row r="50" spans="1:16" x14ac:dyDescent="0.2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16.350000000000001</v>
      </c>
      <c r="F52" s="1">
        <f t="shared" si="6"/>
        <v>16.41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>J52*0.5995</f>
        <v>0</v>
      </c>
      <c r="L52" s="3">
        <v>2</v>
      </c>
      <c r="M52" s="80" t="s">
        <v>52</v>
      </c>
    </row>
    <row r="53" spans="1:16" x14ac:dyDescent="0.2">
      <c r="A53" s="8"/>
      <c r="B53" s="2" t="s">
        <v>157</v>
      </c>
      <c r="C53" s="13">
        <v>1270</v>
      </c>
      <c r="D53" s="13" t="s">
        <v>52</v>
      </c>
      <c r="E53" s="1">
        <f t="shared" si="6"/>
        <v>16.350000000000001</v>
      </c>
      <c r="F53" s="1">
        <f t="shared" si="6"/>
        <v>16.41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>J53*0.5895</f>
        <v>0</v>
      </c>
      <c r="L53" s="3">
        <v>2</v>
      </c>
      <c r="M53" s="80" t="s">
        <v>52</v>
      </c>
      <c r="N53" s="80" t="s">
        <v>52</v>
      </c>
    </row>
    <row r="54" spans="1:16" x14ac:dyDescent="0.2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16.350000000000001</v>
      </c>
      <c r="F54" s="1">
        <f t="shared" si="6"/>
        <v>16.41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>J54*0.5995</f>
        <v>0</v>
      </c>
      <c r="L54" s="3">
        <v>2</v>
      </c>
      <c r="M54" s="80" t="s">
        <v>52</v>
      </c>
    </row>
    <row r="55" spans="1:16" x14ac:dyDescent="0.2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16.350000000000001</v>
      </c>
      <c r="F55" s="1">
        <f t="shared" si="6"/>
        <v>16.41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>J55*0.5995</f>
        <v>0</v>
      </c>
      <c r="L55" s="3">
        <v>2</v>
      </c>
      <c r="M55" s="80" t="s">
        <v>52</v>
      </c>
    </row>
    <row r="56" spans="1:16" x14ac:dyDescent="0.2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16.350000000000001</v>
      </c>
      <c r="F56" s="1">
        <f t="shared" si="6"/>
        <v>16.41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>J56*0.5995</f>
        <v>0</v>
      </c>
      <c r="L56" s="3">
        <v>2</v>
      </c>
      <c r="M56" s="80" t="s">
        <v>52</v>
      </c>
    </row>
    <row r="57" spans="1:16" x14ac:dyDescent="0.2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16.350000000000001</v>
      </c>
      <c r="F57" s="1">
        <f t="shared" si="6"/>
        <v>16.41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>J57*0.5995</f>
        <v>0</v>
      </c>
      <c r="L57" s="3">
        <v>2</v>
      </c>
      <c r="M57" s="80" t="s">
        <v>52</v>
      </c>
    </row>
    <row r="58" spans="1:16" x14ac:dyDescent="0.2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16.350000000000001</v>
      </c>
      <c r="F58" s="1">
        <f t="shared" si="6"/>
        <v>16.41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>J58*0.5995</f>
        <v>0</v>
      </c>
      <c r="L58" s="3">
        <v>2</v>
      </c>
      <c r="M58" s="80" t="s">
        <v>52</v>
      </c>
    </row>
    <row r="59" spans="1:16" x14ac:dyDescent="0.2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16.350000000000001</v>
      </c>
      <c r="F61" s="1">
        <f>F$31</f>
        <v>16.41</v>
      </c>
      <c r="G61" s="7">
        <f>C61*(E61-F61)</f>
        <v>-139.01999999999703</v>
      </c>
      <c r="H61" s="7">
        <f>C61*(E61-F61)*0.5895</f>
        <v>-81.952289999998257</v>
      </c>
      <c r="I61" s="1"/>
      <c r="J61" s="7">
        <f>C61*E61</f>
        <v>37882.950000000004</v>
      </c>
      <c r="K61" s="7">
        <f>J61*0.614</f>
        <v>23260.131300000001</v>
      </c>
      <c r="L61" s="3">
        <v>2</v>
      </c>
      <c r="M61" s="80" t="s">
        <v>52</v>
      </c>
    </row>
    <row r="62" spans="1:16" x14ac:dyDescent="0.2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16.350000000000001</v>
      </c>
      <c r="F64" s="1">
        <f>F$31</f>
        <v>16.41</v>
      </c>
      <c r="G64" s="7">
        <f>C64*(E64-F64)</f>
        <v>-115.43999999999754</v>
      </c>
      <c r="H64" s="7">
        <f>C64*(E64-F64)*0.5895</f>
        <v>-68.051879999998548</v>
      </c>
      <c r="I64" s="1"/>
      <c r="J64" s="7">
        <f>C64*E64</f>
        <v>31457.4</v>
      </c>
      <c r="K64" s="7">
        <f>J64*0.614</f>
        <v>19314.8436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">
      <c r="A65" s="87" t="s">
        <v>52</v>
      </c>
      <c r="E65" s="1"/>
      <c r="F65" s="1"/>
      <c r="H65" s="7" t="s">
        <v>52</v>
      </c>
      <c r="I65" s="1"/>
    </row>
    <row r="66" spans="1:15" x14ac:dyDescent="0.2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">
      <c r="A67" s="8" t="s">
        <v>52</v>
      </c>
      <c r="B67" s="2" t="s">
        <v>167</v>
      </c>
      <c r="C67" s="80">
        <v>2996377.59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0">C67*(E67-F67)</f>
        <v>0</v>
      </c>
      <c r="I67" s="1"/>
      <c r="J67" s="7">
        <f>C67*E67</f>
        <v>2996377.59</v>
      </c>
      <c r="K67" s="7">
        <f t="shared" ref="K67:K82" si="11">J67</f>
        <v>2996377.59</v>
      </c>
      <c r="L67" s="3">
        <v>1</v>
      </c>
    </row>
    <row r="68" spans="1:15" x14ac:dyDescent="0.2">
      <c r="A68" s="30" t="s">
        <v>52</v>
      </c>
      <c r="B68" s="2" t="s">
        <v>172</v>
      </c>
      <c r="C68" s="13">
        <v>-5000</v>
      </c>
      <c r="D68" s="13" t="s">
        <v>52</v>
      </c>
      <c r="E68" s="1">
        <v>0.75</v>
      </c>
      <c r="F68" s="1">
        <v>0.9</v>
      </c>
      <c r="G68" s="7">
        <f>(E68-F68)*C68</f>
        <v>750.00000000000011</v>
      </c>
      <c r="H68" s="7">
        <f>C68*(E68-F68)</f>
        <v>750.00000000000011</v>
      </c>
      <c r="J68" s="7">
        <f>G68</f>
        <v>750.00000000000011</v>
      </c>
      <c r="K68" s="7">
        <f>J68</f>
        <v>750.00000000000011</v>
      </c>
      <c r="L68" s="3">
        <v>1</v>
      </c>
      <c r="M68" s="80">
        <f>C68*E68*-1</f>
        <v>3750</v>
      </c>
    </row>
    <row r="69" spans="1:15" x14ac:dyDescent="0.2">
      <c r="A69" s="30" t="s">
        <v>52</v>
      </c>
      <c r="B69" s="2" t="s">
        <v>163</v>
      </c>
      <c r="C69" s="13">
        <v>-15000</v>
      </c>
      <c r="D69" s="13" t="s">
        <v>52</v>
      </c>
      <c r="E69" s="1">
        <v>0.2</v>
      </c>
      <c r="F69" s="1">
        <v>0.2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3000</v>
      </c>
    </row>
    <row r="70" spans="1:15" x14ac:dyDescent="0.2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5" x14ac:dyDescent="0.2">
      <c r="A71" s="30" t="s">
        <v>52</v>
      </c>
      <c r="B71" s="2" t="s">
        <v>133</v>
      </c>
      <c r="C71" s="13">
        <v>-5000</v>
      </c>
      <c r="D71" s="13" t="s">
        <v>52</v>
      </c>
      <c r="E71" s="1">
        <v>0.05</v>
      </c>
      <c r="F71" s="1">
        <v>0.1</v>
      </c>
      <c r="G71" s="7">
        <f t="shared" ref="G71:G81" si="12">(E71-F71)*C71</f>
        <v>250</v>
      </c>
      <c r="H71" s="7">
        <f t="shared" si="10"/>
        <v>250</v>
      </c>
      <c r="J71" s="7">
        <f t="shared" ref="J71:J80" si="13">G71</f>
        <v>250</v>
      </c>
      <c r="K71" s="7">
        <f t="shared" si="11"/>
        <v>250</v>
      </c>
      <c r="L71" s="3">
        <v>1</v>
      </c>
      <c r="M71" s="80">
        <f t="shared" ref="M71:M81" si="14">C71*E71*-1</f>
        <v>250</v>
      </c>
    </row>
    <row r="72" spans="1:15" x14ac:dyDescent="0.2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2"/>
        <v>0</v>
      </c>
      <c r="H72" s="7">
        <f t="shared" si="10"/>
        <v>0</v>
      </c>
      <c r="J72" s="7">
        <f t="shared" si="13"/>
        <v>0</v>
      </c>
      <c r="K72" s="7">
        <f t="shared" si="11"/>
        <v>0</v>
      </c>
      <c r="L72" s="3">
        <v>1</v>
      </c>
      <c r="M72" s="80">
        <f t="shared" si="14"/>
        <v>750</v>
      </c>
      <c r="N72" s="80" t="s">
        <v>52</v>
      </c>
    </row>
    <row r="73" spans="1:15" x14ac:dyDescent="0.2">
      <c r="A73" s="30" t="s">
        <v>52</v>
      </c>
      <c r="B73" s="2" t="s">
        <v>171</v>
      </c>
      <c r="C73" s="13">
        <v>-2500</v>
      </c>
      <c r="D73" s="13" t="s">
        <v>52</v>
      </c>
      <c r="E73" s="1">
        <v>0.35</v>
      </c>
      <c r="F73" s="1">
        <v>0.35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875</v>
      </c>
    </row>
    <row r="74" spans="1:15" x14ac:dyDescent="0.2">
      <c r="A74" s="30" t="s">
        <v>52</v>
      </c>
      <c r="B74" s="2" t="s">
        <v>150</v>
      </c>
      <c r="C74" s="13">
        <v>-5000</v>
      </c>
      <c r="D74" s="13" t="s">
        <v>52</v>
      </c>
      <c r="E74" s="1">
        <v>0.3</v>
      </c>
      <c r="F74" s="1">
        <v>0.3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1"/>
        <v>0</v>
      </c>
      <c r="L74" s="3">
        <v>1</v>
      </c>
      <c r="M74" s="80">
        <f>C74*E74*-1</f>
        <v>1500</v>
      </c>
    </row>
    <row r="75" spans="1:15" x14ac:dyDescent="0.2">
      <c r="A75" s="30" t="s">
        <v>52</v>
      </c>
      <c r="B75" s="2" t="s">
        <v>135</v>
      </c>
      <c r="C75" s="13">
        <v>-15000</v>
      </c>
      <c r="D75" s="13" t="s">
        <v>52</v>
      </c>
      <c r="E75" s="1">
        <v>0.25</v>
      </c>
      <c r="F75" s="1">
        <v>0.25</v>
      </c>
      <c r="G75" s="7">
        <f t="shared" si="12"/>
        <v>0</v>
      </c>
      <c r="H75" s="7">
        <f t="shared" si="10"/>
        <v>0</v>
      </c>
      <c r="J75" s="7">
        <f t="shared" si="13"/>
        <v>0</v>
      </c>
      <c r="K75" s="7">
        <f t="shared" si="11"/>
        <v>0</v>
      </c>
      <c r="L75" s="3">
        <v>1</v>
      </c>
      <c r="M75" s="80">
        <f t="shared" si="14"/>
        <v>3750</v>
      </c>
      <c r="O75" s="5" t="s">
        <v>52</v>
      </c>
    </row>
    <row r="76" spans="1:15" x14ac:dyDescent="0.2">
      <c r="A76" s="30" t="s">
        <v>52</v>
      </c>
      <c r="B76" s="2" t="s">
        <v>146</v>
      </c>
      <c r="C76" s="13">
        <v>-15000</v>
      </c>
      <c r="D76" s="13" t="s">
        <v>52</v>
      </c>
      <c r="E76" s="1">
        <v>0.25</v>
      </c>
      <c r="F76" s="1">
        <v>0.25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1"/>
        <v>0</v>
      </c>
      <c r="L76" s="3">
        <v>1</v>
      </c>
      <c r="M76" s="80">
        <f>C76*E76*-1</f>
        <v>3750</v>
      </c>
      <c r="O76" s="5" t="s">
        <v>52</v>
      </c>
    </row>
    <row r="77" spans="1:15" x14ac:dyDescent="0.2">
      <c r="A77" s="30" t="s">
        <v>52</v>
      </c>
      <c r="B77" s="2" t="s">
        <v>136</v>
      </c>
      <c r="C77" s="13">
        <v>-10000</v>
      </c>
      <c r="D77" s="13" t="s">
        <v>52</v>
      </c>
      <c r="E77" s="1">
        <v>0.25</v>
      </c>
      <c r="F77" s="1">
        <v>0.25</v>
      </c>
      <c r="G77" s="7">
        <f t="shared" si="12"/>
        <v>0</v>
      </c>
      <c r="H77" s="7">
        <f t="shared" si="10"/>
        <v>0</v>
      </c>
      <c r="J77" s="7">
        <f>G77</f>
        <v>0</v>
      </c>
      <c r="K77" s="7">
        <f t="shared" si="11"/>
        <v>0</v>
      </c>
      <c r="L77" s="3">
        <v>1</v>
      </c>
      <c r="M77" s="80">
        <f t="shared" si="14"/>
        <v>2500</v>
      </c>
      <c r="O77" s="7" t="s">
        <v>52</v>
      </c>
    </row>
    <row r="78" spans="1:15" x14ac:dyDescent="0.2">
      <c r="A78" s="30" t="s">
        <v>52</v>
      </c>
      <c r="B78" s="2" t="s">
        <v>137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2"/>
        <v>0</v>
      </c>
      <c r="H78" s="7">
        <f t="shared" si="10"/>
        <v>0</v>
      </c>
      <c r="J78" s="7">
        <f t="shared" si="13"/>
        <v>0</v>
      </c>
      <c r="K78" s="7">
        <f t="shared" si="11"/>
        <v>0</v>
      </c>
      <c r="L78" s="3">
        <v>1</v>
      </c>
      <c r="M78" s="80">
        <f t="shared" si="14"/>
        <v>2500</v>
      </c>
      <c r="O78" s="7" t="s">
        <v>52</v>
      </c>
    </row>
    <row r="79" spans="1:15" x14ac:dyDescent="0.2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2"/>
        <v>0</v>
      </c>
      <c r="H79" s="7">
        <f t="shared" si="10"/>
        <v>0</v>
      </c>
      <c r="J79" s="7">
        <f t="shared" si="13"/>
        <v>0</v>
      </c>
      <c r="K79" s="7">
        <f t="shared" si="11"/>
        <v>0</v>
      </c>
      <c r="L79" s="3">
        <v>1</v>
      </c>
      <c r="M79" s="80">
        <f t="shared" si="14"/>
        <v>2500</v>
      </c>
      <c r="O79" s="7" t="s">
        <v>52</v>
      </c>
    </row>
    <row r="80" spans="1:15" x14ac:dyDescent="0.2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2"/>
        <v>0</v>
      </c>
      <c r="H80" s="7">
        <f t="shared" si="10"/>
        <v>0</v>
      </c>
      <c r="J80" s="7">
        <f t="shared" si="13"/>
        <v>0</v>
      </c>
      <c r="K80" s="7">
        <f t="shared" si="11"/>
        <v>0</v>
      </c>
      <c r="L80" s="3">
        <v>1</v>
      </c>
      <c r="M80" s="92">
        <f t="shared" si="14"/>
        <v>2500</v>
      </c>
      <c r="O80" s="80" t="s">
        <v>52</v>
      </c>
    </row>
    <row r="81" spans="1:15" ht="13.5" thickBot="1" x14ac:dyDescent="0.25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2"/>
        <v>0</v>
      </c>
      <c r="H81" s="7">
        <f t="shared" si="10"/>
        <v>0</v>
      </c>
      <c r="J81" s="7">
        <f>G81</f>
        <v>0</v>
      </c>
      <c r="K81" s="7">
        <f t="shared" si="11"/>
        <v>0</v>
      </c>
      <c r="L81" s="3">
        <v>1</v>
      </c>
      <c r="M81" s="93">
        <f t="shared" si="14"/>
        <v>1250</v>
      </c>
      <c r="N81" s="80" t="s">
        <v>52</v>
      </c>
      <c r="O81" s="7" t="s">
        <v>52</v>
      </c>
    </row>
    <row r="82" spans="1:15" x14ac:dyDescent="0.2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1"/>
        <v xml:space="preserve"> </v>
      </c>
      <c r="M82" s="80">
        <f>SUM(M68:M81)</f>
        <v>30375</v>
      </c>
      <c r="N82" s="80">
        <v>1000</v>
      </c>
      <c r="O82" s="80">
        <v>2997378</v>
      </c>
    </row>
    <row r="83" spans="1:15" x14ac:dyDescent="0.2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1000.0000000000001</v>
      </c>
      <c r="O83" s="80">
        <f>SUM(K67:K81)</f>
        <v>2997377.59</v>
      </c>
    </row>
    <row r="84" spans="1:15" x14ac:dyDescent="0.2">
      <c r="A84" s="30" t="s">
        <v>52</v>
      </c>
      <c r="B84" s="2" t="s">
        <v>62</v>
      </c>
      <c r="C84" s="13">
        <v>387</v>
      </c>
      <c r="D84" s="13" t="s">
        <v>52</v>
      </c>
      <c r="E84" s="16">
        <v>37.869999999999997</v>
      </c>
      <c r="F84" s="16">
        <v>37.08</v>
      </c>
      <c r="G84" s="7">
        <f>C84*(E84-F84)</f>
        <v>305.72999999999968</v>
      </c>
      <c r="H84" s="7">
        <f>C84*(E84-F84)</f>
        <v>305.72999999999968</v>
      </c>
      <c r="I84" s="1"/>
      <c r="J84" s="7">
        <f>C84*E84</f>
        <v>14655.689999999999</v>
      </c>
      <c r="K84" s="7">
        <f>J84</f>
        <v>14655.689999999999</v>
      </c>
      <c r="L84" s="3">
        <v>2</v>
      </c>
      <c r="M84" s="80" t="s">
        <v>52</v>
      </c>
    </row>
    <row r="85" spans="1:15" x14ac:dyDescent="0.2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47.69</v>
      </c>
      <c r="F88" s="1">
        <v>46.92</v>
      </c>
      <c r="G88" s="7">
        <f t="shared" ref="G88:G94" si="15">C88*(E88-F88)</f>
        <v>180.22927999999905</v>
      </c>
      <c r="H88" s="7">
        <f t="shared" ref="H88:H94" si="16">C88*(E88-F88)</f>
        <v>180.22927999999905</v>
      </c>
      <c r="I88" s="1"/>
      <c r="J88" s="7">
        <f t="shared" ref="J88:J94" si="17">C88*E88</f>
        <v>11162.512159999998</v>
      </c>
      <c r="K88" s="7">
        <f>J88</f>
        <v>11162.512159999998</v>
      </c>
      <c r="L88" s="3">
        <v>2</v>
      </c>
    </row>
    <row r="89" spans="1:15" x14ac:dyDescent="0.2">
      <c r="A89" s="8"/>
      <c r="B89" s="2" t="s">
        <v>27</v>
      </c>
      <c r="C89" s="13">
        <v>752.12800000000004</v>
      </c>
      <c r="D89" s="13" t="s">
        <v>52</v>
      </c>
      <c r="E89" s="1">
        <v>8.77</v>
      </c>
      <c r="F89" s="1">
        <v>8.5500000000000007</v>
      </c>
      <c r="G89" s="7">
        <f t="shared" si="15"/>
        <v>165.46815999999916</v>
      </c>
      <c r="H89" s="7">
        <f t="shared" si="16"/>
        <v>165.46815999999916</v>
      </c>
      <c r="I89" s="1"/>
      <c r="J89" s="7">
        <f t="shared" si="17"/>
        <v>6596.1625599999998</v>
      </c>
      <c r="K89" s="7">
        <f t="shared" ref="K89:K105" si="18">J89</f>
        <v>6596.1625599999998</v>
      </c>
      <c r="L89" s="3">
        <v>2</v>
      </c>
    </row>
    <row r="90" spans="1:15" x14ac:dyDescent="0.2">
      <c r="A90" s="8"/>
      <c r="B90" s="2" t="s">
        <v>28</v>
      </c>
      <c r="C90" s="13">
        <v>2674.7959999999998</v>
      </c>
      <c r="D90" s="13" t="s">
        <v>52</v>
      </c>
      <c r="E90" s="1">
        <v>19.95</v>
      </c>
      <c r="F90" s="1">
        <v>19.73</v>
      </c>
      <c r="G90" s="7">
        <f t="shared" si="15"/>
        <v>588.4551199999969</v>
      </c>
      <c r="H90" s="7">
        <f t="shared" si="16"/>
        <v>588.4551199999969</v>
      </c>
      <c r="I90" s="1"/>
      <c r="J90" s="7">
        <f t="shared" si="17"/>
        <v>53362.180199999995</v>
      </c>
      <c r="K90" s="7">
        <f t="shared" si="18"/>
        <v>53362.180199999995</v>
      </c>
      <c r="L90" s="3">
        <v>2</v>
      </c>
    </row>
    <row r="91" spans="1:15" x14ac:dyDescent="0.2">
      <c r="A91" s="8"/>
      <c r="B91" s="2" t="s">
        <v>29</v>
      </c>
      <c r="C91" s="13">
        <v>1240.306</v>
      </c>
      <c r="D91" s="13" t="s">
        <v>52</v>
      </c>
      <c r="E91" s="1">
        <v>7.73</v>
      </c>
      <c r="F91" s="1">
        <v>7.78</v>
      </c>
      <c r="G91" s="7">
        <f t="shared" si="15"/>
        <v>-62.015299999999783</v>
      </c>
      <c r="H91" s="7">
        <f t="shared" si="16"/>
        <v>-62.015299999999783</v>
      </c>
      <c r="I91" s="1"/>
      <c r="J91" s="7">
        <f t="shared" si="17"/>
        <v>9587.56538</v>
      </c>
      <c r="K91" s="7">
        <f t="shared" si="18"/>
        <v>9587.56538</v>
      </c>
      <c r="L91" s="3">
        <v>2</v>
      </c>
    </row>
    <row r="92" spans="1:15" x14ac:dyDescent="0.2">
      <c r="A92" s="8"/>
      <c r="B92" s="2" t="s">
        <v>30</v>
      </c>
      <c r="C92" s="13">
        <v>261.04399999999998</v>
      </c>
      <c r="D92" s="13" t="s">
        <v>52</v>
      </c>
      <c r="E92" s="1">
        <v>36.19</v>
      </c>
      <c r="F92" s="1">
        <v>35.86</v>
      </c>
      <c r="G92" s="7">
        <f t="shared" si="15"/>
        <v>86.144519999999545</v>
      </c>
      <c r="H92" s="7">
        <f t="shared" si="16"/>
        <v>86.144519999999545</v>
      </c>
      <c r="I92" s="1"/>
      <c r="J92" s="7">
        <f t="shared" si="17"/>
        <v>9447.1823599999989</v>
      </c>
      <c r="K92" s="7">
        <f t="shared" si="18"/>
        <v>9447.1823599999989</v>
      </c>
      <c r="L92" s="3">
        <v>2</v>
      </c>
    </row>
    <row r="93" spans="1:15" x14ac:dyDescent="0.2">
      <c r="A93" s="8"/>
      <c r="B93" s="2" t="s">
        <v>31</v>
      </c>
      <c r="C93" s="13">
        <v>378.52600000000001</v>
      </c>
      <c r="D93" s="13" t="s">
        <v>52</v>
      </c>
      <c r="E93" s="1">
        <v>26.07</v>
      </c>
      <c r="F93" s="1">
        <v>25.84</v>
      </c>
      <c r="G93" s="7">
        <f t="shared" si="15"/>
        <v>87.060980000000157</v>
      </c>
      <c r="H93" s="7">
        <f t="shared" si="16"/>
        <v>87.060980000000157</v>
      </c>
      <c r="I93" s="1"/>
      <c r="J93" s="7">
        <f t="shared" si="17"/>
        <v>9868.1728199999998</v>
      </c>
      <c r="K93" s="7">
        <f t="shared" si="18"/>
        <v>9868.1728199999998</v>
      </c>
      <c r="L93" s="3">
        <v>2</v>
      </c>
    </row>
    <row r="94" spans="1:15" x14ac:dyDescent="0.2">
      <c r="A94" s="8" t="s">
        <v>52</v>
      </c>
      <c r="B94" s="2" t="s">
        <v>49</v>
      </c>
      <c r="C94" s="13">
        <v>1371</v>
      </c>
      <c r="D94" s="13" t="s">
        <v>52</v>
      </c>
      <c r="E94" s="1">
        <v>10.99</v>
      </c>
      <c r="F94" s="1">
        <v>10.98</v>
      </c>
      <c r="G94" s="7">
        <f t="shared" si="15"/>
        <v>13.709999999999708</v>
      </c>
      <c r="H94" s="7">
        <f t="shared" si="16"/>
        <v>13.709999999999708</v>
      </c>
      <c r="I94" s="1" t="s">
        <v>52</v>
      </c>
      <c r="J94" s="7">
        <f t="shared" si="17"/>
        <v>15067.29</v>
      </c>
      <c r="K94" s="7">
        <f t="shared" si="18"/>
        <v>15067.29</v>
      </c>
      <c r="L94" s="3">
        <v>1</v>
      </c>
    </row>
    <row r="95" spans="1:15" x14ac:dyDescent="0.2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8"/>
        <v>5000</v>
      </c>
      <c r="L96" s="3">
        <v>1</v>
      </c>
    </row>
    <row r="97" spans="1:15" x14ac:dyDescent="0.2">
      <c r="E97" s="2"/>
      <c r="F97" s="2"/>
      <c r="G97" s="15"/>
      <c r="H97" s="7" t="s">
        <v>52</v>
      </c>
      <c r="I97" s="2"/>
    </row>
    <row r="98" spans="1:15" x14ac:dyDescent="0.2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8"/>
        <v>3829.12</v>
      </c>
      <c r="L98" s="3">
        <v>1</v>
      </c>
    </row>
    <row r="99" spans="1:15" x14ac:dyDescent="0.2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8"/>
        <v>4769.42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8"/>
        <v>9759</v>
      </c>
      <c r="L101" s="3">
        <v>1</v>
      </c>
      <c r="M101" s="80" t="s">
        <v>87</v>
      </c>
    </row>
    <row r="102" spans="1:15" x14ac:dyDescent="0.2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8"/>
        <v>3718</v>
      </c>
      <c r="L102" s="3">
        <v>1</v>
      </c>
      <c r="M102" s="80">
        <f>(C9*E9)+(C10*E10)+(C11*E11)+(C12*E12)</f>
        <v>-3628490</v>
      </c>
      <c r="N102" s="26">
        <f>M102/M109</f>
        <v>-0.60058175087894039</v>
      </c>
      <c r="O102" s="5" t="s">
        <v>85</v>
      </c>
    </row>
    <row r="103" spans="1:15" x14ac:dyDescent="0.2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8"/>
        <v>943</v>
      </c>
      <c r="L103" s="3">
        <v>1</v>
      </c>
      <c r="M103" s="80">
        <f>SUMIF(L5:L110,2,K5:K110)</f>
        <v>356609.07352572202</v>
      </c>
      <c r="N103" s="26">
        <f>M103/M109</f>
        <v>5.9025352628061516E-2</v>
      </c>
      <c r="O103" s="5" t="s">
        <v>22</v>
      </c>
    </row>
    <row r="104" spans="1:15" x14ac:dyDescent="0.2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8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8"/>
        <v>3764.8724267220005</v>
      </c>
      <c r="L105" s="3">
        <v>2</v>
      </c>
      <c r="M105" s="80">
        <f>SUMIF(L5:L110,1,K5:K110)</f>
        <v>6270016.3915999997</v>
      </c>
      <c r="N105" s="26">
        <f>M105/M109</f>
        <v>1.0378028939053943</v>
      </c>
    </row>
    <row r="106" spans="1:15" x14ac:dyDescent="0.2">
      <c r="A106" s="8"/>
      <c r="E106" s="1"/>
      <c r="F106" s="1"/>
      <c r="I106" s="1"/>
      <c r="M106" s="80" t="s">
        <v>162</v>
      </c>
      <c r="N106" s="26"/>
    </row>
    <row r="107" spans="1:15" x14ac:dyDescent="0.2">
      <c r="A107" s="8" t="s">
        <v>88</v>
      </c>
      <c r="B107" s="2" t="s">
        <v>153</v>
      </c>
      <c r="C107" s="13">
        <v>-215000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-215000</v>
      </c>
      <c r="K107" s="7">
        <f>J107</f>
        <v>-215000</v>
      </c>
      <c r="L107" s="3">
        <v>0</v>
      </c>
      <c r="M107" s="80">
        <f>SUM(K107:K109)</f>
        <v>-585000</v>
      </c>
      <c r="N107" s="26">
        <f>+M107/M109</f>
        <v>-9.6828246533456105E-2</v>
      </c>
    </row>
    <row r="108" spans="1:15" x14ac:dyDescent="0.2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6041625.4651257237</v>
      </c>
      <c r="N109" s="26">
        <f>+M109/K112</f>
        <v>1</v>
      </c>
    </row>
    <row r="110" spans="1:15" ht="13.5" thickBot="1" x14ac:dyDescent="0.25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">
      <c r="A111" s="8"/>
      <c r="M111" s="80" t="s">
        <v>56</v>
      </c>
    </row>
    <row r="112" spans="1:15" x14ac:dyDescent="0.2">
      <c r="A112" s="8" t="s">
        <v>17</v>
      </c>
      <c r="C112" s="13">
        <f>SUM(C52:C64)+C31+C37+C44+C47+C48+C49</f>
        <v>21405.822500000002</v>
      </c>
      <c r="D112" s="13">
        <f>SUM(D5:D109)</f>
        <v>14770.8225</v>
      </c>
      <c r="G112" s="7">
        <f>SUM(G5:G110)</f>
        <v>-44699.396589999822</v>
      </c>
      <c r="H112" s="7">
        <f>SUM(H5:H110)</f>
        <v>-44594.94075999983</v>
      </c>
      <c r="J112" s="7">
        <f>SUM(J5:J110)</f>
        <v>6450157.7117817244</v>
      </c>
      <c r="K112" s="7">
        <f>SUM(K5:K110)</f>
        <v>6041625.4651257237</v>
      </c>
      <c r="M112" s="92">
        <f>SUM(K44:K64)+K31+K37</f>
        <v>203953.80561899999</v>
      </c>
      <c r="N112" s="94">
        <f>M112/K112</f>
        <v>3.375810149044977E-2</v>
      </c>
    </row>
    <row r="113" spans="1:14" ht="13.5" thickBot="1" x14ac:dyDescent="0.25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">
      <c r="A114" s="8"/>
    </row>
    <row r="115" spans="1:14" x14ac:dyDescent="0.2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18.649999999999999</v>
      </c>
      <c r="F116" s="1">
        <v>18.38</v>
      </c>
      <c r="G116" s="7">
        <f>C116*(E116-F116)</f>
        <v>331.71713999999952</v>
      </c>
      <c r="H116" s="7">
        <f>C116*(E116-F116)</f>
        <v>331.71713999999952</v>
      </c>
      <c r="I116" s="1"/>
      <c r="J116" s="7">
        <f>C116*E116</f>
        <v>22913.0543</v>
      </c>
      <c r="K116" s="7">
        <f>J116</f>
        <v>22913.0543</v>
      </c>
      <c r="L116" s="3">
        <v>2</v>
      </c>
    </row>
    <row r="117" spans="1:14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37.869999999999997</v>
      </c>
      <c r="F117" s="1">
        <f>+F84</f>
        <v>37.08</v>
      </c>
      <c r="G117" s="7">
        <f>C117*(E117-F117)</f>
        <v>305.72999999999968</v>
      </c>
      <c r="H117" s="7">
        <f>C117*(E117-F117)</f>
        <v>305.72999999999968</v>
      </c>
      <c r="I117" s="1"/>
      <c r="J117" s="7">
        <f>C117*E117</f>
        <v>14655.689999999999</v>
      </c>
      <c r="K117" s="7">
        <f>J117</f>
        <v>14655.689999999999</v>
      </c>
      <c r="L117" s="3">
        <v>2</v>
      </c>
    </row>
    <row r="118" spans="1:14" x14ac:dyDescent="0.2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">
      <c r="A119" s="8"/>
      <c r="E119" s="3"/>
      <c r="F119" s="3"/>
      <c r="H119" s="7" t="s">
        <v>52</v>
      </c>
      <c r="I119" s="3"/>
    </row>
    <row r="120" spans="1:14" x14ac:dyDescent="0.2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10.86</v>
      </c>
      <c r="F121" s="1">
        <v>10.74</v>
      </c>
      <c r="G121" s="7">
        <f>C121*(E121-F121)</f>
        <v>241.60559999999845</v>
      </c>
      <c r="H121" s="7">
        <f>C121*(E121-F121)</f>
        <v>241.60559999999845</v>
      </c>
      <c r="I121" s="1"/>
      <c r="J121" s="7">
        <f>C121*E121</f>
        <v>21865.306799999998</v>
      </c>
      <c r="K121" s="7">
        <f>J121</f>
        <v>21865.306799999998</v>
      </c>
      <c r="L121" s="3">
        <v>2</v>
      </c>
    </row>
    <row r="122" spans="1:14" x14ac:dyDescent="0.2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37.869999999999997</v>
      </c>
      <c r="F122" s="1">
        <f>+F84</f>
        <v>37.08</v>
      </c>
      <c r="G122" s="7">
        <f>C122*(E122-F122)</f>
        <v>305.72999999999968</v>
      </c>
      <c r="H122" s="7">
        <f>C122*(E122-F122)</f>
        <v>305.72999999999968</v>
      </c>
      <c r="I122" s="1"/>
      <c r="J122" s="7">
        <f>C122*E122</f>
        <v>14655.689999999999</v>
      </c>
      <c r="K122" s="7">
        <f>J122</f>
        <v>14655.689999999999</v>
      </c>
      <c r="L122" s="3">
        <v>2</v>
      </c>
    </row>
    <row r="123" spans="1:14" x14ac:dyDescent="0.2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">
      <c r="A124" s="8"/>
      <c r="E124" s="1"/>
      <c r="F124" s="1"/>
      <c r="H124" s="7" t="s">
        <v>52</v>
      </c>
      <c r="I124" s="1"/>
    </row>
    <row r="125" spans="1:14" x14ac:dyDescent="0.2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37.869999999999997</v>
      </c>
      <c r="F125" s="1">
        <f>+F84</f>
        <v>37.08</v>
      </c>
      <c r="G125" s="7">
        <f>C125*(E125-F125)</f>
        <v>305.72999999999968</v>
      </c>
      <c r="H125" s="7">
        <f>C125*(E125-F125)</f>
        <v>305.72999999999968</v>
      </c>
      <c r="I125" s="1"/>
      <c r="J125" s="7">
        <f>C125*E125</f>
        <v>14655.689999999999</v>
      </c>
      <c r="K125" s="7">
        <f>J125</f>
        <v>14655.689999999999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16.350000000000001</v>
      </c>
      <c r="F129" s="1">
        <f>F$31</f>
        <v>16.41</v>
      </c>
      <c r="G129" s="7">
        <f>C129*(E129-F129)</f>
        <v>-17.279999999999632</v>
      </c>
      <c r="H129" s="7">
        <f>C129*(E129-F129)*0.5895</f>
        <v>-10.186559999999783</v>
      </c>
      <c r="I129" s="1"/>
      <c r="J129" s="7">
        <f>C129*E129</f>
        <v>4708.8</v>
      </c>
      <c r="K129" s="7">
        <f>J129*0.5995</f>
        <v>2822.9256000000005</v>
      </c>
      <c r="L129" s="3">
        <v>2</v>
      </c>
      <c r="M129" s="80">
        <f>SUM(K112:K129)+K138</f>
        <v>6133669.2618257264</v>
      </c>
      <c r="O129" s="7" t="s">
        <v>52</v>
      </c>
    </row>
    <row r="130" spans="1:16" x14ac:dyDescent="0.2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19">E$31</f>
        <v>16.350000000000001</v>
      </c>
      <c r="F132" s="1">
        <f t="shared" si="19"/>
        <v>16.41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19"/>
        <v>16.350000000000001</v>
      </c>
      <c r="F133" s="1">
        <f t="shared" si="19"/>
        <v>16.41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19"/>
        <v>16.350000000000001</v>
      </c>
      <c r="F134" s="1">
        <f t="shared" si="19"/>
        <v>16.41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19"/>
        <v>16.350000000000001</v>
      </c>
      <c r="F135" s="1">
        <f t="shared" si="19"/>
        <v>16.41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-3628490</v>
      </c>
      <c r="N136" s="26">
        <f>M136/M143</f>
        <v>-0.5915692296261762</v>
      </c>
      <c r="O136" s="5" t="s">
        <v>85</v>
      </c>
    </row>
    <row r="137" spans="1:16" x14ac:dyDescent="0.2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448177.43022572203</v>
      </c>
      <c r="N137" s="26">
        <f>M137/M143</f>
        <v>7.3068405076070125E-2</v>
      </c>
      <c r="O137" s="5" t="s">
        <v>22</v>
      </c>
    </row>
    <row r="138" spans="1:16" x14ac:dyDescent="0.2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0">E$31</f>
        <v>16.350000000000001</v>
      </c>
      <c r="F138" s="1">
        <f t="shared" si="20"/>
        <v>16.41</v>
      </c>
      <c r="G138" s="7">
        <f t="shared" ref="G138:G146" si="21">IF(E138&gt;I138,(E138-F138)*C138,0)</f>
        <v>0</v>
      </c>
      <c r="H138" s="7">
        <f t="shared" ref="H138:H146" si="22">IF(E138&gt;I138,(E138-F138)*C138*0.5895,0)</f>
        <v>0</v>
      </c>
      <c r="I138" s="1">
        <v>18.375</v>
      </c>
      <c r="J138" s="7">
        <f t="shared" ref="J138:J146" si="23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0"/>
        <v>16.350000000000001</v>
      </c>
      <c r="F139" s="1">
        <f t="shared" si="20"/>
        <v>16.41</v>
      </c>
      <c r="G139" s="7">
        <f t="shared" si="21"/>
        <v>0</v>
      </c>
      <c r="H139" s="7">
        <f t="shared" si="22"/>
        <v>0</v>
      </c>
      <c r="I139" s="1">
        <v>55.5</v>
      </c>
      <c r="J139" s="7">
        <f t="shared" si="23"/>
        <v>0</v>
      </c>
      <c r="K139" s="7">
        <f t="shared" ref="K139:K146" si="24">J139*0.5895</f>
        <v>0</v>
      </c>
      <c r="L139" s="3">
        <v>2</v>
      </c>
      <c r="M139" s="80">
        <f>SUMIF(L116:L147,1,K116:K147)+M105</f>
        <v>6270491.8316000002</v>
      </c>
      <c r="N139" s="26">
        <f>M139/M143</f>
        <v>1.0223068059156406</v>
      </c>
      <c r="O139" s="7" t="s">
        <v>52</v>
      </c>
      <c r="P139" s="15" t="s">
        <v>52</v>
      </c>
    </row>
    <row r="140" spans="1:16" x14ac:dyDescent="0.2">
      <c r="A140" s="8"/>
      <c r="B140" s="2" t="s">
        <v>124</v>
      </c>
      <c r="C140" s="13">
        <v>25</v>
      </c>
      <c r="D140" s="13">
        <v>0</v>
      </c>
      <c r="E140" s="1">
        <f t="shared" si="20"/>
        <v>16.350000000000001</v>
      </c>
      <c r="F140" s="1">
        <f t="shared" si="20"/>
        <v>16.41</v>
      </c>
      <c r="G140" s="7">
        <f t="shared" si="21"/>
        <v>0</v>
      </c>
      <c r="H140" s="7">
        <f t="shared" si="22"/>
        <v>0</v>
      </c>
      <c r="I140" s="1">
        <v>55.5</v>
      </c>
      <c r="J140" s="7">
        <f t="shared" si="23"/>
        <v>0</v>
      </c>
      <c r="K140" s="7">
        <f t="shared" si="24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">
      <c r="A141" s="8"/>
      <c r="B141" s="2" t="s">
        <v>125</v>
      </c>
      <c r="C141" s="13">
        <v>7608</v>
      </c>
      <c r="D141" s="13">
        <v>0</v>
      </c>
      <c r="E141" s="1">
        <f t="shared" si="20"/>
        <v>16.350000000000001</v>
      </c>
      <c r="F141" s="1">
        <f t="shared" si="20"/>
        <v>16.41</v>
      </c>
      <c r="G141" s="7">
        <f t="shared" si="21"/>
        <v>0</v>
      </c>
      <c r="H141" s="7">
        <f t="shared" si="22"/>
        <v>0</v>
      </c>
      <c r="I141" s="1">
        <v>75.0625</v>
      </c>
      <c r="J141" s="7">
        <f t="shared" si="23"/>
        <v>0</v>
      </c>
      <c r="K141" s="7">
        <f t="shared" si="24"/>
        <v>0</v>
      </c>
      <c r="L141" s="3">
        <v>2</v>
      </c>
      <c r="M141" s="80">
        <f>+M107</f>
        <v>-585000</v>
      </c>
      <c r="N141" s="26">
        <f>+M141/M143</f>
        <v>-9.5375210991710896E-2</v>
      </c>
      <c r="P141" s="15" t="s">
        <v>52</v>
      </c>
    </row>
    <row r="142" spans="1:16" x14ac:dyDescent="0.2">
      <c r="A142" s="8"/>
      <c r="B142" s="2" t="s">
        <v>126</v>
      </c>
      <c r="C142" s="13">
        <v>2540</v>
      </c>
      <c r="D142" s="13">
        <v>0</v>
      </c>
      <c r="E142" s="1">
        <f t="shared" si="20"/>
        <v>16.350000000000001</v>
      </c>
      <c r="F142" s="1">
        <f t="shared" si="20"/>
        <v>16.41</v>
      </c>
      <c r="G142" s="7">
        <f t="shared" si="21"/>
        <v>0</v>
      </c>
      <c r="H142" s="7">
        <f t="shared" si="22"/>
        <v>0</v>
      </c>
      <c r="I142" s="1">
        <v>76</v>
      </c>
      <c r="J142" s="7">
        <f t="shared" si="23"/>
        <v>0</v>
      </c>
      <c r="K142" s="7">
        <f t="shared" si="24"/>
        <v>0</v>
      </c>
      <c r="L142" s="3">
        <v>2</v>
      </c>
      <c r="M142" s="80" t="s">
        <v>91</v>
      </c>
      <c r="N142" s="26"/>
    </row>
    <row r="143" spans="1:16" x14ac:dyDescent="0.2">
      <c r="A143" s="8"/>
      <c r="B143" s="2" t="s">
        <v>142</v>
      </c>
      <c r="C143" s="13">
        <v>1524</v>
      </c>
      <c r="D143" s="13">
        <v>0</v>
      </c>
      <c r="E143" s="1">
        <f t="shared" si="20"/>
        <v>16.350000000000001</v>
      </c>
      <c r="F143" s="1">
        <f t="shared" si="20"/>
        <v>16.41</v>
      </c>
      <c r="G143" s="7">
        <f t="shared" si="21"/>
        <v>0</v>
      </c>
      <c r="H143" s="7">
        <f t="shared" si="22"/>
        <v>0</v>
      </c>
      <c r="I143" s="1">
        <v>83.125</v>
      </c>
      <c r="J143" s="7">
        <f t="shared" si="23"/>
        <v>0</v>
      </c>
      <c r="K143" s="7">
        <f t="shared" si="24"/>
        <v>0</v>
      </c>
      <c r="L143" s="3">
        <v>2</v>
      </c>
      <c r="M143" s="80">
        <f>SUM(K116:K138)+K112</f>
        <v>6133669.2618257236</v>
      </c>
      <c r="N143" s="26">
        <f>+M143/K149</f>
        <v>0.99999999999999956</v>
      </c>
    </row>
    <row r="144" spans="1:16" x14ac:dyDescent="0.2">
      <c r="A144" s="8"/>
      <c r="B144" s="2" t="s">
        <v>143</v>
      </c>
      <c r="C144" s="13">
        <v>1968</v>
      </c>
      <c r="D144" s="13">
        <v>0</v>
      </c>
      <c r="E144" s="1">
        <f t="shared" si="20"/>
        <v>16.350000000000001</v>
      </c>
      <c r="F144" s="1">
        <f t="shared" si="20"/>
        <v>16.41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4"/>
        <v>0</v>
      </c>
      <c r="L144" s="3">
        <v>2</v>
      </c>
      <c r="M144" s="80" t="s">
        <v>52</v>
      </c>
      <c r="N144" s="80" t="s">
        <v>52</v>
      </c>
    </row>
    <row r="145" spans="1:14" x14ac:dyDescent="0.2">
      <c r="A145" s="8"/>
      <c r="B145" s="2" t="s">
        <v>148</v>
      </c>
      <c r="C145" s="13">
        <v>1967</v>
      </c>
      <c r="D145" s="13">
        <v>0</v>
      </c>
      <c r="E145" s="1">
        <f t="shared" si="20"/>
        <v>16.350000000000001</v>
      </c>
      <c r="F145" s="1">
        <f t="shared" si="20"/>
        <v>16.41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4"/>
        <v>0</v>
      </c>
      <c r="L145" s="3">
        <v>2</v>
      </c>
      <c r="M145" s="80" t="s">
        <v>52</v>
      </c>
      <c r="N145" s="80" t="s">
        <v>52</v>
      </c>
    </row>
    <row r="146" spans="1:14" x14ac:dyDescent="0.2">
      <c r="A146" s="8"/>
      <c r="B146" s="2" t="s">
        <v>156</v>
      </c>
      <c r="C146" s="13">
        <f>2778-417</f>
        <v>2361</v>
      </c>
      <c r="D146" s="13">
        <v>0</v>
      </c>
      <c r="E146" s="1">
        <f t="shared" si="20"/>
        <v>16.350000000000001</v>
      </c>
      <c r="F146" s="1">
        <f t="shared" si="20"/>
        <v>16.41</v>
      </c>
      <c r="G146" s="7">
        <f t="shared" si="21"/>
        <v>0</v>
      </c>
      <c r="H146" s="7">
        <f t="shared" si="22"/>
        <v>0</v>
      </c>
      <c r="I146" s="1">
        <v>48.3</v>
      </c>
      <c r="J146" s="7">
        <f t="shared" si="23"/>
        <v>0</v>
      </c>
      <c r="K146" s="7">
        <f t="shared" si="24"/>
        <v>0</v>
      </c>
      <c r="L146" s="3">
        <v>2</v>
      </c>
      <c r="M146" s="80" t="s">
        <v>52</v>
      </c>
      <c r="N146" s="80" t="s">
        <v>52</v>
      </c>
    </row>
    <row r="147" spans="1:14" ht="13.5" thickBot="1" x14ac:dyDescent="0.25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">
      <c r="A148" s="8"/>
      <c r="C148" s="13" t="s">
        <v>52</v>
      </c>
      <c r="M148" s="80" t="s">
        <v>56</v>
      </c>
    </row>
    <row r="149" spans="1:14" x14ac:dyDescent="0.2">
      <c r="A149" s="8" t="s">
        <v>17</v>
      </c>
      <c r="B149" s="29" t="s">
        <v>52</v>
      </c>
      <c r="C149" s="13">
        <f>SUM(C129:C146)+C112</f>
        <v>65744.822500000009</v>
      </c>
      <c r="D149" s="13">
        <f>SUM(D129:D146)+D112</f>
        <v>30050.822500000002</v>
      </c>
      <c r="G149" s="7">
        <f>SUM(G112:G147)</f>
        <v>-43226.163849999815</v>
      </c>
      <c r="H149" s="7">
        <f>SUM(H112:H147)</f>
        <v>-43114.614579999827</v>
      </c>
      <c r="J149" s="7">
        <f>SUM(J112:J147)</f>
        <v>6544087.3828817271</v>
      </c>
      <c r="K149" s="7">
        <f>SUM(K112:K147)</f>
        <v>6133669.2618257264</v>
      </c>
      <c r="M149" s="92">
        <f>SUM(K129:K146)+M112</f>
        <v>206776.73121899998</v>
      </c>
      <c r="N149" s="94">
        <f>M149/K149</f>
        <v>3.3711751056732318E-2</v>
      </c>
    </row>
    <row r="150" spans="1:14" ht="13.5" thickBot="1" x14ac:dyDescent="0.25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">
      <c r="A151" s="8"/>
    </row>
    <row r="152" spans="1:14" x14ac:dyDescent="0.2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5.3800000000000001E-2</v>
      </c>
      <c r="L152" s="66"/>
      <c r="M152" s="81"/>
    </row>
    <row r="153" spans="1:14" x14ac:dyDescent="0.2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325039.45002376393</v>
      </c>
      <c r="L153" s="66"/>
      <c r="M153" s="81" t="s">
        <v>52</v>
      </c>
    </row>
    <row r="154" spans="1:14" x14ac:dyDescent="0.2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329991.40628622408</v>
      </c>
      <c r="L154" s="66"/>
      <c r="M154" s="81" t="s">
        <v>52</v>
      </c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54461.850000000006</v>
      </c>
      <c r="C7" s="16">
        <f>H33</f>
        <v>32649.879075000004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-30941.999999999978</v>
      </c>
      <c r="H14" s="11">
        <f>G14*0.5995</f>
        <v>-18549.728999999988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4708.8</v>
      </c>
      <c r="H25" s="11">
        <f t="shared" si="0"/>
        <v>2822.9256000000005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54461.850000000006</v>
      </c>
      <c r="H33" s="11">
        <f t="shared" si="0"/>
        <v>32649.879075000004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3646.05</v>
      </c>
      <c r="H47" s="11">
        <f t="shared" si="0"/>
        <v>2185.8069750000004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3646.05</v>
      </c>
      <c r="H48" s="11">
        <f t="shared" si="0"/>
        <v>2185.8069750000004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3629.7000000000003</v>
      </c>
      <c r="H49" s="11">
        <f t="shared" si="0"/>
        <v>2176.0051500000004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4283.7000000000007</v>
      </c>
      <c r="H58" s="11">
        <f t="shared" si="0"/>
        <v>2568.0781500000007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4283.7000000000007</v>
      </c>
      <c r="H59" s="11">
        <f t="shared" si="0"/>
        <v>2568.0781500000007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4283.7000000000007</v>
      </c>
      <c r="H60" s="11">
        <f t="shared" si="0"/>
        <v>2568.0781500000007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4708.8</v>
      </c>
      <c r="H69" s="11">
        <f t="shared" si="0"/>
        <v>2822.9256000000005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4708.8</v>
      </c>
      <c r="H70" s="11">
        <f t="shared" si="0"/>
        <v>2822.9256000000005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4692.4500000000007</v>
      </c>
      <c r="H71" s="11">
        <f t="shared" si="0"/>
        <v>2813.1237750000005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66111.60000000002</v>
      </c>
      <c r="H76" s="15">
        <f>SUM(H14:H74)</f>
        <v>39633.904200000019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2023-09-20T00:36:46Z</dcterms:modified>
</cp:coreProperties>
</file>