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9D34E2-9EF5-4F5F-BFC7-9FC28CB1CEB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M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J77" i="1"/>
  <c r="K77" i="1"/>
  <c r="M77" i="1"/>
  <c r="N78" i="1"/>
  <c r="O78" i="1"/>
  <c r="G79" i="1"/>
  <c r="H79" i="1"/>
  <c r="J79" i="1"/>
  <c r="K79" i="1"/>
  <c r="G80" i="1"/>
  <c r="H80" i="1"/>
  <c r="J80" i="1"/>
  <c r="K80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1" i="1"/>
  <c r="H91" i="1"/>
  <c r="J91" i="1"/>
  <c r="K91" i="1"/>
  <c r="G93" i="1"/>
  <c r="H93" i="1"/>
  <c r="J93" i="1"/>
  <c r="K93" i="1"/>
  <c r="G94" i="1"/>
  <c r="H94" i="1"/>
  <c r="J94" i="1"/>
  <c r="K94" i="1"/>
  <c r="G96" i="1"/>
  <c r="H96" i="1"/>
  <c r="J96" i="1"/>
  <c r="K96" i="1"/>
  <c r="G97" i="1"/>
  <c r="H97" i="1"/>
  <c r="J97" i="1"/>
  <c r="K97" i="1"/>
  <c r="M97" i="1"/>
  <c r="N97" i="1"/>
  <c r="G98" i="1"/>
  <c r="H98" i="1"/>
  <c r="J98" i="1"/>
  <c r="K98" i="1"/>
  <c r="M98" i="1"/>
  <c r="N98" i="1"/>
  <c r="G99" i="1"/>
  <c r="H99" i="1"/>
  <c r="J99" i="1"/>
  <c r="K99" i="1"/>
  <c r="G100" i="1"/>
  <c r="H100" i="1"/>
  <c r="J100" i="1"/>
  <c r="K100" i="1"/>
  <c r="M100" i="1"/>
  <c r="N100" i="1"/>
  <c r="J102" i="1"/>
  <c r="K102" i="1"/>
  <c r="M102" i="1"/>
  <c r="N102" i="1"/>
  <c r="J103" i="1"/>
  <c r="K103" i="1"/>
  <c r="J104" i="1"/>
  <c r="K104" i="1"/>
  <c r="M104" i="1"/>
  <c r="N104" i="1"/>
  <c r="C107" i="1"/>
  <c r="D107" i="1"/>
  <c r="G107" i="1"/>
  <c r="H107" i="1"/>
  <c r="J107" i="1"/>
  <c r="K107" i="1"/>
  <c r="M107" i="1"/>
  <c r="N107" i="1"/>
  <c r="G111" i="1"/>
  <c r="H111" i="1"/>
  <c r="J111" i="1"/>
  <c r="K111" i="1"/>
  <c r="E112" i="1"/>
  <c r="F112" i="1"/>
  <c r="G112" i="1"/>
  <c r="H112" i="1"/>
  <c r="J112" i="1"/>
  <c r="K112" i="1"/>
  <c r="G113" i="1"/>
  <c r="H113" i="1"/>
  <c r="J113" i="1"/>
  <c r="K113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E120" i="1"/>
  <c r="F120" i="1"/>
  <c r="G120" i="1"/>
  <c r="H120" i="1"/>
  <c r="J120" i="1"/>
  <c r="K120" i="1"/>
  <c r="G121" i="1"/>
  <c r="H121" i="1"/>
  <c r="J121" i="1"/>
  <c r="K121" i="1"/>
  <c r="E124" i="1"/>
  <c r="F124" i="1"/>
  <c r="G124" i="1"/>
  <c r="H124" i="1"/>
  <c r="J124" i="1"/>
  <c r="K124" i="1"/>
  <c r="M124" i="1"/>
  <c r="E127" i="1"/>
  <c r="F127" i="1"/>
  <c r="E128" i="1"/>
  <c r="F128" i="1"/>
  <c r="E129" i="1"/>
  <c r="F129" i="1"/>
  <c r="E130" i="1"/>
  <c r="F130" i="1"/>
  <c r="M131" i="1"/>
  <c r="N131" i="1"/>
  <c r="M132" i="1"/>
  <c r="N132" i="1"/>
  <c r="E133" i="1"/>
  <c r="F133" i="1"/>
  <c r="G133" i="1"/>
  <c r="H133" i="1"/>
  <c r="J133" i="1"/>
  <c r="K133" i="1"/>
  <c r="E134" i="1"/>
  <c r="F134" i="1"/>
  <c r="G134" i="1"/>
  <c r="H134" i="1"/>
  <c r="J134" i="1"/>
  <c r="K134" i="1"/>
  <c r="M134" i="1"/>
  <c r="N134" i="1"/>
  <c r="E135" i="1"/>
  <c r="F135" i="1"/>
  <c r="G135" i="1"/>
  <c r="H135" i="1"/>
  <c r="J135" i="1"/>
  <c r="K135" i="1"/>
  <c r="E136" i="1"/>
  <c r="F136" i="1"/>
  <c r="G136" i="1"/>
  <c r="H136" i="1"/>
  <c r="J136" i="1"/>
  <c r="K136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C141" i="1"/>
  <c r="E141" i="1"/>
  <c r="F141" i="1"/>
  <c r="G141" i="1"/>
  <c r="H141" i="1"/>
  <c r="J141" i="1"/>
  <c r="K141" i="1"/>
  <c r="C144" i="1"/>
  <c r="D144" i="1"/>
  <c r="G144" i="1"/>
  <c r="H144" i="1"/>
  <c r="J144" i="1"/>
  <c r="K144" i="1"/>
  <c r="M144" i="1"/>
  <c r="N144" i="1"/>
  <c r="K148" i="1"/>
  <c r="K149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<sst xmlns="http://schemas.openxmlformats.org/spreadsheetml/2006/main" count="910" uniqueCount="171">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</sst>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5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9" sqref="E79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115</v>
      </c>
      <c r="H1" s="11" t="s">
        <v>116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37207</v>
      </c>
      <c r="F3" s="12">
        <v>37204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120</v>
      </c>
      <c r="C5" s="67">
        <v>2390853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2390853</v>
      </c>
      <c r="K5" s="7">
        <f>J5</f>
        <v>2390853</v>
      </c>
      <c r="L5" s="3">
        <v>1</v>
      </c>
    </row>
    <row r="6" spans="1:15" x14ac:dyDescent="0.2">
      <c r="A6" s="30" t="s">
        <v>52</v>
      </c>
      <c r="B6" s="2" t="s">
        <v>91</v>
      </c>
      <c r="C6" s="13">
        <v>1000</v>
      </c>
      <c r="D6" s="13" t="s">
        <v>52</v>
      </c>
      <c r="E6" s="1">
        <v>14.24</v>
      </c>
      <c r="F6" s="1">
        <v>14.24</v>
      </c>
      <c r="G6" s="7">
        <f>C6*(E6-F6)</f>
        <v>0</v>
      </c>
      <c r="H6" s="7">
        <f>C6*(E6-F6)</f>
        <v>0</v>
      </c>
      <c r="J6" s="7">
        <f>C6*E6</f>
        <v>14240</v>
      </c>
      <c r="K6" s="7">
        <f>J6</f>
        <v>14240</v>
      </c>
      <c r="L6" s="3">
        <v>2</v>
      </c>
    </row>
    <row r="7" spans="1:15" x14ac:dyDescent="0.2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-5000</v>
      </c>
      <c r="D9" s="13" t="s">
        <v>52</v>
      </c>
      <c r="E9" s="1">
        <v>95.51</v>
      </c>
      <c r="F9" s="1">
        <v>96.32</v>
      </c>
      <c r="G9" s="7">
        <f>C9*(E9-F9)</f>
        <v>4049.9999999999404</v>
      </c>
      <c r="H9" s="7">
        <f>C9*(E9-F9)</f>
        <v>4049.9999999999404</v>
      </c>
      <c r="J9" s="7">
        <f>G9</f>
        <v>4049.9999999999404</v>
      </c>
      <c r="K9" s="7">
        <f t="shared" ref="K9:K14" si="0">J9</f>
        <v>4049.9999999999404</v>
      </c>
      <c r="L9" s="3">
        <v>1</v>
      </c>
    </row>
    <row r="10" spans="1:15" x14ac:dyDescent="0.2">
      <c r="A10" s="30"/>
      <c r="B10" s="62" t="s">
        <v>166</v>
      </c>
      <c r="C10" s="13">
        <v>-20000</v>
      </c>
      <c r="D10" s="13" t="s">
        <v>52</v>
      </c>
      <c r="E10" s="1">
        <v>112.07</v>
      </c>
      <c r="F10" s="1">
        <v>112.72</v>
      </c>
      <c r="G10" s="7">
        <f>C10*(E10-F10)</f>
        <v>13000.000000000113</v>
      </c>
      <c r="H10" s="7">
        <f>C10*(E10-F10)</f>
        <v>13000.000000000113</v>
      </c>
      <c r="J10" s="7">
        <f>G10</f>
        <v>13000.000000000113</v>
      </c>
      <c r="K10" s="7">
        <f t="shared" si="0"/>
        <v>13000.000000000113</v>
      </c>
      <c r="L10" s="3">
        <v>1</v>
      </c>
    </row>
    <row r="11" spans="1:15" x14ac:dyDescent="0.2">
      <c r="A11" s="30"/>
      <c r="B11" s="62" t="s">
        <v>167</v>
      </c>
      <c r="C11" s="13">
        <v>-7000</v>
      </c>
      <c r="D11" s="13" t="s">
        <v>52</v>
      </c>
      <c r="E11" s="1">
        <v>38.049999999999997</v>
      </c>
      <c r="F11" s="1">
        <v>37.729999999999997</v>
      </c>
      <c r="G11" s="7">
        <f>C11*(E11-F11)</f>
        <v>-2240.0000000000018</v>
      </c>
      <c r="H11" s="7">
        <f>C11*(E11-F11)</f>
        <v>-2240.0000000000018</v>
      </c>
      <c r="J11" s="7">
        <f>G11</f>
        <v>-2240.0000000000018</v>
      </c>
      <c r="K11" s="7">
        <f t="shared" si="0"/>
        <v>-2240.0000000000018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162</v>
      </c>
      <c r="C14" s="13">
        <v>-19000</v>
      </c>
      <c r="E14" s="1">
        <v>0.05</v>
      </c>
      <c r="F14" s="1">
        <v>0.1</v>
      </c>
      <c r="G14" s="7">
        <f>(E14-F14)*C14</f>
        <v>950</v>
      </c>
      <c r="H14" s="7">
        <f>C14*(E14-F14)</f>
        <v>950</v>
      </c>
      <c r="J14" s="7">
        <f>G14</f>
        <v>950</v>
      </c>
      <c r="K14" s="7">
        <f t="shared" si="0"/>
        <v>950</v>
      </c>
      <c r="L14" s="3">
        <v>1</v>
      </c>
      <c r="M14" s="80">
        <f>C14*E14*-1</f>
        <v>950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2420853</v>
      </c>
      <c r="N16" s="80">
        <v>2405286</v>
      </c>
      <c r="O16" s="67">
        <f>M16-N16</f>
        <v>15567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118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119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15.4</v>
      </c>
      <c r="F22" s="1">
        <v>15.38</v>
      </c>
      <c r="G22" s="7">
        <f t="shared" ref="G22:G27" si="1">C22*(E22-F22)</f>
        <v>17.999999999999616</v>
      </c>
      <c r="H22" s="7">
        <f t="shared" ref="H22:H27" si="2">C22*(E22-F22)</f>
        <v>17.999999999999616</v>
      </c>
      <c r="I22" s="1"/>
      <c r="J22" s="7">
        <f t="shared" ref="J22:J27" si="3">C22*E22</f>
        <v>13860</v>
      </c>
      <c r="K22" s="7">
        <f t="shared" ref="K22:K33" si="4">J22</f>
        <v>13860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16.7</v>
      </c>
      <c r="F23" s="1">
        <v>16.899999999999999</v>
      </c>
      <c r="G23" s="7">
        <f t="shared" si="1"/>
        <v>-19.999999999999929</v>
      </c>
      <c r="H23" s="7">
        <f t="shared" si="2"/>
        <v>-19.999999999999929</v>
      </c>
      <c r="I23" s="1"/>
      <c r="J23" s="7">
        <f t="shared" si="3"/>
        <v>1670</v>
      </c>
      <c r="K23" s="7">
        <f t="shared" si="4"/>
        <v>1670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42.65</v>
      </c>
      <c r="F24" s="1">
        <v>42.8</v>
      </c>
      <c r="G24" s="7">
        <f t="shared" si="1"/>
        <v>-12.449999999999882</v>
      </c>
      <c r="H24" s="7">
        <f t="shared" si="2"/>
        <v>-12.449999999999882</v>
      </c>
      <c r="I24" s="1"/>
      <c r="J24" s="7">
        <f t="shared" si="3"/>
        <v>3539.95</v>
      </c>
      <c r="K24" s="7">
        <f t="shared" si="4"/>
        <v>3539.95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10</v>
      </c>
      <c r="F25" s="1">
        <v>10.14</v>
      </c>
      <c r="G25" s="7">
        <f t="shared" si="1"/>
        <v>-23.660000000000096</v>
      </c>
      <c r="H25" s="7">
        <f t="shared" si="2"/>
        <v>-23.660000000000096</v>
      </c>
      <c r="I25" s="1"/>
      <c r="J25" s="7">
        <f t="shared" si="3"/>
        <v>1690</v>
      </c>
      <c r="K25" s="7">
        <f t="shared" si="4"/>
        <v>1690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">
      <c r="A27" s="8"/>
      <c r="B27" s="62" t="s">
        <v>139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130</v>
      </c>
      <c r="C30" s="13">
        <v>267.94459999999998</v>
      </c>
      <c r="D30" s="13">
        <f>C30*1</f>
        <v>267.94459999999998</v>
      </c>
      <c r="E30" s="16">
        <v>9.24</v>
      </c>
      <c r="F30" s="16">
        <v>8.6300000000000008</v>
      </c>
      <c r="G30" s="7">
        <f>C30*(E30-F30)</f>
        <v>163.44620599999985</v>
      </c>
      <c r="H30" s="7">
        <f>C30*(E30-F30)</f>
        <v>163.44620599999985</v>
      </c>
      <c r="I30" s="3"/>
      <c r="J30" s="7">
        <f>C30*E30</f>
        <v>2475.8081039999997</v>
      </c>
      <c r="K30" s="7">
        <f t="shared" si="4"/>
        <v>2475.8081039999997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117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130</v>
      </c>
      <c r="C36" s="13">
        <v>96.793000000000006</v>
      </c>
      <c r="D36" s="13">
        <f>C36*1</f>
        <v>96.793000000000006</v>
      </c>
      <c r="E36" s="1">
        <f>E$30</f>
        <v>9.24</v>
      </c>
      <c r="F36" s="1">
        <f>F$30</f>
        <v>8.6300000000000008</v>
      </c>
      <c r="G36" s="7">
        <f>C36*(E36-F36)</f>
        <v>59.043729999999947</v>
      </c>
      <c r="H36" s="7">
        <f>C36*(E36-F36)</f>
        <v>59.043729999999947</v>
      </c>
      <c r="I36" s="1"/>
      <c r="J36" s="7">
        <f>C36*E36</f>
        <v>894.36732000000006</v>
      </c>
      <c r="K36" s="7">
        <f>J36</f>
        <v>894.36732000000006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130</v>
      </c>
      <c r="C39" s="98">
        <v>8267</v>
      </c>
      <c r="D39" s="98">
        <v>8267</v>
      </c>
      <c r="E39" s="1">
        <f>E$30</f>
        <v>9.24</v>
      </c>
      <c r="F39" s="1">
        <f>F$30</f>
        <v>8.6300000000000008</v>
      </c>
      <c r="G39" s="99">
        <f>C39*(E39-F39)</f>
        <v>5042.8699999999953</v>
      </c>
      <c r="H39" s="99">
        <f>C39*(E39-F39)*0.5895</f>
        <v>2972.7718649999974</v>
      </c>
      <c r="I39" s="100" t="s">
        <v>52</v>
      </c>
      <c r="J39" s="99">
        <f>C39*E39*0.9</f>
        <v>68748.372000000003</v>
      </c>
      <c r="K39" s="99">
        <f>J39*0.614</f>
        <v>42211.500408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">
      <c r="A42" s="8"/>
      <c r="B42" s="2" t="s">
        <v>127</v>
      </c>
      <c r="C42" s="13">
        <v>1307.5862</v>
      </c>
      <c r="D42" s="13">
        <f>C42*1</f>
        <v>1307.5862</v>
      </c>
      <c r="E42" s="1">
        <f t="shared" ref="E42:F44" si="5">E$30</f>
        <v>9.24</v>
      </c>
      <c r="F42" s="1">
        <f t="shared" si="5"/>
        <v>8.6300000000000008</v>
      </c>
      <c r="G42" s="7">
        <f>C42*(E42-F42)</f>
        <v>797.62758199999928</v>
      </c>
      <c r="H42" s="7">
        <f>C42*(E42-F42)</f>
        <v>797.62758199999928</v>
      </c>
      <c r="I42" s="1"/>
      <c r="J42" s="7">
        <f>C42*E42</f>
        <v>12082.096487999999</v>
      </c>
      <c r="K42" s="7">
        <f>J42</f>
        <v>12082.096487999999</v>
      </c>
      <c r="L42" s="3">
        <v>2</v>
      </c>
      <c r="M42" s="80" t="s">
        <v>52</v>
      </c>
    </row>
    <row r="43" spans="1:15" x14ac:dyDescent="0.2">
      <c r="A43" s="8"/>
      <c r="B43" s="2" t="s">
        <v>128</v>
      </c>
      <c r="C43" s="13">
        <v>178.0334</v>
      </c>
      <c r="D43" s="13">
        <f>C43*1</f>
        <v>178.0334</v>
      </c>
      <c r="E43" s="1">
        <f t="shared" si="5"/>
        <v>9.24</v>
      </c>
      <c r="F43" s="1">
        <f t="shared" si="5"/>
        <v>8.6300000000000008</v>
      </c>
      <c r="G43" s="7">
        <f>C43*(E43-F43)</f>
        <v>108.6003739999999</v>
      </c>
      <c r="H43" s="7">
        <f>C43*(E43-F43)</f>
        <v>108.6003739999999</v>
      </c>
      <c r="I43" s="1"/>
      <c r="J43" s="7">
        <f>C43*E43</f>
        <v>1645.0286160000001</v>
      </c>
      <c r="K43" s="7">
        <f>J43</f>
        <v>1645.0286160000001</v>
      </c>
      <c r="L43" s="3">
        <v>2</v>
      </c>
      <c r="M43" s="80" t="s">
        <v>52</v>
      </c>
    </row>
    <row r="44" spans="1:15" x14ac:dyDescent="0.2">
      <c r="A44" s="8"/>
      <c r="B44" s="2" t="s">
        <v>126</v>
      </c>
      <c r="C44" s="13">
        <v>402.85410000000002</v>
      </c>
      <c r="D44" s="13">
        <f>C44*1</f>
        <v>402.85410000000002</v>
      </c>
      <c r="E44" s="1">
        <f t="shared" si="5"/>
        <v>9.24</v>
      </c>
      <c r="F44" s="1">
        <f t="shared" si="5"/>
        <v>8.6300000000000008</v>
      </c>
      <c r="G44" s="7">
        <f>C44*(E44-F44)</f>
        <v>245.74100099999978</v>
      </c>
      <c r="H44" s="7">
        <f>C44*(E44-F44)</f>
        <v>245.74100099999978</v>
      </c>
      <c r="I44" s="1"/>
      <c r="J44" s="7">
        <f>C44*E44</f>
        <v>3722.3718840000001</v>
      </c>
      <c r="K44" s="7">
        <f>J44</f>
        <v>3722.3718840000001</v>
      </c>
      <c r="L44" s="3">
        <v>2</v>
      </c>
      <c r="M44" s="80" t="s">
        <v>52</v>
      </c>
    </row>
    <row r="45" spans="1:15" x14ac:dyDescent="0.2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156</v>
      </c>
      <c r="C47" s="13">
        <v>3262</v>
      </c>
      <c r="D47" s="13" t="s">
        <v>52</v>
      </c>
      <c r="E47" s="1">
        <f t="shared" ref="E47:F53" si="6">E$30</f>
        <v>9.24</v>
      </c>
      <c r="F47" s="1">
        <f t="shared" si="6"/>
        <v>8.6300000000000008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155</v>
      </c>
      <c r="C48" s="13">
        <v>1270</v>
      </c>
      <c r="D48" s="13" t="s">
        <v>52</v>
      </c>
      <c r="E48" s="1">
        <f t="shared" si="6"/>
        <v>9.24</v>
      </c>
      <c r="F48" s="1">
        <f t="shared" si="6"/>
        <v>8.6300000000000008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150</v>
      </c>
      <c r="C49" s="13">
        <v>381</v>
      </c>
      <c r="D49" s="13" t="s">
        <v>52</v>
      </c>
      <c r="E49" s="1">
        <f t="shared" si="6"/>
        <v>9.24</v>
      </c>
      <c r="F49" s="1">
        <f t="shared" si="6"/>
        <v>8.6300000000000008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142</v>
      </c>
      <c r="C50" s="13">
        <v>694</v>
      </c>
      <c r="D50" s="13" t="s">
        <v>52</v>
      </c>
      <c r="E50" s="1">
        <f t="shared" si="6"/>
        <v>9.24</v>
      </c>
      <c r="F50" s="1">
        <f t="shared" si="6"/>
        <v>8.6300000000000008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147</v>
      </c>
      <c r="C51" s="13">
        <v>348</v>
      </c>
      <c r="D51" s="13" t="s">
        <v>52</v>
      </c>
      <c r="E51" s="1">
        <f t="shared" si="6"/>
        <v>9.24</v>
      </c>
      <c r="F51" s="1">
        <f t="shared" si="6"/>
        <v>8.6300000000000008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153</v>
      </c>
      <c r="C52" s="13">
        <v>417</v>
      </c>
      <c r="D52" s="13" t="s">
        <v>52</v>
      </c>
      <c r="E52" s="1">
        <f t="shared" si="6"/>
        <v>9.24</v>
      </c>
      <c r="F52" s="1">
        <f t="shared" si="6"/>
        <v>8.6300000000000008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163</v>
      </c>
      <c r="C53" s="13">
        <v>610</v>
      </c>
      <c r="D53" s="13" t="s">
        <v>52</v>
      </c>
      <c r="E53" s="1">
        <f t="shared" si="6"/>
        <v>9.24</v>
      </c>
      <c r="F53" s="1">
        <f t="shared" si="6"/>
        <v>8.6300000000000008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170</v>
      </c>
      <c r="C56" s="13">
        <v>2317</v>
      </c>
      <c r="D56" s="13">
        <f>C56*1</f>
        <v>2317</v>
      </c>
      <c r="E56" s="1">
        <f>E$30</f>
        <v>9.24</v>
      </c>
      <c r="F56" s="1">
        <f>F$30</f>
        <v>8.6300000000000008</v>
      </c>
      <c r="G56" s="7">
        <f>C56*(E56-F56)</f>
        <v>1413.3699999999988</v>
      </c>
      <c r="H56" s="7">
        <f>C56*(E56-F56)*0.5895</f>
        <v>833.18161499999928</v>
      </c>
      <c r="I56" s="1"/>
      <c r="J56" s="7">
        <f>C56*E56</f>
        <v>21409.08</v>
      </c>
      <c r="K56" s="7">
        <f>J56*0.614</f>
        <v>13145.175120000002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129</v>
      </c>
      <c r="C59" s="13">
        <v>1924</v>
      </c>
      <c r="D59" s="13">
        <f>+C59*1</f>
        <v>1924</v>
      </c>
      <c r="E59" s="1">
        <f>E$30</f>
        <v>9.24</v>
      </c>
      <c r="F59" s="1">
        <f>F$30</f>
        <v>8.6300000000000008</v>
      </c>
      <c r="G59" s="7">
        <f>C59*(E59-F59)</f>
        <v>1173.639999999999</v>
      </c>
      <c r="H59" s="7">
        <f>C59*(E59-F59)*0.5895</f>
        <v>691.86077999999941</v>
      </c>
      <c r="I59" s="1"/>
      <c r="J59" s="7">
        <f>C59*E59</f>
        <v>17777.760000000002</v>
      </c>
      <c r="K59" s="7">
        <f>J59*0.614</f>
        <v>10915.544640000002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164</v>
      </c>
      <c r="C62" s="80">
        <v>3005514.09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6" si="11">C62*(E62-F62)</f>
        <v>0</v>
      </c>
      <c r="I62" s="1"/>
      <c r="J62" s="7">
        <f>C62*E62</f>
        <v>3005514.09</v>
      </c>
      <c r="K62" s="7">
        <f t="shared" ref="K62:K77" si="12">J62</f>
        <v>3005514.09</v>
      </c>
      <c r="L62" s="3">
        <v>1</v>
      </c>
    </row>
    <row r="63" spans="1:16" x14ac:dyDescent="0.2">
      <c r="A63" s="30" t="s">
        <v>52</v>
      </c>
      <c r="B63" s="2" t="s">
        <v>169</v>
      </c>
      <c r="C63" s="13">
        <v>-5000</v>
      </c>
      <c r="D63" s="13" t="s">
        <v>52</v>
      </c>
      <c r="E63" s="1">
        <v>0.2</v>
      </c>
      <c r="F63" s="1">
        <v>0.25</v>
      </c>
      <c r="G63" s="7">
        <f>(E63-F63)*C63</f>
        <v>249.99999999999994</v>
      </c>
      <c r="H63" s="7">
        <f>C63*(E63-F63)</f>
        <v>249.99999999999994</v>
      </c>
      <c r="J63" s="7">
        <f>G63</f>
        <v>249.99999999999994</v>
      </c>
      <c r="K63" s="7">
        <f>J63</f>
        <v>249.99999999999994</v>
      </c>
      <c r="L63" s="3">
        <v>1</v>
      </c>
      <c r="M63" s="80">
        <f>C63*E63*-1</f>
        <v>1000</v>
      </c>
    </row>
    <row r="64" spans="1:16" x14ac:dyDescent="0.2">
      <c r="A64" s="30" t="s">
        <v>52</v>
      </c>
      <c r="B64" s="2" t="s">
        <v>161</v>
      </c>
      <c r="C64" s="13">
        <v>-15000</v>
      </c>
      <c r="D64" s="13" t="s">
        <v>52</v>
      </c>
      <c r="E64" s="1">
        <v>0.05</v>
      </c>
      <c r="F64" s="1">
        <v>0.15</v>
      </c>
      <c r="G64" s="7">
        <f>(E64-F64)*C64</f>
        <v>1499.9999999999998</v>
      </c>
      <c r="H64" s="7">
        <f>C64*(E64-F64)</f>
        <v>1499.9999999999998</v>
      </c>
      <c r="J64" s="7">
        <f>G64</f>
        <v>1499.9999999999998</v>
      </c>
      <c r="K64" s="7">
        <f>J64</f>
        <v>1499.9999999999998</v>
      </c>
      <c r="L64" s="3">
        <v>1</v>
      </c>
      <c r="M64" s="80">
        <f>C64*E64*-1</f>
        <v>750</v>
      </c>
    </row>
    <row r="65" spans="1:16" x14ac:dyDescent="0.2">
      <c r="A65" s="30" t="s">
        <v>52</v>
      </c>
      <c r="B65" s="2" t="s">
        <v>159</v>
      </c>
      <c r="C65" s="13">
        <v>-7500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375</v>
      </c>
    </row>
    <row r="66" spans="1:16" x14ac:dyDescent="0.2">
      <c r="A66" s="30" t="s">
        <v>52</v>
      </c>
      <c r="B66" s="2" t="s">
        <v>131</v>
      </c>
      <c r="C66" s="13">
        <v>-5000</v>
      </c>
      <c r="D66" s="13" t="s">
        <v>52</v>
      </c>
      <c r="E66" s="1">
        <v>0.05</v>
      </c>
      <c r="F66" s="1">
        <v>0.1</v>
      </c>
      <c r="G66" s="7">
        <f t="shared" ref="G66:G76" si="13">(E66-F66)*C66</f>
        <v>250</v>
      </c>
      <c r="H66" s="7">
        <f t="shared" si="11"/>
        <v>250</v>
      </c>
      <c r="J66" s="7">
        <f t="shared" ref="J66:J75" si="14">G66</f>
        <v>250</v>
      </c>
      <c r="K66" s="7">
        <f t="shared" si="12"/>
        <v>250</v>
      </c>
      <c r="L66" s="3">
        <v>1</v>
      </c>
      <c r="M66" s="80">
        <f t="shared" ref="M66:M76" si="15">C66*E66*-1</f>
        <v>250</v>
      </c>
    </row>
    <row r="67" spans="1:16" x14ac:dyDescent="0.2">
      <c r="A67" s="30" t="s">
        <v>52</v>
      </c>
      <c r="B67" s="2" t="s">
        <v>132</v>
      </c>
      <c r="C67" s="13">
        <v>-15000</v>
      </c>
      <c r="D67" s="13" t="s">
        <v>52</v>
      </c>
      <c r="E67" s="1">
        <v>0.05</v>
      </c>
      <c r="F67" s="1">
        <v>0.05</v>
      </c>
      <c r="G67" s="7">
        <f t="shared" si="13"/>
        <v>0</v>
      </c>
      <c r="H67" s="7">
        <f t="shared" si="11"/>
        <v>0</v>
      </c>
      <c r="J67" s="7">
        <f t="shared" si="14"/>
        <v>0</v>
      </c>
      <c r="K67" s="7">
        <f t="shared" si="12"/>
        <v>0</v>
      </c>
      <c r="L67" s="3">
        <v>1</v>
      </c>
      <c r="M67" s="80">
        <f t="shared" si="15"/>
        <v>750</v>
      </c>
      <c r="N67" s="80" t="s">
        <v>52</v>
      </c>
    </row>
    <row r="68" spans="1:16" x14ac:dyDescent="0.2">
      <c r="A68" s="30" t="s">
        <v>52</v>
      </c>
      <c r="B68" s="2" t="s">
        <v>168</v>
      </c>
      <c r="C68" s="13">
        <v>-2500</v>
      </c>
      <c r="D68" s="13" t="s">
        <v>52</v>
      </c>
      <c r="E68" s="1">
        <v>0.05</v>
      </c>
      <c r="F68" s="1">
        <v>0.25</v>
      </c>
      <c r="G68" s="7">
        <f>(E68-F68)*C68</f>
        <v>500</v>
      </c>
      <c r="H68" s="7">
        <f>C68*(E68-F68)</f>
        <v>500</v>
      </c>
      <c r="J68" s="7">
        <f>G68</f>
        <v>500</v>
      </c>
      <c r="K68" s="7">
        <f>J68</f>
        <v>500</v>
      </c>
      <c r="L68" s="3">
        <v>1</v>
      </c>
      <c r="M68" s="80">
        <f>C68*E68*-1</f>
        <v>125</v>
      </c>
    </row>
    <row r="69" spans="1:16" x14ac:dyDescent="0.2">
      <c r="A69" s="30" t="s">
        <v>52</v>
      </c>
      <c r="B69" s="2" t="s">
        <v>148</v>
      </c>
      <c r="C69" s="13">
        <v>-5000</v>
      </c>
      <c r="D69" s="13" t="s">
        <v>52</v>
      </c>
      <c r="E69" s="1">
        <v>0.17499999999999999</v>
      </c>
      <c r="F69" s="1">
        <v>0.17499999999999999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>
        <f>C69*E69*-1</f>
        <v>875</v>
      </c>
    </row>
    <row r="70" spans="1:16" x14ac:dyDescent="0.2">
      <c r="A70" s="30" t="s">
        <v>52</v>
      </c>
      <c r="B70" s="2" t="s">
        <v>133</v>
      </c>
      <c r="C70" s="13">
        <v>-15000</v>
      </c>
      <c r="D70" s="13" t="s">
        <v>52</v>
      </c>
      <c r="E70" s="1">
        <v>0.25</v>
      </c>
      <c r="F70" s="1">
        <v>0.25</v>
      </c>
      <c r="G70" s="7">
        <f t="shared" si="13"/>
        <v>0</v>
      </c>
      <c r="H70" s="7">
        <f t="shared" si="11"/>
        <v>0</v>
      </c>
      <c r="J70" s="7">
        <f t="shared" si="14"/>
        <v>0</v>
      </c>
      <c r="K70" s="7">
        <f t="shared" si="12"/>
        <v>0</v>
      </c>
      <c r="L70" s="3">
        <v>1</v>
      </c>
      <c r="M70" s="80">
        <f t="shared" si="15"/>
        <v>3750</v>
      </c>
      <c r="O70" s="5" t="s">
        <v>52</v>
      </c>
    </row>
    <row r="71" spans="1:16" x14ac:dyDescent="0.2">
      <c r="A71" s="30" t="s">
        <v>52</v>
      </c>
      <c r="B71" s="2" t="s">
        <v>144</v>
      </c>
      <c r="C71" s="13">
        <v>-15000</v>
      </c>
      <c r="D71" s="13" t="s">
        <v>52</v>
      </c>
      <c r="E71" s="1">
        <v>0.25</v>
      </c>
      <c r="F71" s="1">
        <v>0.25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>
        <f>C71*E71*-1</f>
        <v>3750</v>
      </c>
      <c r="O71" s="5" t="s">
        <v>52</v>
      </c>
    </row>
    <row r="72" spans="1:16" x14ac:dyDescent="0.2">
      <c r="A72" s="30" t="s">
        <v>52</v>
      </c>
      <c r="B72" s="2" t="s">
        <v>134</v>
      </c>
      <c r="C72" s="13">
        <v>-10000</v>
      </c>
      <c r="D72" s="13" t="s">
        <v>52</v>
      </c>
      <c r="E72" s="1">
        <v>0.05</v>
      </c>
      <c r="F72" s="1">
        <v>0.25</v>
      </c>
      <c r="G72" s="7">
        <f t="shared" si="13"/>
        <v>2000</v>
      </c>
      <c r="H72" s="7">
        <f t="shared" si="11"/>
        <v>2000</v>
      </c>
      <c r="J72" s="7">
        <f>G72</f>
        <v>2000</v>
      </c>
      <c r="K72" s="7">
        <f t="shared" si="12"/>
        <v>2000</v>
      </c>
      <c r="L72" s="3">
        <v>1</v>
      </c>
      <c r="M72" s="80">
        <f t="shared" si="15"/>
        <v>500</v>
      </c>
      <c r="O72" s="7" t="s">
        <v>52</v>
      </c>
    </row>
    <row r="73" spans="1:16" x14ac:dyDescent="0.2">
      <c r="A73" s="30" t="s">
        <v>52</v>
      </c>
      <c r="B73" s="2" t="s">
        <v>135</v>
      </c>
      <c r="C73" s="13">
        <v>-10000</v>
      </c>
      <c r="D73" s="13" t="s">
        <v>52</v>
      </c>
      <c r="E73" s="1">
        <v>0.05</v>
      </c>
      <c r="F73" s="1">
        <v>0.25</v>
      </c>
      <c r="G73" s="7">
        <f t="shared" si="13"/>
        <v>2000</v>
      </c>
      <c r="H73" s="7">
        <f t="shared" si="11"/>
        <v>2000</v>
      </c>
      <c r="J73" s="7">
        <f t="shared" si="14"/>
        <v>2000</v>
      </c>
      <c r="K73" s="7">
        <f t="shared" si="12"/>
        <v>2000</v>
      </c>
      <c r="L73" s="3">
        <v>1</v>
      </c>
      <c r="M73" s="80">
        <f t="shared" si="15"/>
        <v>500</v>
      </c>
      <c r="O73" s="7" t="s">
        <v>52</v>
      </c>
    </row>
    <row r="74" spans="1:16" x14ac:dyDescent="0.2">
      <c r="A74" s="30" t="s">
        <v>52</v>
      </c>
      <c r="B74" s="2" t="s">
        <v>136</v>
      </c>
      <c r="C74" s="13">
        <v>-10000</v>
      </c>
      <c r="D74" s="13" t="s">
        <v>52</v>
      </c>
      <c r="E74" s="1">
        <v>0.05</v>
      </c>
      <c r="F74" s="1">
        <v>0.2</v>
      </c>
      <c r="G74" s="7">
        <f t="shared" si="13"/>
        <v>1500.0000000000002</v>
      </c>
      <c r="H74" s="7">
        <f t="shared" si="11"/>
        <v>1500.0000000000002</v>
      </c>
      <c r="J74" s="7">
        <f t="shared" si="14"/>
        <v>1500.0000000000002</v>
      </c>
      <c r="K74" s="7">
        <f t="shared" si="12"/>
        <v>1500.0000000000002</v>
      </c>
      <c r="L74" s="3">
        <v>1</v>
      </c>
      <c r="M74" s="80">
        <f t="shared" si="15"/>
        <v>500</v>
      </c>
      <c r="O74" s="7" t="s">
        <v>52</v>
      </c>
    </row>
    <row r="75" spans="1:16" x14ac:dyDescent="0.2">
      <c r="A75" s="30" t="s">
        <v>52</v>
      </c>
      <c r="B75" s="2" t="s">
        <v>137</v>
      </c>
      <c r="C75" s="13">
        <v>-10000</v>
      </c>
      <c r="D75" s="13" t="s">
        <v>52</v>
      </c>
      <c r="E75" s="1">
        <v>0.05</v>
      </c>
      <c r="F75" s="1">
        <v>0.2</v>
      </c>
      <c r="G75" s="7">
        <f t="shared" si="13"/>
        <v>1500.0000000000002</v>
      </c>
      <c r="H75" s="7">
        <f t="shared" si="11"/>
        <v>1500.0000000000002</v>
      </c>
      <c r="J75" s="7">
        <f t="shared" si="14"/>
        <v>1500.0000000000002</v>
      </c>
      <c r="K75" s="7">
        <f t="shared" si="12"/>
        <v>1500.0000000000002</v>
      </c>
      <c r="L75" s="3">
        <v>1</v>
      </c>
      <c r="M75" s="92">
        <f t="shared" si="15"/>
        <v>500</v>
      </c>
      <c r="O75" s="80" t="s">
        <v>52</v>
      </c>
    </row>
    <row r="76" spans="1:16" ht="13.5" thickBot="1" x14ac:dyDescent="0.25">
      <c r="A76" s="30" t="s">
        <v>52</v>
      </c>
      <c r="B76" s="2" t="s">
        <v>138</v>
      </c>
      <c r="C76" s="13">
        <v>-5000</v>
      </c>
      <c r="D76" s="13" t="s">
        <v>52</v>
      </c>
      <c r="E76" s="1">
        <v>0.05</v>
      </c>
      <c r="F76" s="1">
        <v>0.25</v>
      </c>
      <c r="G76" s="7">
        <f t="shared" si="13"/>
        <v>1000</v>
      </c>
      <c r="H76" s="7">
        <f t="shared" si="11"/>
        <v>1000</v>
      </c>
      <c r="J76" s="7">
        <f>G76</f>
        <v>1000</v>
      </c>
      <c r="K76" s="7">
        <f t="shared" si="12"/>
        <v>1000</v>
      </c>
      <c r="L76" s="3">
        <v>1</v>
      </c>
      <c r="M76" s="93">
        <f t="shared" si="15"/>
        <v>250</v>
      </c>
      <c r="N76" s="80" t="s">
        <v>52</v>
      </c>
      <c r="O76" s="7" t="s">
        <v>52</v>
      </c>
    </row>
    <row r="77" spans="1:16" x14ac:dyDescent="0.2">
      <c r="A77" s="8" t="s">
        <v>52</v>
      </c>
      <c r="C77" s="29" t="s">
        <v>52</v>
      </c>
      <c r="D77" s="13" t="s">
        <v>52</v>
      </c>
      <c r="E77" s="1"/>
      <c r="F77" s="1"/>
      <c r="G77" s="7" t="s">
        <v>52</v>
      </c>
      <c r="H77" s="7" t="s">
        <v>52</v>
      </c>
      <c r="I77" s="1"/>
      <c r="J77" s="7" t="str">
        <f>G77</f>
        <v xml:space="preserve"> </v>
      </c>
      <c r="K77" s="7" t="str">
        <f t="shared" si="12"/>
        <v xml:space="preserve"> </v>
      </c>
      <c r="M77" s="80">
        <f>SUM(M63:M76)</f>
        <v>13875</v>
      </c>
      <c r="N77" s="80">
        <v>1750</v>
      </c>
      <c r="O77" s="80">
        <v>3005514.09</v>
      </c>
      <c r="P77" s="2" t="s">
        <v>52</v>
      </c>
    </row>
    <row r="78" spans="1:16" x14ac:dyDescent="0.2">
      <c r="A78" s="8" t="s">
        <v>57</v>
      </c>
      <c r="B78" s="5" t="s">
        <v>22</v>
      </c>
      <c r="C78" s="13" t="s">
        <v>52</v>
      </c>
      <c r="D78" s="13" t="s">
        <v>52</v>
      </c>
      <c r="E78" s="14"/>
      <c r="F78" s="14"/>
      <c r="G78" s="14" t="s">
        <v>52</v>
      </c>
      <c r="H78" s="7" t="s">
        <v>52</v>
      </c>
      <c r="I78" s="3"/>
      <c r="K78" s="7" t="s">
        <v>52</v>
      </c>
      <c r="M78" s="80" t="s">
        <v>52</v>
      </c>
      <c r="N78" s="80">
        <f>SUM(H62:H76)</f>
        <v>10500</v>
      </c>
      <c r="O78" s="80">
        <f>SUM(K62:K76)</f>
        <v>3016014.09</v>
      </c>
    </row>
    <row r="79" spans="1:16" x14ac:dyDescent="0.2">
      <c r="A79" s="30" t="s">
        <v>52</v>
      </c>
      <c r="B79" s="2" t="s">
        <v>62</v>
      </c>
      <c r="C79" s="13">
        <v>387</v>
      </c>
      <c r="D79" s="13" t="s">
        <v>52</v>
      </c>
      <c r="E79" s="16">
        <v>39.43</v>
      </c>
      <c r="F79" s="16">
        <v>40.409999999999997</v>
      </c>
      <c r="G79" s="7">
        <f>C79*(E79-F79)</f>
        <v>-379.2599999999988</v>
      </c>
      <c r="H79" s="7">
        <f>C79*(E79-F79)</f>
        <v>-379.2599999999988</v>
      </c>
      <c r="I79" s="1"/>
      <c r="J79" s="7">
        <f>C79*E79</f>
        <v>15259.41</v>
      </c>
      <c r="K79" s="7">
        <f>J79</f>
        <v>15259.41</v>
      </c>
      <c r="L79" s="3">
        <v>2</v>
      </c>
      <c r="M79" s="80" t="s">
        <v>52</v>
      </c>
    </row>
    <row r="80" spans="1:16" x14ac:dyDescent="0.2">
      <c r="A80" s="8" t="s">
        <v>52</v>
      </c>
      <c r="B80" s="2" t="s">
        <v>23</v>
      </c>
      <c r="C80" s="13">
        <v>201.83</v>
      </c>
      <c r="D80" s="13" t="s">
        <v>52</v>
      </c>
      <c r="E80" s="1">
        <v>1</v>
      </c>
      <c r="F80" s="1">
        <v>1</v>
      </c>
      <c r="G80" s="7">
        <f>C80*(E80-F80)</f>
        <v>0</v>
      </c>
      <c r="H80" s="7">
        <f>C80*(E80-F80)</f>
        <v>0</v>
      </c>
      <c r="I80" s="1"/>
      <c r="J80" s="7">
        <f>C80*E80</f>
        <v>201.83</v>
      </c>
      <c r="K80" s="7">
        <f>J80</f>
        <v>201.83</v>
      </c>
      <c r="L80" s="3">
        <v>1</v>
      </c>
    </row>
    <row r="81" spans="1:15" x14ac:dyDescent="0.2">
      <c r="A81" s="8" t="s">
        <v>52</v>
      </c>
      <c r="B81" s="5" t="s">
        <v>52</v>
      </c>
      <c r="D81" s="13" t="s">
        <v>52</v>
      </c>
      <c r="E81" s="1" t="s">
        <v>52</v>
      </c>
      <c r="F81" s="1" t="s">
        <v>52</v>
      </c>
      <c r="H81" s="7" t="s">
        <v>52</v>
      </c>
      <c r="I81" s="3"/>
      <c r="K81" s="15"/>
      <c r="O81" s="80" t="s">
        <v>52</v>
      </c>
    </row>
    <row r="82" spans="1:15" x14ac:dyDescent="0.2">
      <c r="A82" s="8" t="s">
        <v>12</v>
      </c>
      <c r="B82" s="5" t="s">
        <v>22</v>
      </c>
      <c r="C82" s="13" t="s">
        <v>52</v>
      </c>
      <c r="D82" s="13" t="s">
        <v>52</v>
      </c>
      <c r="E82" s="3"/>
      <c r="F82" s="3"/>
      <c r="H82" s="7" t="s">
        <v>52</v>
      </c>
      <c r="I82" s="3"/>
    </row>
    <row r="83" spans="1:15" x14ac:dyDescent="0.2">
      <c r="A83" s="8" t="s">
        <v>13</v>
      </c>
      <c r="B83" s="2" t="s">
        <v>26</v>
      </c>
      <c r="C83" s="13">
        <v>235.12200000000001</v>
      </c>
      <c r="D83" s="13" t="s">
        <v>52</v>
      </c>
      <c r="E83" s="1">
        <v>47.75</v>
      </c>
      <c r="F83" s="1">
        <v>47.75</v>
      </c>
      <c r="G83" s="7">
        <f t="shared" ref="G83:G89" si="16">C83*(E83-F83)</f>
        <v>0</v>
      </c>
      <c r="H83" s="7">
        <f t="shared" ref="H83:H89" si="17">C83*(E83-F83)</f>
        <v>0</v>
      </c>
      <c r="I83" s="1"/>
      <c r="J83" s="7">
        <f t="shared" ref="J83:J89" si="18">C83*E83</f>
        <v>11227.075500000001</v>
      </c>
      <c r="K83" s="7">
        <f>J83</f>
        <v>11227.075500000001</v>
      </c>
      <c r="L83" s="3">
        <v>2</v>
      </c>
    </row>
    <row r="84" spans="1:15" x14ac:dyDescent="0.2">
      <c r="A84" s="8"/>
      <c r="B84" s="2" t="s">
        <v>27</v>
      </c>
      <c r="C84" s="13">
        <v>752.12800000000004</v>
      </c>
      <c r="D84" s="13" t="s">
        <v>52</v>
      </c>
      <c r="E84" s="1">
        <v>8.7899999999999991</v>
      </c>
      <c r="F84" s="1">
        <v>8.7899999999999991</v>
      </c>
      <c r="G84" s="7">
        <f t="shared" si="16"/>
        <v>0</v>
      </c>
      <c r="H84" s="7">
        <f t="shared" si="17"/>
        <v>0</v>
      </c>
      <c r="I84" s="1"/>
      <c r="J84" s="7">
        <f t="shared" si="18"/>
        <v>6611.2051199999996</v>
      </c>
      <c r="K84" s="7">
        <f t="shared" ref="K84:K100" si="19">J84</f>
        <v>6611.2051199999996</v>
      </c>
      <c r="L84" s="3">
        <v>2</v>
      </c>
    </row>
    <row r="85" spans="1:15" x14ac:dyDescent="0.2">
      <c r="A85" s="8"/>
      <c r="B85" s="2" t="s">
        <v>28</v>
      </c>
      <c r="C85" s="13">
        <v>2674.7959999999998</v>
      </c>
      <c r="D85" s="13" t="s">
        <v>52</v>
      </c>
      <c r="E85" s="1">
        <v>19.940000000000001</v>
      </c>
      <c r="F85" s="1">
        <v>19.940000000000001</v>
      </c>
      <c r="G85" s="7">
        <f t="shared" si="16"/>
        <v>0</v>
      </c>
      <c r="H85" s="7">
        <f t="shared" si="17"/>
        <v>0</v>
      </c>
      <c r="I85" s="1"/>
      <c r="J85" s="7">
        <f t="shared" si="18"/>
        <v>53335.432240000002</v>
      </c>
      <c r="K85" s="7">
        <f t="shared" si="19"/>
        <v>53335.432240000002</v>
      </c>
      <c r="L85" s="3">
        <v>2</v>
      </c>
    </row>
    <row r="86" spans="1:15" x14ac:dyDescent="0.2">
      <c r="A86" s="8"/>
      <c r="B86" s="2" t="s">
        <v>29</v>
      </c>
      <c r="C86" s="13">
        <v>1240.306</v>
      </c>
      <c r="D86" s="13" t="s">
        <v>52</v>
      </c>
      <c r="E86" s="1">
        <v>7.87</v>
      </c>
      <c r="F86" s="1">
        <v>7.87</v>
      </c>
      <c r="G86" s="7">
        <f t="shared" si="16"/>
        <v>0</v>
      </c>
      <c r="H86" s="7">
        <f t="shared" si="17"/>
        <v>0</v>
      </c>
      <c r="I86" s="1"/>
      <c r="J86" s="7">
        <f t="shared" si="18"/>
        <v>9761.2082200000004</v>
      </c>
      <c r="K86" s="7">
        <f t="shared" si="19"/>
        <v>9761.2082200000004</v>
      </c>
      <c r="L86" s="3">
        <v>2</v>
      </c>
    </row>
    <row r="87" spans="1:15" x14ac:dyDescent="0.2">
      <c r="A87" s="8"/>
      <c r="B87" s="2" t="s">
        <v>30</v>
      </c>
      <c r="C87" s="13">
        <v>261.04399999999998</v>
      </c>
      <c r="D87" s="13" t="s">
        <v>52</v>
      </c>
      <c r="E87" s="1">
        <v>36.54</v>
      </c>
      <c r="F87" s="1">
        <v>36.54</v>
      </c>
      <c r="G87" s="7">
        <f t="shared" si="16"/>
        <v>0</v>
      </c>
      <c r="H87" s="7">
        <f t="shared" si="17"/>
        <v>0</v>
      </c>
      <c r="I87" s="1"/>
      <c r="J87" s="7">
        <f t="shared" si="18"/>
        <v>9538.5477599999995</v>
      </c>
      <c r="K87" s="7">
        <f t="shared" si="19"/>
        <v>9538.5477599999995</v>
      </c>
      <c r="L87" s="3">
        <v>2</v>
      </c>
    </row>
    <row r="88" spans="1:15" x14ac:dyDescent="0.2">
      <c r="A88" s="8"/>
      <c r="B88" s="2" t="s">
        <v>31</v>
      </c>
      <c r="C88" s="13">
        <v>378.52600000000001</v>
      </c>
      <c r="D88" s="13" t="s">
        <v>52</v>
      </c>
      <c r="E88" s="1">
        <v>26.54</v>
      </c>
      <c r="F88" s="1">
        <v>26.54</v>
      </c>
      <c r="G88" s="7">
        <f t="shared" si="16"/>
        <v>0</v>
      </c>
      <c r="H88" s="7">
        <f t="shared" si="17"/>
        <v>0</v>
      </c>
      <c r="I88" s="1"/>
      <c r="J88" s="7">
        <f t="shared" si="18"/>
        <v>10046.080040000001</v>
      </c>
      <c r="K88" s="7">
        <f t="shared" si="19"/>
        <v>10046.080040000001</v>
      </c>
      <c r="L88" s="3">
        <v>2</v>
      </c>
    </row>
    <row r="89" spans="1:15" x14ac:dyDescent="0.2">
      <c r="A89" s="8" t="s">
        <v>52</v>
      </c>
      <c r="B89" s="2" t="s">
        <v>49</v>
      </c>
      <c r="C89" s="13">
        <v>1441.3219999999999</v>
      </c>
      <c r="D89" s="13" t="s">
        <v>52</v>
      </c>
      <c r="E89" s="1">
        <v>11.02</v>
      </c>
      <c r="F89" s="1">
        <v>11.02</v>
      </c>
      <c r="G89" s="7">
        <f t="shared" si="16"/>
        <v>0</v>
      </c>
      <c r="H89" s="7">
        <f t="shared" si="17"/>
        <v>0</v>
      </c>
      <c r="I89" s="1" t="s">
        <v>52</v>
      </c>
      <c r="J89" s="7">
        <f t="shared" si="18"/>
        <v>15883.368439999998</v>
      </c>
      <c r="K89" s="7">
        <f t="shared" si="19"/>
        <v>15883.368439999998</v>
      </c>
      <c r="L89" s="3">
        <v>1</v>
      </c>
    </row>
    <row r="90" spans="1:15" x14ac:dyDescent="0.2">
      <c r="A90" s="8"/>
      <c r="E90" s="2"/>
      <c r="F90" s="2"/>
      <c r="G90" s="15"/>
      <c r="H90" s="7" t="s">
        <v>52</v>
      </c>
      <c r="I90" s="2" t="s">
        <v>52</v>
      </c>
    </row>
    <row r="91" spans="1:15" x14ac:dyDescent="0.2">
      <c r="A91" s="8" t="s">
        <v>14</v>
      </c>
      <c r="B91" s="2" t="s">
        <v>58</v>
      </c>
      <c r="C91" s="13">
        <v>485000</v>
      </c>
      <c r="E91" s="1">
        <v>1</v>
      </c>
      <c r="F91" s="1">
        <v>1</v>
      </c>
      <c r="G91" s="7">
        <f>C91*(E91-F91)</f>
        <v>0</v>
      </c>
      <c r="H91" s="7">
        <f>C91*(E91-F91)</f>
        <v>0</v>
      </c>
      <c r="I91" s="1"/>
      <c r="J91" s="7">
        <f>C91*E91</f>
        <v>485000</v>
      </c>
      <c r="K91" s="7">
        <f t="shared" si="19"/>
        <v>485000</v>
      </c>
      <c r="L91" s="3">
        <v>1</v>
      </c>
    </row>
    <row r="92" spans="1:15" x14ac:dyDescent="0.2">
      <c r="E92" s="2"/>
      <c r="F92" s="2"/>
      <c r="G92" s="15"/>
      <c r="H92" s="7" t="s">
        <v>52</v>
      </c>
      <c r="I92" s="2"/>
      <c r="J92" s="7" t="s">
        <v>52</v>
      </c>
    </row>
    <row r="93" spans="1:15" x14ac:dyDescent="0.2">
      <c r="A93" s="8" t="s">
        <v>15</v>
      </c>
      <c r="B93" s="2" t="s">
        <v>34</v>
      </c>
      <c r="C93" s="13">
        <v>3829.12</v>
      </c>
      <c r="E93" s="1">
        <v>1</v>
      </c>
      <c r="F93" s="1">
        <v>1</v>
      </c>
      <c r="G93" s="7">
        <f>C93*(E93-F93)</f>
        <v>0</v>
      </c>
      <c r="H93" s="7">
        <f>C93*(E93-F93)</f>
        <v>0</v>
      </c>
      <c r="I93" s="1"/>
      <c r="J93" s="7">
        <f>C93*E93</f>
        <v>3829.12</v>
      </c>
      <c r="K93" s="7">
        <f t="shared" si="19"/>
        <v>3829.12</v>
      </c>
      <c r="L93" s="3">
        <v>1</v>
      </c>
    </row>
    <row r="94" spans="1:15" x14ac:dyDescent="0.2">
      <c r="A94" s="8"/>
      <c r="B94" s="2" t="s">
        <v>35</v>
      </c>
      <c r="C94" s="13">
        <v>4769.42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4769.42</v>
      </c>
      <c r="K94" s="7">
        <f t="shared" si="19"/>
        <v>4769.42</v>
      </c>
      <c r="L94" s="3">
        <v>1</v>
      </c>
    </row>
    <row r="95" spans="1:15" x14ac:dyDescent="0.2">
      <c r="E95" s="2"/>
      <c r="F95" s="2"/>
      <c r="G95" s="15"/>
      <c r="H95" s="7" t="s">
        <v>52</v>
      </c>
      <c r="I95" s="2"/>
      <c r="K95" s="7" t="s">
        <v>52</v>
      </c>
    </row>
    <row r="96" spans="1:15" x14ac:dyDescent="0.2">
      <c r="A96" s="8" t="s">
        <v>16</v>
      </c>
      <c r="B96" s="2" t="s">
        <v>36</v>
      </c>
      <c r="C96" s="13">
        <v>9759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9759</v>
      </c>
      <c r="K96" s="7">
        <f t="shared" si="19"/>
        <v>9759</v>
      </c>
      <c r="L96" s="3">
        <v>1</v>
      </c>
      <c r="M96" s="80" t="s">
        <v>86</v>
      </c>
    </row>
    <row r="97" spans="1:15" x14ac:dyDescent="0.2">
      <c r="A97" s="8"/>
      <c r="B97" s="2" t="s">
        <v>38</v>
      </c>
      <c r="C97" s="13">
        <v>3718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3718</v>
      </c>
      <c r="K97" s="7">
        <f t="shared" si="19"/>
        <v>3718</v>
      </c>
      <c r="L97" s="3">
        <v>1</v>
      </c>
      <c r="M97" s="80">
        <f>(C9*E9)+(C10*E10)+(C11*E11)</f>
        <v>-2985300</v>
      </c>
      <c r="N97" s="26">
        <f>M97/M104</f>
        <v>-0.51009104989629361</v>
      </c>
      <c r="O97" s="5" t="s">
        <v>85</v>
      </c>
    </row>
    <row r="98" spans="1:15" x14ac:dyDescent="0.2">
      <c r="A98" s="8"/>
      <c r="B98" s="2" t="s">
        <v>39</v>
      </c>
      <c r="C98" s="13">
        <v>943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943</v>
      </c>
      <c r="K98" s="7">
        <f t="shared" si="19"/>
        <v>943</v>
      </c>
      <c r="L98" s="3">
        <v>1</v>
      </c>
      <c r="M98" s="80">
        <f>SUMIF(L5:L105,2,K5:K105)</f>
        <v>241635.67388672198</v>
      </c>
      <c r="N98" s="26">
        <f>M98/M104</f>
        <v>4.1287707964116321E-2</v>
      </c>
      <c r="O98" s="5" t="s">
        <v>22</v>
      </c>
    </row>
    <row r="99" spans="1:15" x14ac:dyDescent="0.2">
      <c r="A99" s="8"/>
      <c r="B99" s="2" t="s">
        <v>40</v>
      </c>
      <c r="C99" s="13">
        <v>1235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1235</v>
      </c>
      <c r="K99" s="7">
        <f t="shared" si="19"/>
        <v>1235</v>
      </c>
      <c r="L99" s="3">
        <v>1</v>
      </c>
      <c r="M99" s="80" t="s">
        <v>60</v>
      </c>
      <c r="N99" s="26"/>
      <c r="O99" s="7" t="s">
        <v>52</v>
      </c>
    </row>
    <row r="100" spans="1:15" x14ac:dyDescent="0.2">
      <c r="A100" s="8"/>
      <c r="B100" s="2" t="s">
        <v>37</v>
      </c>
      <c r="C100" s="13">
        <v>2234.7820000000002</v>
      </c>
      <c r="D100" s="13" t="s">
        <v>52</v>
      </c>
      <c r="E100" s="1">
        <v>1.684671</v>
      </c>
      <c r="F100" s="1">
        <v>1.684671</v>
      </c>
      <c r="G100" s="7">
        <f>C100*(E100-F100)</f>
        <v>0</v>
      </c>
      <c r="H100" s="7">
        <f>C100*(E100-F100)</f>
        <v>0</v>
      </c>
      <c r="I100" s="1"/>
      <c r="J100" s="7">
        <f>C100*E100</f>
        <v>3764.8724267220005</v>
      </c>
      <c r="K100" s="7">
        <f t="shared" si="19"/>
        <v>3764.8724267220005</v>
      </c>
      <c r="L100" s="3">
        <v>2</v>
      </c>
      <c r="M100" s="80">
        <f>SUMIF(L5:L105,1,K5:K105)</f>
        <v>6140848.8984400006</v>
      </c>
      <c r="N100" s="26">
        <f>M100/M104</f>
        <v>1.0492721206779079</v>
      </c>
    </row>
    <row r="101" spans="1:15" x14ac:dyDescent="0.2">
      <c r="A101" s="8"/>
      <c r="E101" s="1"/>
      <c r="F101" s="1"/>
      <c r="I101" s="1"/>
      <c r="M101" s="80" t="s">
        <v>160</v>
      </c>
      <c r="N101" s="26"/>
    </row>
    <row r="102" spans="1:15" x14ac:dyDescent="0.2">
      <c r="A102" s="8" t="s">
        <v>87</v>
      </c>
      <c r="B102" s="2" t="s">
        <v>151</v>
      </c>
      <c r="C102" s="13">
        <v>-140000</v>
      </c>
      <c r="D102" s="13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J102" s="7">
        <f>+C102</f>
        <v>-140000</v>
      </c>
      <c r="K102" s="7">
        <f>J102</f>
        <v>-140000</v>
      </c>
      <c r="L102" s="3">
        <v>0</v>
      </c>
      <c r="M102" s="80">
        <f>SUM(K102:K104)</f>
        <v>-530000</v>
      </c>
      <c r="N102" s="26">
        <f>+M102/M104</f>
        <v>-9.055982864202447E-2</v>
      </c>
    </row>
    <row r="103" spans="1:15" x14ac:dyDescent="0.2">
      <c r="A103" s="8" t="s">
        <v>52</v>
      </c>
      <c r="B103" s="2" t="s">
        <v>157</v>
      </c>
      <c r="C103" s="13">
        <v>-155000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-155000</v>
      </c>
      <c r="K103" s="7">
        <f>J103</f>
        <v>-155000</v>
      </c>
      <c r="L103" s="3">
        <v>0</v>
      </c>
      <c r="M103" s="80" t="s">
        <v>90</v>
      </c>
      <c r="N103" s="26"/>
    </row>
    <row r="104" spans="1:15" x14ac:dyDescent="0.2">
      <c r="A104" s="8" t="s">
        <v>52</v>
      </c>
      <c r="B104" s="2" t="s">
        <v>158</v>
      </c>
      <c r="C104" s="13">
        <v>-235000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-235000</v>
      </c>
      <c r="K104" s="7">
        <f>J104</f>
        <v>-235000</v>
      </c>
      <c r="L104" s="3">
        <v>0</v>
      </c>
      <c r="M104" s="80">
        <f>K107</f>
        <v>5852484.5723267244</v>
      </c>
      <c r="N104" s="26">
        <f>+M104/K107</f>
        <v>1</v>
      </c>
    </row>
    <row r="105" spans="1:15" ht="13.5" thickBot="1" x14ac:dyDescent="0.25">
      <c r="A105" s="8" t="s">
        <v>52</v>
      </c>
      <c r="B105" s="63" t="s">
        <v>52</v>
      </c>
      <c r="C105" s="24"/>
      <c r="D105" s="24" t="s">
        <v>52</v>
      </c>
      <c r="E105" s="18"/>
      <c r="F105" s="18"/>
      <c r="G105" s="19"/>
      <c r="H105" s="19"/>
      <c r="I105" s="18"/>
      <c r="J105" s="19"/>
      <c r="K105" s="19" t="s">
        <v>52</v>
      </c>
      <c r="L105" s="65"/>
      <c r="M105" s="93" t="s">
        <v>52</v>
      </c>
      <c r="N105" s="93"/>
    </row>
    <row r="106" spans="1:15" x14ac:dyDescent="0.2">
      <c r="A106" s="8"/>
      <c r="M106" s="80" t="s">
        <v>56</v>
      </c>
    </row>
    <row r="107" spans="1:15" x14ac:dyDescent="0.2">
      <c r="A107" s="8" t="s">
        <v>17</v>
      </c>
      <c r="C107" s="13">
        <f>SUM(C47:C59)+C30+C36+C39+C42+C43+C44</f>
        <v>21743.211300000003</v>
      </c>
      <c r="D107" s="13">
        <f>SUM(D5:D104)</f>
        <v>14761.211300000001</v>
      </c>
      <c r="G107" s="7">
        <f>SUM(G5:G105)</f>
        <v>34846.968893000048</v>
      </c>
      <c r="H107" s="7">
        <f>SUM(H5:H105)</f>
        <v>31714.90315300005</v>
      </c>
      <c r="J107" s="7">
        <f>SUM(J5:J105)</f>
        <v>5894147.5641587246</v>
      </c>
      <c r="K107" s="7">
        <f>SUM(K5:K105)</f>
        <v>5852484.5723267244</v>
      </c>
      <c r="M107" s="92">
        <f>SUM(K42:K59)+K30+K36</f>
        <v>44880.392172</v>
      </c>
      <c r="N107" s="94">
        <f>M107/K107</f>
        <v>7.6686049518550495E-3</v>
      </c>
    </row>
    <row r="108" spans="1:15" ht="13.5" thickBot="1" x14ac:dyDescent="0.25">
      <c r="A108" s="8"/>
      <c r="B108" s="17"/>
      <c r="C108" s="24"/>
      <c r="D108" s="24"/>
      <c r="E108" s="18"/>
      <c r="F108" s="18"/>
      <c r="G108" s="19"/>
      <c r="H108" s="19"/>
      <c r="I108" s="18"/>
      <c r="J108" s="19"/>
      <c r="K108" s="19"/>
      <c r="L108" s="65"/>
      <c r="M108" s="93"/>
      <c r="N108" s="93"/>
    </row>
    <row r="109" spans="1:15" x14ac:dyDescent="0.2">
      <c r="A109" s="8"/>
    </row>
    <row r="110" spans="1:15" x14ac:dyDescent="0.2">
      <c r="A110" s="8" t="s">
        <v>18</v>
      </c>
      <c r="B110" s="5" t="s">
        <v>22</v>
      </c>
      <c r="C110" s="13" t="s">
        <v>52</v>
      </c>
      <c r="M110" s="80" t="s">
        <v>52</v>
      </c>
    </row>
    <row r="111" spans="1:15" x14ac:dyDescent="0.2">
      <c r="A111" s="8" t="s">
        <v>19</v>
      </c>
      <c r="B111" s="2" t="s">
        <v>32</v>
      </c>
      <c r="C111" s="13">
        <v>1228.5820000000001</v>
      </c>
      <c r="D111" s="13" t="s">
        <v>52</v>
      </c>
      <c r="E111" s="1">
        <v>19.09</v>
      </c>
      <c r="F111" s="1">
        <v>19.09</v>
      </c>
      <c r="G111" s="7">
        <f>C111*(E111-F111)</f>
        <v>0</v>
      </c>
      <c r="H111" s="7">
        <f>C111*(E111-F111)</f>
        <v>0</v>
      </c>
      <c r="I111" s="1"/>
      <c r="J111" s="7">
        <f>C111*E111</f>
        <v>23453.630380000002</v>
      </c>
      <c r="K111" s="7">
        <f>J111</f>
        <v>23453.630380000002</v>
      </c>
      <c r="L111" s="3">
        <v>2</v>
      </c>
    </row>
    <row r="112" spans="1:15" x14ac:dyDescent="0.2">
      <c r="A112" s="8" t="s">
        <v>52</v>
      </c>
      <c r="B112" s="2" t="s">
        <v>61</v>
      </c>
      <c r="C112" s="13">
        <v>387</v>
      </c>
      <c r="D112" s="13" t="s">
        <v>52</v>
      </c>
      <c r="E112" s="1">
        <f>+E79</f>
        <v>39.43</v>
      </c>
      <c r="F112" s="1">
        <f>+F79</f>
        <v>40.409999999999997</v>
      </c>
      <c r="G112" s="7">
        <f>C112*(E112-F112)</f>
        <v>-379.2599999999988</v>
      </c>
      <c r="H112" s="7">
        <f>C112*(E112-F112)</f>
        <v>-379.2599999999988</v>
      </c>
      <c r="I112" s="1"/>
      <c r="J112" s="7">
        <f>C112*E112</f>
        <v>15259.41</v>
      </c>
      <c r="K112" s="7">
        <f>J112</f>
        <v>15259.41</v>
      </c>
      <c r="L112" s="3">
        <v>2</v>
      </c>
    </row>
    <row r="113" spans="1:15" x14ac:dyDescent="0.2">
      <c r="A113" s="8" t="s">
        <v>52</v>
      </c>
      <c r="B113" s="2" t="s">
        <v>23</v>
      </c>
      <c r="C113" s="13">
        <v>201.83</v>
      </c>
      <c r="D113" s="13" t="s">
        <v>52</v>
      </c>
      <c r="E113" s="1">
        <v>1</v>
      </c>
      <c r="F113" s="1">
        <v>1</v>
      </c>
      <c r="G113" s="7">
        <f>C113*(E113-F113)</f>
        <v>0</v>
      </c>
      <c r="H113" s="7">
        <f>C113*(E113-F113)</f>
        <v>0</v>
      </c>
      <c r="I113" s="1"/>
      <c r="J113" s="7">
        <f>C113*E113</f>
        <v>201.83</v>
      </c>
      <c r="K113" s="7">
        <f>J113</f>
        <v>201.83</v>
      </c>
      <c r="L113" s="3">
        <v>1</v>
      </c>
    </row>
    <row r="114" spans="1:15" x14ac:dyDescent="0.2">
      <c r="A114" s="8"/>
      <c r="E114" s="3"/>
      <c r="F114" s="3"/>
      <c r="H114" s="7" t="s">
        <v>52</v>
      </c>
      <c r="I114" s="3"/>
    </row>
    <row r="115" spans="1:15" x14ac:dyDescent="0.2">
      <c r="A115" s="8" t="s">
        <v>18</v>
      </c>
      <c r="B115" s="5" t="s">
        <v>22</v>
      </c>
      <c r="C115" s="13" t="s">
        <v>52</v>
      </c>
      <c r="E115" s="3"/>
      <c r="F115" s="3"/>
      <c r="H115" s="7" t="s">
        <v>52</v>
      </c>
      <c r="I115" s="3"/>
    </row>
    <row r="116" spans="1:15" x14ac:dyDescent="0.2">
      <c r="A116" s="8" t="s">
        <v>20</v>
      </c>
      <c r="B116" s="2" t="s">
        <v>33</v>
      </c>
      <c r="C116" s="13">
        <v>2013.38</v>
      </c>
      <c r="D116" s="13" t="s">
        <v>52</v>
      </c>
      <c r="E116" s="1">
        <v>10.66</v>
      </c>
      <c r="F116" s="1">
        <v>10.66</v>
      </c>
      <c r="G116" s="7">
        <f>C116*(E116-F116)</f>
        <v>0</v>
      </c>
      <c r="H116" s="7">
        <f>C116*(E116-F116)</f>
        <v>0</v>
      </c>
      <c r="I116" s="1"/>
      <c r="J116" s="7">
        <f>C116*E116</f>
        <v>21462.630800000003</v>
      </c>
      <c r="K116" s="7">
        <f>J116</f>
        <v>21462.630800000003</v>
      </c>
      <c r="L116" s="3">
        <v>2</v>
      </c>
    </row>
    <row r="117" spans="1:15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+E79</f>
        <v>39.43</v>
      </c>
      <c r="F117" s="1">
        <f>+F79</f>
        <v>40.409999999999997</v>
      </c>
      <c r="G117" s="7">
        <f>C117*(E117-F117)</f>
        <v>-379.2599999999988</v>
      </c>
      <c r="H117" s="7">
        <f>C117*(E117-F117)</f>
        <v>-379.2599999999988</v>
      </c>
      <c r="I117" s="1"/>
      <c r="J117" s="7">
        <f>C117*E117</f>
        <v>15259.41</v>
      </c>
      <c r="K117" s="7">
        <f>J117</f>
        <v>15259.41</v>
      </c>
      <c r="L117" s="3">
        <v>2</v>
      </c>
    </row>
    <row r="118" spans="1:15" x14ac:dyDescent="0.2">
      <c r="A118" s="8" t="s">
        <v>52</v>
      </c>
      <c r="B118" s="2" t="s">
        <v>23</v>
      </c>
      <c r="C118" s="13">
        <v>201.83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201.83</v>
      </c>
      <c r="K118" s="7">
        <f>J118</f>
        <v>201.83</v>
      </c>
      <c r="L118" s="3">
        <v>1</v>
      </c>
      <c r="M118" s="80" t="s">
        <v>52</v>
      </c>
    </row>
    <row r="119" spans="1:15" x14ac:dyDescent="0.2">
      <c r="A119" s="8"/>
      <c r="E119" s="1"/>
      <c r="F119" s="1"/>
      <c r="H119" s="7" t="s">
        <v>52</v>
      </c>
      <c r="I119" s="1"/>
    </row>
    <row r="120" spans="1:15" x14ac:dyDescent="0.2">
      <c r="A120" s="8" t="s">
        <v>63</v>
      </c>
      <c r="B120" s="2" t="s">
        <v>61</v>
      </c>
      <c r="C120" s="13">
        <v>387</v>
      </c>
      <c r="D120" s="13" t="s">
        <v>52</v>
      </c>
      <c r="E120" s="1">
        <f>+E79</f>
        <v>39.43</v>
      </c>
      <c r="F120" s="1">
        <f>+F79</f>
        <v>40.409999999999997</v>
      </c>
      <c r="G120" s="7">
        <f>C120*(E120-F120)</f>
        <v>-379.2599999999988</v>
      </c>
      <c r="H120" s="7">
        <f>C120*(E120-F120)</f>
        <v>-379.2599999999988</v>
      </c>
      <c r="I120" s="1"/>
      <c r="J120" s="7">
        <f>C120*E120</f>
        <v>15259.41</v>
      </c>
      <c r="K120" s="7">
        <f>J120</f>
        <v>15259.41</v>
      </c>
      <c r="L120" s="3">
        <v>2</v>
      </c>
    </row>
    <row r="121" spans="1:15" x14ac:dyDescent="0.2">
      <c r="A121" s="8" t="s">
        <v>52</v>
      </c>
      <c r="B121" s="2" t="s">
        <v>23</v>
      </c>
      <c r="C121" s="13">
        <v>201.83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201.83</v>
      </c>
      <c r="K121" s="7">
        <f>J121</f>
        <v>201.83</v>
      </c>
      <c r="L121" s="3">
        <v>1</v>
      </c>
    </row>
    <row r="122" spans="1:15" x14ac:dyDescent="0.2">
      <c r="A122" s="8"/>
      <c r="C122" s="13" t="s">
        <v>52</v>
      </c>
      <c r="E122" s="4"/>
      <c r="F122" s="4"/>
      <c r="H122" s="7" t="s">
        <v>52</v>
      </c>
      <c r="I122" s="1"/>
    </row>
    <row r="123" spans="1:15" x14ac:dyDescent="0.2">
      <c r="A123" s="8" t="s">
        <v>64</v>
      </c>
      <c r="B123" s="5" t="s">
        <v>22</v>
      </c>
      <c r="D123" s="13" t="s">
        <v>52</v>
      </c>
      <c r="E123" s="14"/>
      <c r="F123" s="14"/>
      <c r="H123" s="7" t="s">
        <v>52</v>
      </c>
      <c r="I123" s="3"/>
      <c r="K123" s="7" t="s">
        <v>52</v>
      </c>
    </row>
    <row r="124" spans="1:15" x14ac:dyDescent="0.2">
      <c r="A124" s="8" t="s">
        <v>79</v>
      </c>
      <c r="B124" s="2" t="s">
        <v>89</v>
      </c>
      <c r="C124" s="13">
        <v>288</v>
      </c>
      <c r="D124" s="13">
        <v>0</v>
      </c>
      <c r="E124" s="1">
        <f>E$30</f>
        <v>9.24</v>
      </c>
      <c r="F124" s="1">
        <f>F$30</f>
        <v>8.6300000000000008</v>
      </c>
      <c r="G124" s="7">
        <f>C124*(E124-F124)</f>
        <v>175.67999999999984</v>
      </c>
      <c r="H124" s="7">
        <f>C124*(E124-F124)*0.5895</f>
        <v>103.5633599999999</v>
      </c>
      <c r="I124" s="1"/>
      <c r="J124" s="7">
        <f>C124*E124</f>
        <v>2661.12</v>
      </c>
      <c r="K124" s="7">
        <f>J124*0.5995</f>
        <v>1595.3414399999999</v>
      </c>
      <c r="L124" s="3">
        <v>2</v>
      </c>
      <c r="M124" s="80">
        <f>SUM(K107:K124)+K133</f>
        <v>5945379.8949467251</v>
      </c>
      <c r="O124" s="7" t="s">
        <v>52</v>
      </c>
    </row>
    <row r="125" spans="1:15" x14ac:dyDescent="0.2">
      <c r="A125" s="8"/>
      <c r="E125" s="1" t="s">
        <v>52</v>
      </c>
      <c r="F125" s="1" t="s">
        <v>52</v>
      </c>
      <c r="H125" s="7" t="s">
        <v>52</v>
      </c>
      <c r="I125" s="1"/>
      <c r="K125" s="7" t="s">
        <v>52</v>
      </c>
    </row>
    <row r="126" spans="1:15" x14ac:dyDescent="0.2">
      <c r="A126" s="8" t="s">
        <v>21</v>
      </c>
      <c r="B126" s="5" t="s">
        <v>22</v>
      </c>
      <c r="C126" s="13" t="s">
        <v>52</v>
      </c>
      <c r="E126" s="1" t="s">
        <v>52</v>
      </c>
      <c r="F126" s="1" t="s">
        <v>52</v>
      </c>
      <c r="H126" s="7" t="s">
        <v>52</v>
      </c>
      <c r="I126" s="3"/>
      <c r="K126" s="7" t="s">
        <v>52</v>
      </c>
      <c r="M126" s="95" t="s">
        <v>52</v>
      </c>
    </row>
    <row r="127" spans="1:15" x14ac:dyDescent="0.2">
      <c r="A127" s="8" t="s">
        <v>11</v>
      </c>
      <c r="B127" s="2" t="s">
        <v>94</v>
      </c>
      <c r="C127" s="13">
        <v>3331</v>
      </c>
      <c r="D127" s="13">
        <v>0</v>
      </c>
      <c r="E127" s="1">
        <f t="shared" ref="E127:F130" si="20">E$30</f>
        <v>9.24</v>
      </c>
      <c r="F127" s="1">
        <f t="shared" si="20"/>
        <v>8.6300000000000008</v>
      </c>
      <c r="G127" s="7">
        <v>0</v>
      </c>
      <c r="H127" s="7">
        <v>0</v>
      </c>
      <c r="I127" s="1"/>
      <c r="J127" s="7">
        <v>0</v>
      </c>
      <c r="K127" s="7">
        <v>0</v>
      </c>
      <c r="L127" s="3">
        <v>2</v>
      </c>
      <c r="M127" s="80" t="s">
        <v>52</v>
      </c>
    </row>
    <row r="128" spans="1:15" x14ac:dyDescent="0.2">
      <c r="A128" s="8" t="s">
        <v>52</v>
      </c>
      <c r="B128" s="2" t="s">
        <v>143</v>
      </c>
      <c r="C128" s="13">
        <v>668</v>
      </c>
      <c r="D128" s="13">
        <v>0</v>
      </c>
      <c r="E128" s="1">
        <f t="shared" si="20"/>
        <v>9.24</v>
      </c>
      <c r="F128" s="1">
        <f t="shared" si="20"/>
        <v>8.6300000000000008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">
      <c r="A129" s="8" t="s">
        <v>52</v>
      </c>
      <c r="B129" s="2" t="s">
        <v>145</v>
      </c>
      <c r="C129" s="13">
        <v>786</v>
      </c>
      <c r="D129" s="13">
        <v>0</v>
      </c>
      <c r="E129" s="1">
        <f t="shared" si="20"/>
        <v>9.24</v>
      </c>
      <c r="F129" s="1">
        <f t="shared" si="20"/>
        <v>8.6300000000000008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">
      <c r="A130" s="8" t="s">
        <v>52</v>
      </c>
      <c r="B130" s="2" t="s">
        <v>152</v>
      </c>
      <c r="C130" s="13">
        <v>863</v>
      </c>
      <c r="D130" s="13">
        <v>0</v>
      </c>
      <c r="E130" s="1">
        <f t="shared" si="20"/>
        <v>9.24</v>
      </c>
      <c r="F130" s="1">
        <f t="shared" si="20"/>
        <v>8.6300000000000008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86</v>
      </c>
    </row>
    <row r="131" spans="1:16" x14ac:dyDescent="0.2">
      <c r="A131" s="8"/>
      <c r="C131" s="13" t="s">
        <v>52</v>
      </c>
      <c r="E131" s="1" t="s">
        <v>52</v>
      </c>
      <c r="F131" s="1" t="s">
        <v>52</v>
      </c>
      <c r="I131" s="1"/>
      <c r="K131" s="7" t="s">
        <v>52</v>
      </c>
      <c r="M131" s="80">
        <f>M97</f>
        <v>-2985300</v>
      </c>
      <c r="N131" s="26">
        <f>M131/M138</f>
        <v>-0.50212098347783563</v>
      </c>
      <c r="O131" s="5" t="s">
        <v>85</v>
      </c>
    </row>
    <row r="132" spans="1:16" x14ac:dyDescent="0.2">
      <c r="A132" s="8" t="s">
        <v>59</v>
      </c>
      <c r="B132" s="5" t="s">
        <v>22</v>
      </c>
      <c r="C132" s="13" t="s">
        <v>52</v>
      </c>
      <c r="D132" s="13" t="s">
        <v>52</v>
      </c>
      <c r="E132" s="1" t="s">
        <v>52</v>
      </c>
      <c r="F132" s="1" t="s">
        <v>52</v>
      </c>
      <c r="G132" s="15"/>
      <c r="H132" s="15"/>
      <c r="I132" s="2"/>
      <c r="K132" s="7" t="s">
        <v>52</v>
      </c>
      <c r="M132" s="80">
        <f>SUMIF(L111:L142,2,K111:K142)+M98</f>
        <v>333925.50650672201</v>
      </c>
      <c r="N132" s="26">
        <f>M132/M138</f>
        <v>5.6165545752684704E-2</v>
      </c>
      <c r="O132" s="5" t="s">
        <v>22</v>
      </c>
    </row>
    <row r="133" spans="1:16" x14ac:dyDescent="0.2">
      <c r="A133" s="8" t="s">
        <v>9</v>
      </c>
      <c r="B133" s="2" t="s">
        <v>121</v>
      </c>
      <c r="C133" s="13">
        <v>15280</v>
      </c>
      <c r="D133" s="13">
        <v>15280</v>
      </c>
      <c r="E133" s="1">
        <f t="shared" ref="E133:F141" si="21">E$30</f>
        <v>9.24</v>
      </c>
      <c r="F133" s="1">
        <f t="shared" si="21"/>
        <v>8.6300000000000008</v>
      </c>
      <c r="G133" s="7">
        <f t="shared" ref="G133:G141" si="22">IF(E133&gt;I133,(E133-F133)*C133,0)</f>
        <v>0</v>
      </c>
      <c r="H133" s="7">
        <f t="shared" ref="H133:H141" si="23">IF(E133&gt;I133,(E133-F133)*C133*0.5895,0)</f>
        <v>0</v>
      </c>
      <c r="I133" s="1">
        <v>18.375</v>
      </c>
      <c r="J133" s="7">
        <f t="shared" ref="J133:J141" si="24">IF(C133*(E133-I133)&gt;0,C133*(E133-I133),0)</f>
        <v>0</v>
      </c>
      <c r="K133" s="7">
        <f>J133*0.5995</f>
        <v>0</v>
      </c>
      <c r="L133" s="3">
        <v>2</v>
      </c>
      <c r="M133" s="80" t="s">
        <v>60</v>
      </c>
      <c r="N133" s="26"/>
      <c r="O133" s="7" t="s">
        <v>52</v>
      </c>
      <c r="P133" s="15" t="s">
        <v>52</v>
      </c>
    </row>
    <row r="134" spans="1:16" x14ac:dyDescent="0.2">
      <c r="A134" s="8" t="s">
        <v>52</v>
      </c>
      <c r="B134" s="2" t="s">
        <v>122</v>
      </c>
      <c r="C134" s="13">
        <v>5130</v>
      </c>
      <c r="D134" s="13">
        <v>0</v>
      </c>
      <c r="E134" s="1">
        <f t="shared" si="21"/>
        <v>9.24</v>
      </c>
      <c r="F134" s="1">
        <f t="shared" si="21"/>
        <v>8.6300000000000008</v>
      </c>
      <c r="G134" s="7">
        <f t="shared" si="22"/>
        <v>0</v>
      </c>
      <c r="H134" s="7">
        <f t="shared" si="23"/>
        <v>0</v>
      </c>
      <c r="I134" s="1">
        <v>55.5</v>
      </c>
      <c r="J134" s="7">
        <f t="shared" si="24"/>
        <v>0</v>
      </c>
      <c r="K134" s="7">
        <f t="shared" ref="K134:K141" si="25">J134*0.5895</f>
        <v>0</v>
      </c>
      <c r="L134" s="3">
        <v>2</v>
      </c>
      <c r="M134" s="80">
        <f>SUMIF(L111:L142,1,K111:K142)+M100</f>
        <v>6141454.3884400008</v>
      </c>
      <c r="N134" s="26">
        <f>M134/M138</f>
        <v>1.0329793044276161</v>
      </c>
      <c r="O134" s="7" t="s">
        <v>52</v>
      </c>
      <c r="P134" s="15" t="s">
        <v>52</v>
      </c>
    </row>
    <row r="135" spans="1:16" x14ac:dyDescent="0.2">
      <c r="A135" s="8"/>
      <c r="B135" s="2" t="s">
        <v>123</v>
      </c>
      <c r="C135" s="13">
        <v>25</v>
      </c>
      <c r="D135" s="13">
        <v>0</v>
      </c>
      <c r="E135" s="1">
        <f t="shared" si="21"/>
        <v>9.24</v>
      </c>
      <c r="F135" s="1">
        <f t="shared" si="21"/>
        <v>8.6300000000000008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si="25"/>
        <v>0</v>
      </c>
      <c r="L135" s="3">
        <v>2</v>
      </c>
      <c r="M135" s="80" t="s">
        <v>160</v>
      </c>
      <c r="N135" s="26"/>
      <c r="P135" s="2" t="s">
        <v>52</v>
      </c>
    </row>
    <row r="136" spans="1:16" x14ac:dyDescent="0.2">
      <c r="A136" s="8"/>
      <c r="B136" s="2" t="s">
        <v>124</v>
      </c>
      <c r="C136" s="13">
        <v>7608</v>
      </c>
      <c r="D136" s="13">
        <v>0</v>
      </c>
      <c r="E136" s="1">
        <f t="shared" si="21"/>
        <v>9.24</v>
      </c>
      <c r="F136" s="1">
        <f t="shared" si="21"/>
        <v>8.6300000000000008</v>
      </c>
      <c r="G136" s="7">
        <f t="shared" si="22"/>
        <v>0</v>
      </c>
      <c r="H136" s="7">
        <f t="shared" si="23"/>
        <v>0</v>
      </c>
      <c r="I136" s="1">
        <v>75.0625</v>
      </c>
      <c r="J136" s="7">
        <f t="shared" si="24"/>
        <v>0</v>
      </c>
      <c r="K136" s="7">
        <f t="shared" si="25"/>
        <v>0</v>
      </c>
      <c r="L136" s="3">
        <v>2</v>
      </c>
      <c r="M136" s="80">
        <f>+M102</f>
        <v>-530000</v>
      </c>
      <c r="N136" s="26">
        <f>+M136/M138</f>
        <v>-8.9144850180301091E-2</v>
      </c>
      <c r="P136" s="15" t="s">
        <v>52</v>
      </c>
    </row>
    <row r="137" spans="1:16" x14ac:dyDescent="0.2">
      <c r="A137" s="8"/>
      <c r="B137" s="2" t="s">
        <v>125</v>
      </c>
      <c r="C137" s="13">
        <v>2540</v>
      </c>
      <c r="D137" s="13">
        <v>0</v>
      </c>
      <c r="E137" s="1">
        <f t="shared" si="21"/>
        <v>9.24</v>
      </c>
      <c r="F137" s="1">
        <f t="shared" si="21"/>
        <v>8.6300000000000008</v>
      </c>
      <c r="G137" s="7">
        <f t="shared" si="22"/>
        <v>0</v>
      </c>
      <c r="H137" s="7">
        <f t="shared" si="23"/>
        <v>0</v>
      </c>
      <c r="I137" s="1">
        <v>76</v>
      </c>
      <c r="J137" s="7">
        <f t="shared" si="24"/>
        <v>0</v>
      </c>
      <c r="K137" s="7">
        <f t="shared" si="25"/>
        <v>0</v>
      </c>
      <c r="L137" s="3">
        <v>2</v>
      </c>
      <c r="M137" s="80" t="s">
        <v>90</v>
      </c>
      <c r="N137" s="26"/>
    </row>
    <row r="138" spans="1:16" x14ac:dyDescent="0.2">
      <c r="A138" s="8"/>
      <c r="B138" s="2" t="s">
        <v>140</v>
      </c>
      <c r="C138" s="13">
        <v>1524</v>
      </c>
      <c r="D138" s="13">
        <v>0</v>
      </c>
      <c r="E138" s="1">
        <f t="shared" si="21"/>
        <v>9.24</v>
      </c>
      <c r="F138" s="1">
        <f t="shared" si="21"/>
        <v>8.6300000000000008</v>
      </c>
      <c r="G138" s="7">
        <f t="shared" si="22"/>
        <v>0</v>
      </c>
      <c r="H138" s="7">
        <f t="shared" si="23"/>
        <v>0</v>
      </c>
      <c r="I138" s="1">
        <v>83.125</v>
      </c>
      <c r="J138" s="7">
        <f t="shared" si="24"/>
        <v>0</v>
      </c>
      <c r="K138" s="7">
        <f t="shared" si="25"/>
        <v>0</v>
      </c>
      <c r="L138" s="3">
        <v>2</v>
      </c>
      <c r="M138" s="80">
        <f>SUM(K111:K133)+K107</f>
        <v>5945379.8949467242</v>
      </c>
      <c r="N138" s="26">
        <f>+M138/K144</f>
        <v>0.99999999999999989</v>
      </c>
    </row>
    <row r="139" spans="1:16" x14ac:dyDescent="0.2">
      <c r="A139" s="8"/>
      <c r="B139" s="2" t="s">
        <v>141</v>
      </c>
      <c r="C139" s="13">
        <v>1968</v>
      </c>
      <c r="D139" s="13">
        <v>0</v>
      </c>
      <c r="E139" s="1">
        <f t="shared" si="21"/>
        <v>9.24</v>
      </c>
      <c r="F139" s="1">
        <f t="shared" si="21"/>
        <v>8.6300000000000008</v>
      </c>
      <c r="G139" s="7">
        <f>IF(E139&gt;I139,(E139-F139)*C139,0)</f>
        <v>0</v>
      </c>
      <c r="H139" s="7">
        <f>IF(E139&gt;I139,(E139-F139)*C139*0.5895,0)</f>
        <v>0</v>
      </c>
      <c r="I139" s="1">
        <v>62.41</v>
      </c>
      <c r="J139" s="7">
        <f>IF(C139*(E139-I139)&gt;0,C139*(E139-I139),0)</f>
        <v>0</v>
      </c>
      <c r="K139" s="7">
        <f t="shared" si="25"/>
        <v>0</v>
      </c>
      <c r="L139" s="3">
        <v>2</v>
      </c>
      <c r="M139" s="80" t="s">
        <v>52</v>
      </c>
      <c r="N139" s="80" t="s">
        <v>52</v>
      </c>
    </row>
    <row r="140" spans="1:16" x14ac:dyDescent="0.2">
      <c r="A140" s="8"/>
      <c r="B140" s="2" t="s">
        <v>146</v>
      </c>
      <c r="C140" s="13">
        <v>1967</v>
      </c>
      <c r="D140" s="13">
        <v>0</v>
      </c>
      <c r="E140" s="1">
        <f t="shared" si="21"/>
        <v>9.24</v>
      </c>
      <c r="F140" s="1">
        <f t="shared" si="21"/>
        <v>8.6300000000000008</v>
      </c>
      <c r="G140" s="7">
        <f>IF(E140&gt;I140,(E140-F140)*C140,0)</f>
        <v>0</v>
      </c>
      <c r="H140" s="7">
        <f>IF(E140&gt;I140,(E140-F140)*C140*0.5895,0)</f>
        <v>0</v>
      </c>
      <c r="I140" s="1">
        <v>54.03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">
      <c r="A141" s="8"/>
      <c r="B141" s="2" t="s">
        <v>154</v>
      </c>
      <c r="C141" s="13">
        <f>2778-417</f>
        <v>2361</v>
      </c>
      <c r="D141" s="13">
        <v>0</v>
      </c>
      <c r="E141" s="1">
        <f t="shared" si="21"/>
        <v>9.24</v>
      </c>
      <c r="F141" s="1">
        <f t="shared" si="21"/>
        <v>8.6300000000000008</v>
      </c>
      <c r="G141" s="7">
        <f t="shared" si="22"/>
        <v>0</v>
      </c>
      <c r="H141" s="7">
        <f t="shared" si="23"/>
        <v>0</v>
      </c>
      <c r="I141" s="1">
        <v>48.3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ht="13.5" thickBot="1" x14ac:dyDescent="0.25">
      <c r="A142" s="8"/>
      <c r="B142" s="17"/>
      <c r="C142" s="24" t="s">
        <v>52</v>
      </c>
      <c r="D142" s="24"/>
      <c r="E142" s="18"/>
      <c r="F142" s="18"/>
      <c r="G142" s="19"/>
      <c r="H142" s="19"/>
      <c r="I142" s="18"/>
      <c r="J142" s="19"/>
      <c r="K142" s="44"/>
      <c r="L142" s="65"/>
      <c r="M142" s="93"/>
      <c r="N142" s="93"/>
    </row>
    <row r="143" spans="1:16" x14ac:dyDescent="0.2">
      <c r="A143" s="8"/>
      <c r="C143" s="13" t="s">
        <v>52</v>
      </c>
      <c r="M143" s="80" t="s">
        <v>56</v>
      </c>
    </row>
    <row r="144" spans="1:16" x14ac:dyDescent="0.2">
      <c r="A144" s="8" t="s">
        <v>17</v>
      </c>
      <c r="B144" s="29" t="s">
        <v>52</v>
      </c>
      <c r="C144" s="13">
        <f>SUM(C124:C141)+C107</f>
        <v>66082.211299999995</v>
      </c>
      <c r="D144" s="13">
        <f>SUM(D124:D141)+D107</f>
        <v>30041.211300000003</v>
      </c>
      <c r="G144" s="7">
        <f>SUM(G107:G142)</f>
        <v>33884.868893000043</v>
      </c>
      <c r="H144" s="7">
        <f>SUM(H107:H142)</f>
        <v>30680.686513000055</v>
      </c>
      <c r="J144" s="7">
        <f>SUM(J107:J142)</f>
        <v>5988108.6653387258</v>
      </c>
      <c r="K144" s="7">
        <f>SUM(K107:K142)</f>
        <v>5945379.8949467251</v>
      </c>
      <c r="M144" s="92">
        <f>SUM(K124:K141)+M107</f>
        <v>46475.733611999996</v>
      </c>
      <c r="N144" s="94">
        <f>M144/K144</f>
        <v>7.8171175657760807E-3</v>
      </c>
    </row>
    <row r="145" spans="1:14" ht="13.5" thickBot="1" x14ac:dyDescent="0.25">
      <c r="A145" s="8"/>
      <c r="B145" s="17"/>
      <c r="C145" s="24"/>
      <c r="D145" s="24"/>
      <c r="E145" s="18"/>
      <c r="F145" s="18"/>
      <c r="G145" s="19"/>
      <c r="H145" s="19"/>
      <c r="I145" s="18"/>
      <c r="J145" s="19"/>
      <c r="K145" s="19"/>
      <c r="L145" s="65"/>
      <c r="M145" s="93"/>
      <c r="N145" s="93"/>
    </row>
    <row r="146" spans="1:14" x14ac:dyDescent="0.2">
      <c r="A146" s="8"/>
    </row>
    <row r="147" spans="1:14" x14ac:dyDescent="0.2">
      <c r="A147" s="21" t="s">
        <v>52</v>
      </c>
      <c r="B147" s="73" t="s">
        <v>52</v>
      </c>
      <c r="E147" s="2" t="s">
        <v>52</v>
      </c>
      <c r="F147" s="2" t="s">
        <v>52</v>
      </c>
      <c r="G147" s="2"/>
      <c r="H147" s="2"/>
      <c r="I147" s="2"/>
      <c r="K147" s="20">
        <v>4.9000000000000002E-2</v>
      </c>
      <c r="L147" s="66"/>
      <c r="M147" s="81"/>
    </row>
    <row r="148" spans="1:14" x14ac:dyDescent="0.2">
      <c r="A148" s="21" t="s">
        <v>52</v>
      </c>
      <c r="B148" s="73"/>
      <c r="D148" s="13" t="s">
        <v>52</v>
      </c>
      <c r="E148" s="28" t="s">
        <v>52</v>
      </c>
      <c r="F148" s="28" t="s">
        <v>52</v>
      </c>
      <c r="G148" s="2"/>
      <c r="H148" s="2"/>
      <c r="I148" s="2"/>
      <c r="K148" s="7">
        <f>K107*K147</f>
        <v>286771.74404400948</v>
      </c>
      <c r="L148" s="66"/>
      <c r="M148" s="81" t="s">
        <v>52</v>
      </c>
    </row>
    <row r="149" spans="1:14" x14ac:dyDescent="0.2">
      <c r="A149" s="2" t="s">
        <v>52</v>
      </c>
      <c r="B149" s="73" t="s">
        <v>52</v>
      </c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K144*K147</f>
        <v>291323.61485238955</v>
      </c>
      <c r="L149" s="66"/>
      <c r="M149" s="81" t="s">
        <v>52</v>
      </c>
    </row>
    <row r="150" spans="1:14" x14ac:dyDescent="0.2"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15"/>
      <c r="L150" s="66"/>
      <c r="M150" s="81" t="s">
        <v>52</v>
      </c>
    </row>
    <row r="151" spans="1:14" x14ac:dyDescent="0.2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 t="s">
        <v>52</v>
      </c>
      <c r="I151" s="2"/>
      <c r="K151" s="15"/>
      <c r="L151" s="66"/>
      <c r="M151" s="81"/>
    </row>
    <row r="152" spans="1:14" x14ac:dyDescent="0.2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7" t="s">
        <v>52</v>
      </c>
      <c r="L152" s="66"/>
      <c r="M152" s="81"/>
    </row>
    <row r="153" spans="1:14" x14ac:dyDescent="0.2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 t="s">
        <v>52</v>
      </c>
      <c r="L153" s="66"/>
      <c r="M153" s="81"/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 t="s">
        <v>52</v>
      </c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 t="s">
        <v>52</v>
      </c>
      <c r="H160" s="2"/>
      <c r="I160" s="2"/>
      <c r="K160" s="15"/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"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D163" s="13" t="s">
        <v>52</v>
      </c>
      <c r="E163" s="28" t="s">
        <v>52</v>
      </c>
      <c r="F163" s="28" t="s">
        <v>52</v>
      </c>
      <c r="G163" s="2"/>
      <c r="H163" s="2"/>
      <c r="I163" s="2"/>
      <c r="L163" s="66"/>
      <c r="M163" s="81"/>
    </row>
    <row r="164" spans="2:13" x14ac:dyDescent="0.2"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E167" s="2"/>
      <c r="F167" s="2"/>
      <c r="G167" s="2"/>
      <c r="H167" s="2"/>
      <c r="I167" s="2"/>
      <c r="K167" s="15"/>
      <c r="L167" s="66"/>
      <c r="M167" s="81"/>
    </row>
    <row r="168" spans="2:13" x14ac:dyDescent="0.2">
      <c r="E168" s="2"/>
      <c r="F168" s="2"/>
      <c r="G168" s="2"/>
      <c r="H168" s="2"/>
      <c r="I168" s="2"/>
      <c r="K168" s="15"/>
      <c r="L168" s="66"/>
      <c r="M168" s="81"/>
    </row>
    <row r="169" spans="2:13" x14ac:dyDescent="0.2">
      <c r="E169" s="2"/>
      <c r="F169" s="2"/>
      <c r="G169" s="2"/>
      <c r="H169" s="2"/>
      <c r="I169" s="2"/>
      <c r="K169" s="15"/>
      <c r="L169" s="66"/>
      <c r="M169" s="81"/>
    </row>
    <row r="170" spans="2:13" x14ac:dyDescent="0.2">
      <c r="E170" s="2"/>
      <c r="F170" s="2"/>
      <c r="G170" s="2" t="s">
        <v>52</v>
      </c>
      <c r="H170" s="2"/>
      <c r="I170" s="2"/>
      <c r="K170" s="15"/>
      <c r="L170" s="66"/>
      <c r="M170" s="81"/>
    </row>
    <row r="171" spans="2:13" x14ac:dyDescent="0.2">
      <c r="E171" s="2"/>
      <c r="F171" s="2"/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C182" s="13" t="s">
        <v>52</v>
      </c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B188" s="2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L225" s="66"/>
      <c r="M225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30778.440000000002</v>
      </c>
      <c r="C7" s="16">
        <f>H33</f>
        <v>18451.674780000001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2661.12</v>
      </c>
      <c r="H25" s="11">
        <f t="shared" si="0"/>
        <v>1595.3414399999999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C33*(Sheet1!$E$30-D33)</f>
        <v>30778.440000000002</v>
      </c>
      <c r="H33" s="11">
        <f t="shared" si="0"/>
        <v>18451.674780000001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2060.52</v>
      </c>
      <c r="H46" s="11">
        <f t="shared" si="0"/>
        <v>1235.2817400000001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2060.52</v>
      </c>
      <c r="H47" s="11">
        <f t="shared" si="0"/>
        <v>1235.2817400000001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2051.2800000000002</v>
      </c>
      <c r="H48" s="11">
        <f t="shared" si="0"/>
        <v>1229.7423600000002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2420.88</v>
      </c>
      <c r="H57" s="11">
        <f t="shared" si="0"/>
        <v>1451.3175600000002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2420.88</v>
      </c>
      <c r="H58" s="11">
        <f t="shared" si="0"/>
        <v>1451.3175600000002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2420.88</v>
      </c>
      <c r="H59" s="11">
        <f t="shared" si="0"/>
        <v>1451.3175600000002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2661.12</v>
      </c>
      <c r="H68" s="11">
        <f t="shared" si="0"/>
        <v>1595.3414399999999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2661.12</v>
      </c>
      <c r="H69" s="11">
        <f t="shared" si="0"/>
        <v>1595.3414399999999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2651.88</v>
      </c>
      <c r="H70" s="11">
        <f t="shared" si="0"/>
        <v>1589.8020600000002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54848.639999999992</v>
      </c>
      <c r="H75" s="15">
        <f>SUM(H14:H73)</f>
        <v>32881.759679999996</v>
      </c>
      <c r="I75" s="10"/>
      <c r="J75" s="9" t="s">
        <v>52</v>
      </c>
    </row>
    <row r="76" spans="1:11" ht="13.5" thickBot="1" x14ac:dyDescent="0.25">
      <c r="C76" s="31" t="s">
        <v>92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95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96</v>
      </c>
      <c r="G84" s="15"/>
      <c r="H84" s="15"/>
    </row>
    <row r="85" spans="2:8" x14ac:dyDescent="0.2">
      <c r="B85" s="76">
        <f>8102.62*11</f>
        <v>89128.819999999992</v>
      </c>
      <c r="C85" s="31" t="s">
        <v>97</v>
      </c>
      <c r="G85" s="15"/>
      <c r="H85" s="15"/>
    </row>
    <row r="86" spans="2:8" x14ac:dyDescent="0.2">
      <c r="B86" s="76">
        <v>333000</v>
      </c>
      <c r="C86" s="31" t="s">
        <v>105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98</v>
      </c>
      <c r="G92" s="15"/>
      <c r="H92" s="15"/>
    </row>
    <row r="93" spans="2:8" ht="13.5" thickBot="1" x14ac:dyDescent="0.25">
      <c r="B93" s="77">
        <v>0.39600000000000002</v>
      </c>
      <c r="C93" s="74" t="s">
        <v>99</v>
      </c>
      <c r="G93" s="15"/>
      <c r="H93" s="15"/>
    </row>
    <row r="94" spans="2:8" x14ac:dyDescent="0.2">
      <c r="B94" s="76"/>
      <c r="C94" s="32" t="s">
        <v>101</v>
      </c>
      <c r="G94" s="15"/>
      <c r="H94" s="15"/>
    </row>
    <row r="95" spans="2:8" x14ac:dyDescent="0.2">
      <c r="B95" s="76">
        <f>B92*B93</f>
        <v>841757.00795999996</v>
      </c>
      <c r="C95" s="32" t="s">
        <v>100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102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103</v>
      </c>
      <c r="G99" s="15"/>
      <c r="H99" s="15"/>
    </row>
    <row r="100" spans="2:8" x14ac:dyDescent="0.2">
      <c r="B100" s="76"/>
      <c r="C100" s="32" t="s">
        <v>104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106</v>
      </c>
      <c r="G102" s="15"/>
      <c r="H102" s="15"/>
    </row>
    <row r="103" spans="2:8" ht="13.5" thickBot="1" x14ac:dyDescent="0.25">
      <c r="B103" s="77"/>
      <c r="C103" s="32" t="s">
        <v>107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108</v>
      </c>
      <c r="G105" s="15"/>
      <c r="H105" s="15"/>
    </row>
    <row r="106" spans="2:8" ht="13.5" thickBot="1" x14ac:dyDescent="0.25">
      <c r="B106" s="77"/>
      <c r="C106" s="32" t="s">
        <v>109</v>
      </c>
      <c r="G106" s="15"/>
      <c r="H106" s="15"/>
    </row>
    <row r="107" spans="2:8" x14ac:dyDescent="0.2">
      <c r="B107" s="76"/>
      <c r="C107" s="32" t="s">
        <v>110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112</v>
      </c>
    </row>
    <row r="110" spans="2:8" x14ac:dyDescent="0.2">
      <c r="B110" s="76">
        <f>+B$105/4</f>
        <v>59533.324489999985</v>
      </c>
      <c r="C110" s="32" t="s">
        <v>113</v>
      </c>
    </row>
    <row r="111" spans="2:8" x14ac:dyDescent="0.2">
      <c r="B111" s="76">
        <f>+B$105/4</f>
        <v>59533.324489999985</v>
      </c>
      <c r="C111" s="32" t="s">
        <v>114</v>
      </c>
    </row>
    <row r="112" spans="2:8" x14ac:dyDescent="0.2">
      <c r="B112" s="76">
        <f>+B$105/4</f>
        <v>59533.324489999985</v>
      </c>
      <c r="C112" s="32" t="s">
        <v>111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2023-09-20T00:38:40Z</dcterms:modified>
</cp:coreProperties>
</file>