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6EBE7D-FB15-4064-A538-E09FA553B74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E40" i="1"/>
  <c r="F40" i="1"/>
  <c r="G40" i="1"/>
  <c r="H40" i="1"/>
  <c r="J40" i="1"/>
  <c r="K40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D45" i="1"/>
  <c r="E45" i="1"/>
  <c r="F45" i="1"/>
  <c r="G45" i="1"/>
  <c r="H45" i="1"/>
  <c r="J45" i="1"/>
  <c r="K45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D57" i="1"/>
  <c r="E57" i="1"/>
  <c r="F57" i="1"/>
  <c r="G57" i="1"/>
  <c r="H57" i="1"/>
  <c r="J57" i="1"/>
  <c r="K57" i="1"/>
  <c r="D60" i="1"/>
  <c r="E60" i="1"/>
  <c r="F60" i="1"/>
  <c r="G60" i="1"/>
  <c r="H60" i="1"/>
  <c r="J60" i="1"/>
  <c r="K60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2" i="1"/>
  <c r="H92" i="1"/>
  <c r="J92" i="1"/>
  <c r="K92" i="1"/>
  <c r="G94" i="1"/>
  <c r="H94" i="1"/>
  <c r="J94" i="1"/>
  <c r="K94" i="1"/>
  <c r="G95" i="1"/>
  <c r="H95" i="1"/>
  <c r="J95" i="1"/>
  <c r="K95" i="1"/>
  <c r="G97" i="1"/>
  <c r="H97" i="1"/>
  <c r="J97" i="1"/>
  <c r="K97" i="1"/>
  <c r="G98" i="1"/>
  <c r="H98" i="1"/>
  <c r="J98" i="1"/>
  <c r="K98" i="1"/>
  <c r="M98" i="1"/>
  <c r="N98" i="1"/>
  <c r="G99" i="1"/>
  <c r="H99" i="1"/>
  <c r="J99" i="1"/>
  <c r="K99" i="1"/>
  <c r="M99" i="1"/>
  <c r="N99" i="1"/>
  <c r="G100" i="1"/>
  <c r="H100" i="1"/>
  <c r="J100" i="1"/>
  <c r="K100" i="1"/>
  <c r="G101" i="1"/>
  <c r="H101" i="1"/>
  <c r="J101" i="1"/>
  <c r="K101" i="1"/>
  <c r="M101" i="1"/>
  <c r="N101" i="1"/>
  <c r="J103" i="1"/>
  <c r="K103" i="1"/>
  <c r="M103" i="1"/>
  <c r="N103" i="1"/>
  <c r="J104" i="1"/>
  <c r="K104" i="1"/>
  <c r="J105" i="1"/>
  <c r="K105" i="1"/>
  <c r="M105" i="1"/>
  <c r="N105" i="1"/>
  <c r="C108" i="1"/>
  <c r="D108" i="1"/>
  <c r="G108" i="1"/>
  <c r="H108" i="1"/>
  <c r="J108" i="1"/>
  <c r="K108" i="1"/>
  <c r="M108" i="1"/>
  <c r="N108" i="1"/>
  <c r="G112" i="1"/>
  <c r="H112" i="1"/>
  <c r="J112" i="1"/>
  <c r="K112" i="1"/>
  <c r="E113" i="1"/>
  <c r="F113" i="1"/>
  <c r="G113" i="1"/>
  <c r="H113" i="1"/>
  <c r="J113" i="1"/>
  <c r="K113" i="1"/>
  <c r="G114" i="1"/>
  <c r="H114" i="1"/>
  <c r="J114" i="1"/>
  <c r="K114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E121" i="1"/>
  <c r="F121" i="1"/>
  <c r="G121" i="1"/>
  <c r="H121" i="1"/>
  <c r="J121" i="1"/>
  <c r="K121" i="1"/>
  <c r="G122" i="1"/>
  <c r="H122" i="1"/>
  <c r="J122" i="1"/>
  <c r="K122" i="1"/>
  <c r="E125" i="1"/>
  <c r="F125" i="1"/>
  <c r="G125" i="1"/>
  <c r="H125" i="1"/>
  <c r="J125" i="1"/>
  <c r="K125" i="1"/>
  <c r="M125" i="1"/>
  <c r="E128" i="1"/>
  <c r="F128" i="1"/>
  <c r="E129" i="1"/>
  <c r="F129" i="1"/>
  <c r="E130" i="1"/>
  <c r="F130" i="1"/>
  <c r="E131" i="1"/>
  <c r="F131" i="1"/>
  <c r="M132" i="1"/>
  <c r="N132" i="1"/>
  <c r="M133" i="1"/>
  <c r="N133" i="1"/>
  <c r="E134" i="1"/>
  <c r="F134" i="1"/>
  <c r="G134" i="1"/>
  <c r="H134" i="1"/>
  <c r="J134" i="1"/>
  <c r="K134" i="1"/>
  <c r="E135" i="1"/>
  <c r="F135" i="1"/>
  <c r="G135" i="1"/>
  <c r="H135" i="1"/>
  <c r="J135" i="1"/>
  <c r="K135" i="1"/>
  <c r="M135" i="1"/>
  <c r="N135" i="1"/>
  <c r="E136" i="1"/>
  <c r="F136" i="1"/>
  <c r="G136" i="1"/>
  <c r="H136" i="1"/>
  <c r="J136" i="1"/>
  <c r="K136" i="1"/>
  <c r="E137" i="1"/>
  <c r="F137" i="1"/>
  <c r="G137" i="1"/>
  <c r="H137" i="1"/>
  <c r="J137" i="1"/>
  <c r="K137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C142" i="1"/>
  <c r="E142" i="1"/>
  <c r="F142" i="1"/>
  <c r="G142" i="1"/>
  <c r="H142" i="1"/>
  <c r="J142" i="1"/>
  <c r="K142" i="1"/>
  <c r="C145" i="1"/>
  <c r="D145" i="1"/>
  <c r="G145" i="1"/>
  <c r="H145" i="1"/>
  <c r="J145" i="1"/>
  <c r="K145" i="1"/>
  <c r="M145" i="1"/>
  <c r="N145" i="1"/>
  <c r="K149" i="1"/>
  <c r="K150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<sst xmlns="http://schemas.openxmlformats.org/spreadsheetml/2006/main" count="913" uniqueCount="172">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</sst>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6"/>
  <sheetViews>
    <sheetView tabSelected="1" zoomScale="85" zoomScaleNormal="85" workbookViewId="0">
      <pane xSplit="2" ySplit="3" topLeftCell="C72" activePane="bottomRight" state="frozen"/>
      <selection pane="topRight" activeCell="C1" sqref="C1"/>
      <selection pane="bottomLeft" activeCell="A4" sqref="A4"/>
      <selection pane="bottomRight" activeCell="E80" sqref="E80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115</v>
      </c>
      <c r="H1" s="11" t="s">
        <v>116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37210</v>
      </c>
      <c r="F3" s="12">
        <v>37210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120</v>
      </c>
      <c r="C5" s="67">
        <f>2318600-14010-90</f>
        <v>2304500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2304500</v>
      </c>
      <c r="K5" s="7">
        <f>J5</f>
        <v>2304500</v>
      </c>
      <c r="L5" s="3">
        <v>1</v>
      </c>
    </row>
    <row r="6" spans="1:15" x14ac:dyDescent="0.2">
      <c r="A6" s="30" t="s">
        <v>52</v>
      </c>
      <c r="B6" s="2" t="s">
        <v>91</v>
      </c>
      <c r="C6" s="13">
        <v>1000</v>
      </c>
      <c r="D6" s="13" t="s">
        <v>52</v>
      </c>
      <c r="E6" s="1">
        <v>13.94</v>
      </c>
      <c r="F6" s="1">
        <v>14.24</v>
      </c>
      <c r="G6" s="7">
        <f>C6*(E6-F6)</f>
        <v>-300.00000000000068</v>
      </c>
      <c r="H6" s="7">
        <f>C6*(E6-F6)</f>
        <v>-300.00000000000068</v>
      </c>
      <c r="J6" s="7">
        <f>C6*E6</f>
        <v>13940</v>
      </c>
      <c r="K6" s="7">
        <f>J6</f>
        <v>13940</v>
      </c>
      <c r="L6" s="3">
        <v>2</v>
      </c>
    </row>
    <row r="7" spans="1:15" x14ac:dyDescent="0.2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-10000</v>
      </c>
      <c r="D9" s="13" t="s">
        <v>52</v>
      </c>
      <c r="E9" s="1">
        <v>99</v>
      </c>
      <c r="F9" s="1">
        <v>98.55</v>
      </c>
      <c r="G9" s="7">
        <f>C9*(E9-F9)</f>
        <v>-4500.0000000000282</v>
      </c>
      <c r="H9" s="7">
        <f>C9*(E9-F9)</f>
        <v>-4500.0000000000282</v>
      </c>
      <c r="J9" s="7">
        <f>G9</f>
        <v>-4500.0000000000282</v>
      </c>
      <c r="K9" s="7">
        <f t="shared" ref="K9:K15" si="0">J9</f>
        <v>-4500.0000000000282</v>
      </c>
      <c r="L9" s="3">
        <v>1</v>
      </c>
    </row>
    <row r="10" spans="1:15" x14ac:dyDescent="0.2">
      <c r="A10" s="30"/>
      <c r="B10" s="62" t="s">
        <v>166</v>
      </c>
      <c r="C10" s="13">
        <v>-20000</v>
      </c>
      <c r="D10" s="13" t="s">
        <v>52</v>
      </c>
      <c r="E10" s="1">
        <v>114.87</v>
      </c>
      <c r="F10" s="1">
        <v>114.66</v>
      </c>
      <c r="G10" s="7">
        <f>C10*(E10-F10)</f>
        <v>-4200.0000000001592</v>
      </c>
      <c r="H10" s="7">
        <f>C10*(E10-F10)</f>
        <v>-4200.0000000001592</v>
      </c>
      <c r="J10" s="7">
        <f>G10</f>
        <v>-4200.0000000001592</v>
      </c>
      <c r="K10" s="7">
        <f t="shared" si="0"/>
        <v>-4200.0000000001592</v>
      </c>
      <c r="L10" s="3">
        <v>1</v>
      </c>
    </row>
    <row r="11" spans="1:15" x14ac:dyDescent="0.2">
      <c r="A11" s="30"/>
      <c r="B11" s="62" t="s">
        <v>167</v>
      </c>
      <c r="C11" s="13">
        <v>-10000</v>
      </c>
      <c r="D11" s="13" t="s">
        <v>52</v>
      </c>
      <c r="E11" s="1">
        <v>39.5</v>
      </c>
      <c r="F11" s="1">
        <v>39.64</v>
      </c>
      <c r="G11" s="7">
        <f>C11*(E11-F11)</f>
        <v>1400.0000000000057</v>
      </c>
      <c r="H11" s="7">
        <f>C11*(E11-F11)</f>
        <v>1400.0000000000057</v>
      </c>
      <c r="J11" s="7">
        <f>G11</f>
        <v>1400.0000000000057</v>
      </c>
      <c r="K11" s="7">
        <f t="shared" si="0"/>
        <v>1400.0000000000057</v>
      </c>
      <c r="L11" s="3">
        <v>1</v>
      </c>
    </row>
    <row r="12" spans="1:15" x14ac:dyDescent="0.2">
      <c r="A12" s="30"/>
      <c r="B12" s="62" t="s">
        <v>171</v>
      </c>
      <c r="C12" s="13">
        <v>-5000</v>
      </c>
      <c r="D12" s="13" t="s">
        <v>52</v>
      </c>
      <c r="E12" s="1">
        <v>44</v>
      </c>
      <c r="F12" s="1">
        <v>46.2</v>
      </c>
      <c r="G12" s="7">
        <f>C12*(E12-F12)</f>
        <v>11000.000000000015</v>
      </c>
      <c r="H12" s="7">
        <f>C12*(E12-F12)</f>
        <v>11000.000000000015</v>
      </c>
      <c r="J12" s="7">
        <f>G12</f>
        <v>11000.000000000015</v>
      </c>
      <c r="K12" s="7">
        <f t="shared" si="0"/>
        <v>11000.000000000015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H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162</v>
      </c>
      <c r="C15" s="13">
        <v>-19000</v>
      </c>
      <c r="E15" s="1">
        <v>0.05</v>
      </c>
      <c r="F15" s="1">
        <v>0.05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950</v>
      </c>
      <c r="N15" s="80" t="s">
        <v>52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2322140</v>
      </c>
      <c r="N17" s="80">
        <v>2318740</v>
      </c>
      <c r="O17" s="67">
        <f>M17-N17</f>
        <v>3400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118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119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14.79</v>
      </c>
      <c r="F23" s="1">
        <v>14.92</v>
      </c>
      <c r="G23" s="7">
        <f t="shared" ref="G23:G28" si="1">C23*(E23-F23)</f>
        <v>-117.00000000000071</v>
      </c>
      <c r="H23" s="7">
        <f t="shared" ref="H23:H28" si="2">C23*(E23-F23)</f>
        <v>-117.00000000000071</v>
      </c>
      <c r="I23" s="1"/>
      <c r="J23" s="7">
        <f t="shared" ref="J23:J28" si="3">C23*E23</f>
        <v>13311</v>
      </c>
      <c r="K23" s="7">
        <f t="shared" ref="K23:K34" si="4">J23</f>
        <v>13311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</v>
      </c>
      <c r="F24" s="1">
        <v>17.11</v>
      </c>
      <c r="G24" s="7">
        <f t="shared" si="1"/>
        <v>-10.999999999999943</v>
      </c>
      <c r="H24" s="7">
        <f t="shared" si="2"/>
        <v>-10.999999999999943</v>
      </c>
      <c r="I24" s="1"/>
      <c r="J24" s="7">
        <f t="shared" si="3"/>
        <v>1700</v>
      </c>
      <c r="K24" s="7">
        <f t="shared" si="4"/>
        <v>1700</v>
      </c>
      <c r="L24" s="3">
        <v>2</v>
      </c>
      <c r="M24" s="80" t="s">
        <v>52</v>
      </c>
    </row>
    <row r="25" spans="1:15" x14ac:dyDescent="0.2">
      <c r="A25" s="8"/>
      <c r="B25" s="62" t="s">
        <v>88</v>
      </c>
      <c r="C25" s="13">
        <v>83</v>
      </c>
      <c r="D25" s="13" t="s">
        <v>52</v>
      </c>
      <c r="E25" s="1">
        <v>42.05</v>
      </c>
      <c r="F25" s="1">
        <v>40.1</v>
      </c>
      <c r="G25" s="7">
        <f t="shared" si="1"/>
        <v>161.84999999999965</v>
      </c>
      <c r="H25" s="7">
        <f t="shared" si="2"/>
        <v>161.84999999999965</v>
      </c>
      <c r="I25" s="1"/>
      <c r="J25" s="7">
        <f t="shared" si="3"/>
        <v>3490.1499999999996</v>
      </c>
      <c r="K25" s="7">
        <f t="shared" si="4"/>
        <v>3490.1499999999996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11.5</v>
      </c>
      <c r="F26" s="1">
        <v>10.29</v>
      </c>
      <c r="G26" s="7">
        <f t="shared" si="1"/>
        <v>204.49000000000015</v>
      </c>
      <c r="H26" s="7">
        <f t="shared" si="2"/>
        <v>204.49000000000015</v>
      </c>
      <c r="I26" s="1"/>
      <c r="J26" s="7">
        <f t="shared" si="3"/>
        <v>1943.5</v>
      </c>
      <c r="K26" s="7">
        <f t="shared" si="4"/>
        <v>1943.5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2197.5300000000002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2197.5300000000002</v>
      </c>
      <c r="K27" s="7">
        <f t="shared" si="4"/>
        <v>2197.5300000000002</v>
      </c>
      <c r="L27" s="3">
        <v>1</v>
      </c>
      <c r="M27" s="80" t="s">
        <v>52</v>
      </c>
    </row>
    <row r="28" spans="1:15" x14ac:dyDescent="0.2">
      <c r="A28" s="8"/>
      <c r="B28" s="62" t="s">
        <v>139</v>
      </c>
      <c r="C28" s="13">
        <v>802.47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802.47</v>
      </c>
      <c r="K28" s="7">
        <f t="shared" si="4"/>
        <v>802.47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130</v>
      </c>
      <c r="C31" s="13">
        <v>267.94459999999998</v>
      </c>
      <c r="D31" s="13">
        <f>C31*1</f>
        <v>267.94459999999998</v>
      </c>
      <c r="E31" s="16">
        <v>9.48</v>
      </c>
      <c r="F31" s="16">
        <v>10</v>
      </c>
      <c r="G31" s="7">
        <f>C31*(E31-F31)</f>
        <v>-139.33119199999987</v>
      </c>
      <c r="H31" s="7">
        <f>C31*(E31-F31)</f>
        <v>-139.33119199999987</v>
      </c>
      <c r="I31" s="3"/>
      <c r="J31" s="7">
        <f>C31*E31</f>
        <v>2540.1148079999998</v>
      </c>
      <c r="K31" s="7">
        <f t="shared" si="4"/>
        <v>2540.1148079999998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117</v>
      </c>
      <c r="C32" s="13">
        <v>134178.76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134178.76</v>
      </c>
      <c r="K32" s="7">
        <f>J32</f>
        <v>134178.76</v>
      </c>
      <c r="L32" s="3">
        <v>1</v>
      </c>
      <c r="M32" s="80" t="s">
        <v>52</v>
      </c>
    </row>
    <row r="33" spans="1:15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15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15" x14ac:dyDescent="0.2">
      <c r="A35" s="8" t="s">
        <v>6</v>
      </c>
      <c r="B35" s="2" t="s">
        <v>23</v>
      </c>
      <c r="C35" s="13">
        <v>51648.45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51648.45</v>
      </c>
      <c r="K35" s="7">
        <f>J35</f>
        <v>51648.45</v>
      </c>
      <c r="L35" s="3">
        <v>1</v>
      </c>
      <c r="M35" s="80" t="s">
        <v>52</v>
      </c>
    </row>
    <row r="36" spans="1:15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15" x14ac:dyDescent="0.2">
      <c r="A37" s="8" t="s">
        <v>8</v>
      </c>
      <c r="B37" s="2" t="s">
        <v>130</v>
      </c>
      <c r="C37" s="13">
        <v>96.793000000000006</v>
      </c>
      <c r="D37" s="13">
        <f>C37*1</f>
        <v>96.793000000000006</v>
      </c>
      <c r="E37" s="1">
        <f>E$31</f>
        <v>9.48</v>
      </c>
      <c r="F37" s="1">
        <f>F$31</f>
        <v>10</v>
      </c>
      <c r="G37" s="7">
        <f>C37*(E37-F37)</f>
        <v>-50.332359999999959</v>
      </c>
      <c r="H37" s="7">
        <f>C37*(E37-F37)</f>
        <v>-50.332359999999959</v>
      </c>
      <c r="I37" s="1"/>
      <c r="J37" s="7">
        <f>C37*E37</f>
        <v>917.59764000000007</v>
      </c>
      <c r="K37" s="7">
        <f>J37</f>
        <v>917.59764000000007</v>
      </c>
      <c r="L37" s="3">
        <v>2</v>
      </c>
      <c r="M37" s="80" t="s">
        <v>52</v>
      </c>
    </row>
    <row r="38" spans="1:15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15" x14ac:dyDescent="0.2">
      <c r="A39" s="8" t="s">
        <v>66</v>
      </c>
      <c r="B39" s="5" t="s">
        <v>22</v>
      </c>
      <c r="D39" s="13" t="s">
        <v>52</v>
      </c>
      <c r="E39" s="3"/>
      <c r="F39" s="3"/>
      <c r="H39" s="7" t="s">
        <v>52</v>
      </c>
      <c r="I39" s="22" t="s">
        <v>52</v>
      </c>
      <c r="M39" s="80" t="s">
        <v>52</v>
      </c>
    </row>
    <row r="40" spans="1:15" s="97" customFormat="1" x14ac:dyDescent="0.2">
      <c r="A40" s="96" t="s">
        <v>52</v>
      </c>
      <c r="B40" s="97" t="s">
        <v>130</v>
      </c>
      <c r="C40" s="98">
        <v>8267</v>
      </c>
      <c r="D40" s="98">
        <v>8267</v>
      </c>
      <c r="E40" s="1">
        <f>E$31</f>
        <v>9.48</v>
      </c>
      <c r="F40" s="1">
        <f>F$31</f>
        <v>10</v>
      </c>
      <c r="G40" s="99">
        <f>C40*(E40-F40)</f>
        <v>-4298.8399999999965</v>
      </c>
      <c r="H40" s="99">
        <f>C40*(E40-F40)*0.5895</f>
        <v>-2534.1661799999979</v>
      </c>
      <c r="I40" s="100" t="s">
        <v>52</v>
      </c>
      <c r="J40" s="99">
        <f>C40*E40*0.9</f>
        <v>70534.044000000009</v>
      </c>
      <c r="K40" s="99">
        <f>J40*0.614</f>
        <v>43307.903016000004</v>
      </c>
      <c r="L40" s="101">
        <v>2</v>
      </c>
      <c r="M40" s="102" t="s">
        <v>52</v>
      </c>
      <c r="N40" s="102" t="s">
        <v>52</v>
      </c>
      <c r="O40" s="103"/>
    </row>
    <row r="41" spans="1:15" x14ac:dyDescent="0.2">
      <c r="A41" s="25"/>
      <c r="E41" s="1"/>
      <c r="F41" s="1"/>
      <c r="H41" s="7" t="s">
        <v>52</v>
      </c>
      <c r="I41" s="22"/>
      <c r="J41" s="22"/>
      <c r="M41" s="80" t="s">
        <v>52</v>
      </c>
    </row>
    <row r="42" spans="1:15" x14ac:dyDescent="0.2">
      <c r="A42" s="8" t="s">
        <v>7</v>
      </c>
      <c r="B42" s="5" t="s">
        <v>22</v>
      </c>
      <c r="E42" s="3"/>
      <c r="F42" s="3"/>
      <c r="H42" s="7" t="s">
        <v>52</v>
      </c>
      <c r="I42" s="3"/>
      <c r="M42" s="80" t="s">
        <v>52</v>
      </c>
    </row>
    <row r="43" spans="1:15" x14ac:dyDescent="0.2">
      <c r="A43" s="8"/>
      <c r="B43" s="2" t="s">
        <v>127</v>
      </c>
      <c r="C43" s="13">
        <v>1307.5862</v>
      </c>
      <c r="D43" s="13">
        <f>C43*1</f>
        <v>1307.5862</v>
      </c>
      <c r="E43" s="1">
        <f t="shared" ref="E43:F45" si="5">E$31</f>
        <v>9.48</v>
      </c>
      <c r="F43" s="1">
        <f t="shared" si="5"/>
        <v>10</v>
      </c>
      <c r="G43" s="7">
        <f>C43*(E43-F43)</f>
        <v>-679.94482399999947</v>
      </c>
      <c r="H43" s="7">
        <f>C43*(E43-F43)</f>
        <v>-679.94482399999947</v>
      </c>
      <c r="I43" s="1"/>
      <c r="J43" s="7">
        <f>C43*E43</f>
        <v>12395.917176000001</v>
      </c>
      <c r="K43" s="7">
        <f>J43</f>
        <v>12395.917176000001</v>
      </c>
      <c r="L43" s="3">
        <v>2</v>
      </c>
      <c r="M43" s="80" t="s">
        <v>52</v>
      </c>
    </row>
    <row r="44" spans="1:15" x14ac:dyDescent="0.2">
      <c r="A44" s="8"/>
      <c r="B44" s="2" t="s">
        <v>128</v>
      </c>
      <c r="C44" s="13">
        <v>178.0334</v>
      </c>
      <c r="D44" s="13">
        <f>C44*1</f>
        <v>178.0334</v>
      </c>
      <c r="E44" s="1">
        <f t="shared" si="5"/>
        <v>9.48</v>
      </c>
      <c r="F44" s="1">
        <f t="shared" si="5"/>
        <v>10</v>
      </c>
      <c r="G44" s="7">
        <f>C44*(E44-F44)</f>
        <v>-92.577367999999922</v>
      </c>
      <c r="H44" s="7">
        <f>C44*(E44-F44)</f>
        <v>-92.577367999999922</v>
      </c>
      <c r="I44" s="1"/>
      <c r="J44" s="7">
        <f>C44*E44</f>
        <v>1687.7566320000001</v>
      </c>
      <c r="K44" s="7">
        <f>J44</f>
        <v>1687.7566320000001</v>
      </c>
      <c r="L44" s="3">
        <v>2</v>
      </c>
      <c r="M44" s="80" t="s">
        <v>52</v>
      </c>
    </row>
    <row r="45" spans="1:15" x14ac:dyDescent="0.2">
      <c r="A45" s="8"/>
      <c r="B45" s="2" t="s">
        <v>126</v>
      </c>
      <c r="C45" s="13">
        <v>402.85410000000002</v>
      </c>
      <c r="D45" s="13">
        <f>C45*1</f>
        <v>402.85410000000002</v>
      </c>
      <c r="E45" s="1">
        <f t="shared" si="5"/>
        <v>9.48</v>
      </c>
      <c r="F45" s="1">
        <f t="shared" si="5"/>
        <v>10</v>
      </c>
      <c r="G45" s="7">
        <f>C45*(E45-F45)</f>
        <v>-209.48413199999985</v>
      </c>
      <c r="H45" s="7">
        <f>C45*(E45-F45)</f>
        <v>-209.48413199999985</v>
      </c>
      <c r="I45" s="1"/>
      <c r="J45" s="7">
        <f>C45*E45</f>
        <v>3819.0568680000001</v>
      </c>
      <c r="K45" s="7">
        <f>J45</f>
        <v>3819.0568680000001</v>
      </c>
      <c r="L45" s="3">
        <v>2</v>
      </c>
      <c r="M45" s="80" t="s">
        <v>52</v>
      </c>
    </row>
    <row r="46" spans="1:15" x14ac:dyDescent="0.2">
      <c r="A46" s="8"/>
      <c r="E46" s="1"/>
      <c r="F46" s="1"/>
      <c r="H46" s="7" t="s">
        <v>52</v>
      </c>
      <c r="I46" s="1"/>
      <c r="M46" s="80" t="s">
        <v>52</v>
      </c>
    </row>
    <row r="47" spans="1:15" x14ac:dyDescent="0.2">
      <c r="A47" s="8" t="s">
        <v>59</v>
      </c>
      <c r="B47" s="1" t="s">
        <v>22</v>
      </c>
      <c r="C47" s="13" t="s">
        <v>52</v>
      </c>
      <c r="E47" s="1" t="s">
        <v>52</v>
      </c>
      <c r="F47" s="1" t="s">
        <v>52</v>
      </c>
      <c r="G47" s="15"/>
      <c r="H47" s="7" t="s">
        <v>52</v>
      </c>
      <c r="I47" s="2"/>
      <c r="L47" s="5"/>
      <c r="M47" s="80" t="s">
        <v>52</v>
      </c>
    </row>
    <row r="48" spans="1:15" x14ac:dyDescent="0.2">
      <c r="A48" s="8" t="s">
        <v>9</v>
      </c>
      <c r="B48" s="2" t="s">
        <v>156</v>
      </c>
      <c r="C48" s="13">
        <v>3262</v>
      </c>
      <c r="D48" s="13" t="s">
        <v>52</v>
      </c>
      <c r="E48" s="1">
        <f t="shared" ref="E48:F54" si="6">E$31</f>
        <v>9.48</v>
      </c>
      <c r="F48" s="1">
        <f t="shared" si="6"/>
        <v>10</v>
      </c>
      <c r="G48" s="7">
        <f t="shared" ref="G48:G53" si="7">IF(E48&gt;I48,(E48-F48)*C48,0)</f>
        <v>0</v>
      </c>
      <c r="H48" s="7">
        <f t="shared" ref="H48:H53" si="8">IF(E48&gt;I48,(E48-F48)*C48*0.5895,0)</f>
        <v>0</v>
      </c>
      <c r="I48" s="1">
        <v>76.025000000000006</v>
      </c>
      <c r="J48" s="7">
        <f t="shared" ref="J48:J53" si="9">IF(C48*(E48-I48)&gt;0,C48*(E48-I48),0)</f>
        <v>0</v>
      </c>
      <c r="K48" s="7">
        <f t="shared" ref="K48:K54" si="10">J48*0.5995</f>
        <v>0</v>
      </c>
      <c r="L48" s="3">
        <v>2</v>
      </c>
      <c r="M48" s="80" t="s">
        <v>52</v>
      </c>
    </row>
    <row r="49" spans="1:16" x14ac:dyDescent="0.2">
      <c r="A49" s="8"/>
      <c r="B49" s="2" t="s">
        <v>155</v>
      </c>
      <c r="C49" s="13">
        <v>1270</v>
      </c>
      <c r="D49" s="13" t="s">
        <v>52</v>
      </c>
      <c r="E49" s="1">
        <f t="shared" si="6"/>
        <v>9.48</v>
      </c>
      <c r="F49" s="1">
        <f t="shared" si="6"/>
        <v>10</v>
      </c>
      <c r="G49" s="7">
        <f t="shared" si="7"/>
        <v>0</v>
      </c>
      <c r="H49" s="7">
        <f t="shared" si="8"/>
        <v>0</v>
      </c>
      <c r="I49" s="1">
        <v>76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  <c r="N49" s="80" t="s">
        <v>52</v>
      </c>
    </row>
    <row r="50" spans="1:16" x14ac:dyDescent="0.2">
      <c r="A50" s="8" t="s">
        <v>52</v>
      </c>
      <c r="B50" s="2" t="s">
        <v>150</v>
      </c>
      <c r="C50" s="13">
        <v>381</v>
      </c>
      <c r="D50" s="13" t="s">
        <v>52</v>
      </c>
      <c r="E50" s="1">
        <f t="shared" si="6"/>
        <v>9.48</v>
      </c>
      <c r="F50" s="1">
        <f t="shared" si="6"/>
        <v>10</v>
      </c>
      <c r="G50" s="7">
        <f t="shared" si="7"/>
        <v>0</v>
      </c>
      <c r="H50" s="7">
        <f t="shared" si="8"/>
        <v>0</v>
      </c>
      <c r="I50" s="1">
        <v>83.125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142</v>
      </c>
      <c r="C51" s="13">
        <v>694</v>
      </c>
      <c r="D51" s="13" t="s">
        <v>52</v>
      </c>
      <c r="E51" s="1">
        <f t="shared" si="6"/>
        <v>9.48</v>
      </c>
      <c r="F51" s="1">
        <f t="shared" si="6"/>
        <v>10</v>
      </c>
      <c r="G51" s="7">
        <f t="shared" si="7"/>
        <v>0</v>
      </c>
      <c r="H51" s="7">
        <f t="shared" si="8"/>
        <v>0</v>
      </c>
      <c r="I51" s="1">
        <v>62.41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147</v>
      </c>
      <c r="C52" s="13">
        <v>348</v>
      </c>
      <c r="D52" s="13" t="s">
        <v>52</v>
      </c>
      <c r="E52" s="1">
        <f t="shared" si="6"/>
        <v>9.48</v>
      </c>
      <c r="F52" s="1">
        <f t="shared" si="6"/>
        <v>10</v>
      </c>
      <c r="G52" s="7">
        <f t="shared" si="7"/>
        <v>0</v>
      </c>
      <c r="H52" s="7">
        <f t="shared" si="8"/>
        <v>0</v>
      </c>
      <c r="I52" s="1">
        <v>53.04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153</v>
      </c>
      <c r="C53" s="13">
        <v>417</v>
      </c>
      <c r="D53" s="13" t="s">
        <v>52</v>
      </c>
      <c r="E53" s="1">
        <f t="shared" si="6"/>
        <v>9.48</v>
      </c>
      <c r="F53" s="1">
        <f t="shared" si="6"/>
        <v>10</v>
      </c>
      <c r="G53" s="7">
        <f t="shared" si="7"/>
        <v>0</v>
      </c>
      <c r="H53" s="7">
        <f t="shared" si="8"/>
        <v>0</v>
      </c>
      <c r="I53" s="1">
        <v>48.3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" t="s">
        <v>163</v>
      </c>
      <c r="C54" s="13">
        <v>610</v>
      </c>
      <c r="D54" s="13" t="s">
        <v>52</v>
      </c>
      <c r="E54" s="1">
        <f t="shared" si="6"/>
        <v>9.48</v>
      </c>
      <c r="F54" s="1">
        <f t="shared" si="6"/>
        <v>10</v>
      </c>
      <c r="G54" s="7">
        <f>IF(E54&gt;I54,(E54-F54)*C54,0)</f>
        <v>0</v>
      </c>
      <c r="H54" s="7">
        <f>IF(E54&gt;I54,(E54-F54)*C54*0.5895,0)</f>
        <v>0</v>
      </c>
      <c r="I54" s="1">
        <v>36.880000000000003</v>
      </c>
      <c r="J54" s="7">
        <f>IF(C54*(E54-I54)&gt;0,C54*(E54-I54),0)</f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1" t="s">
        <v>52</v>
      </c>
      <c r="C55" s="13" t="s">
        <v>52</v>
      </c>
      <c r="E55" s="1" t="s">
        <v>52</v>
      </c>
      <c r="F55" s="1" t="s">
        <v>52</v>
      </c>
      <c r="G55" s="15"/>
      <c r="H55" s="7" t="s">
        <v>52</v>
      </c>
      <c r="I55" s="2"/>
      <c r="M55" s="80" t="s">
        <v>52</v>
      </c>
    </row>
    <row r="56" spans="1:16" x14ac:dyDescent="0.2">
      <c r="A56" s="8" t="s">
        <v>10</v>
      </c>
      <c r="B56" s="5" t="s">
        <v>22</v>
      </c>
      <c r="D56" s="13" t="s">
        <v>52</v>
      </c>
      <c r="E56" s="1" t="s">
        <v>52</v>
      </c>
      <c r="F56" s="1" t="s">
        <v>52</v>
      </c>
      <c r="H56" s="7" t="s">
        <v>52</v>
      </c>
      <c r="I56" s="3"/>
      <c r="K56" s="7" t="s">
        <v>52</v>
      </c>
      <c r="M56" s="80" t="s">
        <v>52</v>
      </c>
    </row>
    <row r="57" spans="1:16" x14ac:dyDescent="0.2">
      <c r="A57" s="8" t="s">
        <v>11</v>
      </c>
      <c r="B57" s="2" t="s">
        <v>170</v>
      </c>
      <c r="C57" s="13">
        <v>2317</v>
      </c>
      <c r="D57" s="13">
        <f>C57*1</f>
        <v>2317</v>
      </c>
      <c r="E57" s="1">
        <f>E$31</f>
        <v>9.48</v>
      </c>
      <c r="F57" s="1">
        <f>F$31</f>
        <v>10</v>
      </c>
      <c r="G57" s="7">
        <f>C57*(E57-F57)</f>
        <v>-1204.839999999999</v>
      </c>
      <c r="H57" s="7">
        <f>C57*(E57-F57)*0.5895</f>
        <v>-710.25317999999947</v>
      </c>
      <c r="I57" s="1"/>
      <c r="J57" s="7">
        <f>C57*E57</f>
        <v>21965.16</v>
      </c>
      <c r="K57" s="7">
        <f>J57*0.614</f>
        <v>13486.60824</v>
      </c>
      <c r="L57" s="3">
        <v>2</v>
      </c>
      <c r="M57" s="80" t="s">
        <v>52</v>
      </c>
    </row>
    <row r="58" spans="1:16" x14ac:dyDescent="0.2">
      <c r="A58" s="8"/>
      <c r="C58" s="13" t="s">
        <v>52</v>
      </c>
      <c r="D58" s="13" t="s">
        <v>52</v>
      </c>
      <c r="E58" s="1" t="s">
        <v>52</v>
      </c>
      <c r="F58" s="1" t="s">
        <v>52</v>
      </c>
      <c r="G58" s="2"/>
      <c r="H58" s="7" t="s">
        <v>52</v>
      </c>
      <c r="I58" s="2"/>
      <c r="K58" s="7" t="s">
        <v>52</v>
      </c>
      <c r="M58" s="80" t="s">
        <v>52</v>
      </c>
    </row>
    <row r="59" spans="1:16" x14ac:dyDescent="0.2">
      <c r="A59" s="8" t="s">
        <v>64</v>
      </c>
      <c r="B59" s="5" t="s">
        <v>22</v>
      </c>
      <c r="D59" s="13" t="s">
        <v>52</v>
      </c>
      <c r="E59" s="1" t="s">
        <v>52</v>
      </c>
      <c r="F59" s="1" t="s">
        <v>52</v>
      </c>
      <c r="H59" s="7" t="s">
        <v>52</v>
      </c>
      <c r="I59" s="3"/>
      <c r="K59" s="7" t="s">
        <v>52</v>
      </c>
      <c r="M59" s="80" t="s">
        <v>52</v>
      </c>
    </row>
    <row r="60" spans="1:16" x14ac:dyDescent="0.2">
      <c r="A60" s="8" t="s">
        <v>65</v>
      </c>
      <c r="B60" s="2" t="s">
        <v>129</v>
      </c>
      <c r="C60" s="13">
        <v>1924</v>
      </c>
      <c r="D60" s="13">
        <f>+C60*1</f>
        <v>1924</v>
      </c>
      <c r="E60" s="1">
        <f>E$31</f>
        <v>9.48</v>
      </c>
      <c r="F60" s="1">
        <f>F$31</f>
        <v>10</v>
      </c>
      <c r="G60" s="7">
        <f>C60*(E60-F60)</f>
        <v>-1000.4799999999992</v>
      </c>
      <c r="H60" s="7">
        <f>C60*(E60-F60)*0.5895</f>
        <v>-589.78295999999955</v>
      </c>
      <c r="I60" s="1"/>
      <c r="J60" s="7">
        <f>C60*E60</f>
        <v>18239.52</v>
      </c>
      <c r="K60" s="7">
        <f>J60*0.614</f>
        <v>11199.065280000001</v>
      </c>
      <c r="L60" s="3">
        <v>2</v>
      </c>
      <c r="M60" s="80" t="s">
        <v>52</v>
      </c>
      <c r="O60" s="7" t="s">
        <v>52</v>
      </c>
      <c r="P60" s="15" t="s">
        <v>52</v>
      </c>
    </row>
    <row r="61" spans="1:16" x14ac:dyDescent="0.2">
      <c r="A61" s="87" t="s">
        <v>52</v>
      </c>
      <c r="E61" s="1"/>
      <c r="F61" s="1"/>
      <c r="H61" s="7" t="s">
        <v>52</v>
      </c>
      <c r="I61" s="1"/>
    </row>
    <row r="62" spans="1:16" x14ac:dyDescent="0.2">
      <c r="A62" s="8" t="s">
        <v>57</v>
      </c>
      <c r="B62" s="5" t="s">
        <v>22</v>
      </c>
      <c r="C62" s="13" t="s">
        <v>52</v>
      </c>
      <c r="D62" s="13" t="s">
        <v>52</v>
      </c>
      <c r="E62" s="14"/>
      <c r="F62" s="14"/>
      <c r="H62" s="7" t="s">
        <v>52</v>
      </c>
      <c r="I62" s="3"/>
      <c r="K62" s="7" t="s">
        <v>52</v>
      </c>
    </row>
    <row r="63" spans="1:16" x14ac:dyDescent="0.2">
      <c r="A63" s="8" t="s">
        <v>52</v>
      </c>
      <c r="B63" s="2" t="s">
        <v>164</v>
      </c>
      <c r="C63" s="80">
        <v>2966165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 t="shared" ref="H63:H77" si="11">C63*(E63-F63)</f>
        <v>0</v>
      </c>
      <c r="I63" s="1"/>
      <c r="J63" s="7">
        <f>C63*E63</f>
        <v>2966165</v>
      </c>
      <c r="K63" s="7">
        <f t="shared" ref="K63:K78" si="12">J63</f>
        <v>2966165</v>
      </c>
      <c r="L63" s="3">
        <v>1</v>
      </c>
    </row>
    <row r="64" spans="1:16" x14ac:dyDescent="0.2">
      <c r="A64" s="30" t="s">
        <v>52</v>
      </c>
      <c r="B64" s="2" t="s">
        <v>169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6" x14ac:dyDescent="0.2">
      <c r="A65" s="30" t="s">
        <v>52</v>
      </c>
      <c r="B65" s="2" t="s">
        <v>161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6" x14ac:dyDescent="0.2">
      <c r="A66" s="30" t="s">
        <v>52</v>
      </c>
      <c r="B66" s="2" t="s">
        <v>159</v>
      </c>
      <c r="C66" s="13">
        <v>-7500</v>
      </c>
      <c r="D66" s="13" t="s">
        <v>52</v>
      </c>
      <c r="E66" s="1">
        <v>0.25</v>
      </c>
      <c r="F66" s="1">
        <v>0.25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1875</v>
      </c>
    </row>
    <row r="67" spans="1:16" x14ac:dyDescent="0.2">
      <c r="A67" s="30" t="s">
        <v>52</v>
      </c>
      <c r="B67" s="2" t="s">
        <v>131</v>
      </c>
      <c r="C67" s="13">
        <v>-5000</v>
      </c>
      <c r="D67" s="13" t="s">
        <v>52</v>
      </c>
      <c r="E67" s="1">
        <v>0.1</v>
      </c>
      <c r="F67" s="1">
        <v>0.1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500</v>
      </c>
    </row>
    <row r="68" spans="1:16" x14ac:dyDescent="0.2">
      <c r="A68" s="30" t="s">
        <v>52</v>
      </c>
      <c r="B68" s="2" t="s">
        <v>132</v>
      </c>
      <c r="C68" s="13">
        <v>-15000</v>
      </c>
      <c r="D68" s="13" t="s">
        <v>52</v>
      </c>
      <c r="E68" s="1">
        <v>0.1</v>
      </c>
      <c r="F68" s="1">
        <v>0.1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1500</v>
      </c>
      <c r="N68" s="80" t="s">
        <v>52</v>
      </c>
    </row>
    <row r="69" spans="1:16" x14ac:dyDescent="0.2">
      <c r="A69" s="30" t="s">
        <v>52</v>
      </c>
      <c r="B69" s="2" t="s">
        <v>168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6" x14ac:dyDescent="0.2">
      <c r="A70" s="30" t="s">
        <v>52</v>
      </c>
      <c r="B70" s="2" t="s">
        <v>148</v>
      </c>
      <c r="C70" s="13">
        <v>-5000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1000</v>
      </c>
    </row>
    <row r="71" spans="1:16" x14ac:dyDescent="0.2">
      <c r="A71" s="30" t="s">
        <v>52</v>
      </c>
      <c r="B71" s="2" t="s">
        <v>133</v>
      </c>
      <c r="C71" s="13">
        <v>-15000</v>
      </c>
      <c r="D71" s="13" t="s">
        <v>52</v>
      </c>
      <c r="E71" s="1">
        <v>0.2</v>
      </c>
      <c r="F71" s="1">
        <v>0.2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3000</v>
      </c>
      <c r="O71" s="5" t="s">
        <v>52</v>
      </c>
    </row>
    <row r="72" spans="1:16" x14ac:dyDescent="0.2">
      <c r="A72" s="30" t="s">
        <v>52</v>
      </c>
      <c r="B72" s="2" t="s">
        <v>144</v>
      </c>
      <c r="C72" s="13">
        <v>-15000</v>
      </c>
      <c r="D72" s="13" t="s">
        <v>52</v>
      </c>
      <c r="E72" s="1">
        <v>0.15</v>
      </c>
      <c r="F72" s="1">
        <v>0.15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2250</v>
      </c>
      <c r="O72" s="5" t="s">
        <v>52</v>
      </c>
    </row>
    <row r="73" spans="1:16" x14ac:dyDescent="0.2">
      <c r="A73" s="30" t="s">
        <v>52</v>
      </c>
      <c r="B73" s="2" t="s">
        <v>134</v>
      </c>
      <c r="C73" s="13">
        <v>-10000</v>
      </c>
      <c r="D73" s="13" t="s">
        <v>52</v>
      </c>
      <c r="E73" s="1">
        <v>0.15</v>
      </c>
      <c r="F73" s="1">
        <v>0.15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1500</v>
      </c>
      <c r="O73" s="7" t="s">
        <v>52</v>
      </c>
    </row>
    <row r="74" spans="1:16" x14ac:dyDescent="0.2">
      <c r="A74" s="30" t="s">
        <v>52</v>
      </c>
      <c r="B74" s="2" t="s">
        <v>135</v>
      </c>
      <c r="C74" s="13">
        <v>-10000</v>
      </c>
      <c r="D74" s="13" t="s">
        <v>52</v>
      </c>
      <c r="E74" s="1">
        <v>0.15</v>
      </c>
      <c r="F74" s="1">
        <v>0.15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1500</v>
      </c>
      <c r="O74" s="7" t="s">
        <v>52</v>
      </c>
    </row>
    <row r="75" spans="1:16" x14ac:dyDescent="0.2">
      <c r="A75" s="30" t="s">
        <v>52</v>
      </c>
      <c r="B75" s="2" t="s">
        <v>136</v>
      </c>
      <c r="C75" s="13">
        <v>-10000</v>
      </c>
      <c r="D75" s="13" t="s">
        <v>52</v>
      </c>
      <c r="E75" s="1">
        <v>0.15</v>
      </c>
      <c r="F75" s="1">
        <v>0.15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1500</v>
      </c>
      <c r="O75" s="7" t="s">
        <v>52</v>
      </c>
    </row>
    <row r="76" spans="1:16" x14ac:dyDescent="0.2">
      <c r="A76" s="30" t="s">
        <v>52</v>
      </c>
      <c r="B76" s="2" t="s">
        <v>137</v>
      </c>
      <c r="C76" s="13">
        <v>-10000</v>
      </c>
      <c r="D76" s="13" t="s">
        <v>52</v>
      </c>
      <c r="E76" s="1">
        <v>0.15</v>
      </c>
      <c r="F76" s="1">
        <v>0.15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1500</v>
      </c>
      <c r="O76" s="80" t="s">
        <v>52</v>
      </c>
    </row>
    <row r="77" spans="1:16" ht="13.5" thickBot="1" x14ac:dyDescent="0.25">
      <c r="A77" s="30" t="s">
        <v>52</v>
      </c>
      <c r="B77" s="2" t="s">
        <v>138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6" x14ac:dyDescent="0.2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19500</v>
      </c>
      <c r="N78" s="80">
        <v>6375</v>
      </c>
      <c r="O78" s="80">
        <v>2966165</v>
      </c>
      <c r="P78" s="2" t="s">
        <v>52</v>
      </c>
    </row>
    <row r="79" spans="1:16" x14ac:dyDescent="0.2">
      <c r="A79" s="8" t="s">
        <v>57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SUM(H63:H77)</f>
        <v>0</v>
      </c>
      <c r="O79" s="80">
        <f>SUM(K63:K77)</f>
        <v>2966165</v>
      </c>
    </row>
    <row r="80" spans="1:16" x14ac:dyDescent="0.2">
      <c r="A80" s="30" t="s">
        <v>52</v>
      </c>
      <c r="B80" s="2" t="s">
        <v>62</v>
      </c>
      <c r="C80" s="13">
        <v>387</v>
      </c>
      <c r="D80" s="13" t="s">
        <v>52</v>
      </c>
      <c r="E80" s="16">
        <v>41.55</v>
      </c>
      <c r="F80" s="16">
        <v>40.880000000000003</v>
      </c>
      <c r="G80" s="7">
        <f>C80*(E80-F80)</f>
        <v>259.28999999999792</v>
      </c>
      <c r="H80" s="7">
        <f>C80*(E80-F80)</f>
        <v>259.28999999999792</v>
      </c>
      <c r="I80" s="1"/>
      <c r="J80" s="7">
        <f>C80*E80</f>
        <v>16079.849999999999</v>
      </c>
      <c r="K80" s="7">
        <f>J80</f>
        <v>16079.849999999999</v>
      </c>
      <c r="L80" s="3">
        <v>2</v>
      </c>
      <c r="M80" s="80" t="s">
        <v>52</v>
      </c>
    </row>
    <row r="81" spans="1:15" x14ac:dyDescent="0.2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49.93</v>
      </c>
      <c r="F84" s="1">
        <v>49.93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11739.641460000001</v>
      </c>
      <c r="K84" s="7">
        <f>J84</f>
        <v>11739.641460000001</v>
      </c>
      <c r="L84" s="3">
        <v>2</v>
      </c>
    </row>
    <row r="85" spans="1:15" x14ac:dyDescent="0.2">
      <c r="A85" s="8"/>
      <c r="B85" s="2" t="s">
        <v>27</v>
      </c>
      <c r="C85" s="13">
        <v>752.12800000000004</v>
      </c>
      <c r="D85" s="13" t="s">
        <v>52</v>
      </c>
      <c r="E85" s="1">
        <v>9.27</v>
      </c>
      <c r="F85" s="1">
        <v>9.2899999999999991</v>
      </c>
      <c r="G85" s="7">
        <f t="shared" si="16"/>
        <v>-15.04255999999968</v>
      </c>
      <c r="H85" s="7">
        <f t="shared" si="17"/>
        <v>-15.04255999999968</v>
      </c>
      <c r="I85" s="1"/>
      <c r="J85" s="7">
        <f t="shared" si="18"/>
        <v>6972.2265600000001</v>
      </c>
      <c r="K85" s="7">
        <f t="shared" ref="K85:K101" si="19">J85</f>
        <v>6972.2265600000001</v>
      </c>
      <c r="L85" s="3">
        <v>2</v>
      </c>
    </row>
    <row r="86" spans="1:15" x14ac:dyDescent="0.2">
      <c r="A86" s="8"/>
      <c r="B86" s="2" t="s">
        <v>28</v>
      </c>
      <c r="C86" s="13">
        <v>2674.7959999999998</v>
      </c>
      <c r="D86" s="13" t="s">
        <v>52</v>
      </c>
      <c r="E86" s="1">
        <v>20.329999999999998</v>
      </c>
      <c r="F86" s="1">
        <v>20.43</v>
      </c>
      <c r="G86" s="7">
        <f t="shared" si="16"/>
        <v>-267.47960000000376</v>
      </c>
      <c r="H86" s="7">
        <f t="shared" si="17"/>
        <v>-267.47960000000376</v>
      </c>
      <c r="I86" s="1"/>
      <c r="J86" s="7">
        <f t="shared" si="18"/>
        <v>54378.602679999989</v>
      </c>
      <c r="K86" s="7">
        <f t="shared" si="19"/>
        <v>54378.602679999989</v>
      </c>
      <c r="L86" s="3">
        <v>2</v>
      </c>
    </row>
    <row r="87" spans="1:15" x14ac:dyDescent="0.2">
      <c r="A87" s="8"/>
      <c r="B87" s="2" t="s">
        <v>29</v>
      </c>
      <c r="C87" s="13">
        <v>1240.306</v>
      </c>
      <c r="D87" s="13" t="s">
        <v>52</v>
      </c>
      <c r="E87" s="1">
        <v>7.85</v>
      </c>
      <c r="F87" s="1">
        <v>7.84</v>
      </c>
      <c r="G87" s="7">
        <f t="shared" si="16"/>
        <v>12.403059999999735</v>
      </c>
      <c r="H87" s="7">
        <f t="shared" si="17"/>
        <v>12.403059999999735</v>
      </c>
      <c r="I87" s="1"/>
      <c r="J87" s="7">
        <f t="shared" si="18"/>
        <v>9736.4020999999993</v>
      </c>
      <c r="K87" s="7">
        <f t="shared" si="19"/>
        <v>9736.4020999999993</v>
      </c>
      <c r="L87" s="3">
        <v>2</v>
      </c>
    </row>
    <row r="88" spans="1:15" x14ac:dyDescent="0.2">
      <c r="A88" s="8"/>
      <c r="B88" s="2" t="s">
        <v>30</v>
      </c>
      <c r="C88" s="13">
        <v>261.04399999999998</v>
      </c>
      <c r="D88" s="13" t="s">
        <v>52</v>
      </c>
      <c r="E88" s="1">
        <v>37.15</v>
      </c>
      <c r="F88" s="1">
        <v>37.11</v>
      </c>
      <c r="G88" s="7">
        <f t="shared" si="16"/>
        <v>10.441759999999777</v>
      </c>
      <c r="H88" s="7">
        <f t="shared" si="17"/>
        <v>10.441759999999777</v>
      </c>
      <c r="I88" s="1"/>
      <c r="J88" s="7">
        <f t="shared" si="18"/>
        <v>9697.784599999999</v>
      </c>
      <c r="K88" s="7">
        <f t="shared" si="19"/>
        <v>9697.784599999999</v>
      </c>
      <c r="L88" s="3">
        <v>2</v>
      </c>
    </row>
    <row r="89" spans="1:15" x14ac:dyDescent="0.2">
      <c r="A89" s="8"/>
      <c r="B89" s="2" t="s">
        <v>31</v>
      </c>
      <c r="C89" s="13">
        <v>378.52600000000001</v>
      </c>
      <c r="D89" s="13" t="s">
        <v>52</v>
      </c>
      <c r="E89" s="1">
        <v>27.09</v>
      </c>
      <c r="F89" s="1">
        <v>27.06</v>
      </c>
      <c r="G89" s="7">
        <f t="shared" si="16"/>
        <v>11.355780000000431</v>
      </c>
      <c r="H89" s="7">
        <f t="shared" si="17"/>
        <v>11.355780000000431</v>
      </c>
      <c r="I89" s="1"/>
      <c r="J89" s="7">
        <f t="shared" si="18"/>
        <v>10254.269340000001</v>
      </c>
      <c r="K89" s="7">
        <f t="shared" si="19"/>
        <v>10254.269340000001</v>
      </c>
      <c r="L89" s="3">
        <v>2</v>
      </c>
    </row>
    <row r="90" spans="1:15" x14ac:dyDescent="0.2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11</v>
      </c>
      <c r="F90" s="1">
        <v>11.01</v>
      </c>
      <c r="G90" s="7">
        <f t="shared" si="16"/>
        <v>-14.413219999999692</v>
      </c>
      <c r="H90" s="7">
        <f t="shared" si="17"/>
        <v>-14.413219999999692</v>
      </c>
      <c r="I90" s="1" t="s">
        <v>52</v>
      </c>
      <c r="J90" s="7">
        <f t="shared" si="18"/>
        <v>15854.541999999999</v>
      </c>
      <c r="K90" s="7">
        <f t="shared" si="19"/>
        <v>15854.541999999999</v>
      </c>
      <c r="L90" s="3">
        <v>1</v>
      </c>
    </row>
    <row r="91" spans="1:15" x14ac:dyDescent="0.2">
      <c r="A91" s="8"/>
      <c r="E91" s="2"/>
      <c r="F91" s="2"/>
      <c r="G91" s="15"/>
      <c r="H91" s="7" t="s">
        <v>52</v>
      </c>
      <c r="I91" s="2" t="s">
        <v>52</v>
      </c>
    </row>
    <row r="92" spans="1:15" x14ac:dyDescent="0.2">
      <c r="A92" s="8" t="s">
        <v>14</v>
      </c>
      <c r="B92" s="2" t="s">
        <v>58</v>
      </c>
      <c r="C92" s="13">
        <v>485000</v>
      </c>
      <c r="E92" s="1">
        <v>1</v>
      </c>
      <c r="F92" s="1">
        <v>1</v>
      </c>
      <c r="G92" s="7">
        <f>C92*(E92-F92)</f>
        <v>0</v>
      </c>
      <c r="H92" s="7">
        <f>C92*(E92-F92)</f>
        <v>0</v>
      </c>
      <c r="I92" s="1"/>
      <c r="J92" s="7">
        <f>C92*E92</f>
        <v>485000</v>
      </c>
      <c r="K92" s="7">
        <f t="shared" si="19"/>
        <v>485000</v>
      </c>
      <c r="L92" s="3">
        <v>1</v>
      </c>
    </row>
    <row r="93" spans="1:15" x14ac:dyDescent="0.2">
      <c r="E93" s="2"/>
      <c r="F93" s="2"/>
      <c r="G93" s="15"/>
      <c r="H93" s="7" t="s">
        <v>52</v>
      </c>
      <c r="I93" s="2"/>
      <c r="J93" s="7" t="s">
        <v>52</v>
      </c>
    </row>
    <row r="94" spans="1:15" x14ac:dyDescent="0.2">
      <c r="A94" s="8" t="s">
        <v>15</v>
      </c>
      <c r="B94" s="2" t="s">
        <v>34</v>
      </c>
      <c r="C94" s="13">
        <v>3829.12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3829.12</v>
      </c>
      <c r="K94" s="7">
        <f t="shared" si="19"/>
        <v>3829.12</v>
      </c>
      <c r="L94" s="3">
        <v>1</v>
      </c>
    </row>
    <row r="95" spans="1:15" x14ac:dyDescent="0.2">
      <c r="A95" s="8"/>
      <c r="B95" s="2" t="s">
        <v>35</v>
      </c>
      <c r="C95" s="13">
        <v>4769.42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4769.42</v>
      </c>
      <c r="K95" s="7">
        <f t="shared" si="19"/>
        <v>4769.42</v>
      </c>
      <c r="L95" s="3">
        <v>1</v>
      </c>
    </row>
    <row r="96" spans="1:15" x14ac:dyDescent="0.2">
      <c r="E96" s="2"/>
      <c r="F96" s="2"/>
      <c r="G96" s="15"/>
      <c r="H96" s="7" t="s">
        <v>52</v>
      </c>
      <c r="I96" s="2"/>
      <c r="K96" s="7" t="s">
        <v>52</v>
      </c>
    </row>
    <row r="97" spans="1:15" x14ac:dyDescent="0.2">
      <c r="A97" s="8" t="s">
        <v>16</v>
      </c>
      <c r="B97" s="2" t="s">
        <v>36</v>
      </c>
      <c r="C97" s="13">
        <v>9759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9759</v>
      </c>
      <c r="K97" s="7">
        <f t="shared" si="19"/>
        <v>9759</v>
      </c>
      <c r="L97" s="3">
        <v>1</v>
      </c>
      <c r="M97" s="80" t="s">
        <v>86</v>
      </c>
    </row>
    <row r="98" spans="1:15" x14ac:dyDescent="0.2">
      <c r="A98" s="8"/>
      <c r="B98" s="2" t="s">
        <v>38</v>
      </c>
      <c r="C98" s="13">
        <v>3718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3718</v>
      </c>
      <c r="K98" s="7">
        <f t="shared" si="19"/>
        <v>3718</v>
      </c>
      <c r="L98" s="3">
        <v>1</v>
      </c>
      <c r="M98" s="80">
        <f>(C9*E9)+(C10*E10)+(C11*E11)+(C12*E12)</f>
        <v>-3902400</v>
      </c>
      <c r="N98" s="26">
        <f>M98/M105</f>
        <v>-0.67821585909684989</v>
      </c>
      <c r="O98" s="5" t="s">
        <v>85</v>
      </c>
    </row>
    <row r="99" spans="1:15" x14ac:dyDescent="0.2">
      <c r="A99" s="8"/>
      <c r="B99" s="2" t="s">
        <v>39</v>
      </c>
      <c r="C99" s="13">
        <v>943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943</v>
      </c>
      <c r="K99" s="7">
        <f t="shared" si="19"/>
        <v>943</v>
      </c>
      <c r="L99" s="3">
        <v>1</v>
      </c>
      <c r="M99" s="80">
        <f>SUMIF(L5:L106,2,K5:K106)</f>
        <v>246362.31882672201</v>
      </c>
      <c r="N99" s="26">
        <f>M99/M105</f>
        <v>4.2816428790528216E-2</v>
      </c>
      <c r="O99" s="5" t="s">
        <v>22</v>
      </c>
    </row>
    <row r="100" spans="1:15" x14ac:dyDescent="0.2">
      <c r="A100" s="8"/>
      <c r="B100" s="2" t="s">
        <v>40</v>
      </c>
      <c r="C100" s="13">
        <v>1235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1235</v>
      </c>
      <c r="K100" s="7">
        <f t="shared" si="19"/>
        <v>1235</v>
      </c>
      <c r="L100" s="3">
        <v>1</v>
      </c>
      <c r="M100" s="80" t="s">
        <v>60</v>
      </c>
      <c r="N100" s="26"/>
      <c r="O100" s="7" t="s">
        <v>52</v>
      </c>
    </row>
    <row r="101" spans="1:15" x14ac:dyDescent="0.2">
      <c r="A101" s="8"/>
      <c r="B101" s="2" t="s">
        <v>37</v>
      </c>
      <c r="C101" s="13">
        <v>2234.7820000000002</v>
      </c>
      <c r="D101" s="13" t="s">
        <v>52</v>
      </c>
      <c r="E101" s="1">
        <v>1.684671</v>
      </c>
      <c r="F101" s="1">
        <v>1.684671</v>
      </c>
      <c r="G101" s="7">
        <f>C101*(E101-F101)</f>
        <v>0</v>
      </c>
      <c r="H101" s="7">
        <f>C101*(E101-F101)</f>
        <v>0</v>
      </c>
      <c r="I101" s="1"/>
      <c r="J101" s="7">
        <f>C101*E101</f>
        <v>3764.8724267220005</v>
      </c>
      <c r="K101" s="7">
        <f t="shared" si="19"/>
        <v>3764.8724267220005</v>
      </c>
      <c r="L101" s="3">
        <v>2</v>
      </c>
      <c r="M101" s="80">
        <f>SUMIF(L5:L106,1,K5:K106)</f>
        <v>5992557.9820000008</v>
      </c>
      <c r="N101" s="26">
        <f>M101/M105</f>
        <v>1.0414739288514288</v>
      </c>
    </row>
    <row r="102" spans="1:15" x14ac:dyDescent="0.2">
      <c r="A102" s="8"/>
      <c r="E102" s="1"/>
      <c r="F102" s="1"/>
      <c r="I102" s="1"/>
      <c r="M102" s="80" t="s">
        <v>160</v>
      </c>
      <c r="N102" s="26"/>
    </row>
    <row r="103" spans="1:15" x14ac:dyDescent="0.2">
      <c r="A103" s="8" t="s">
        <v>87</v>
      </c>
      <c r="B103" s="2" t="s">
        <v>151</v>
      </c>
      <c r="C103" s="13">
        <v>-95000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-95000</v>
      </c>
      <c r="K103" s="7">
        <f>J103</f>
        <v>-95000</v>
      </c>
      <c r="L103" s="3">
        <v>0</v>
      </c>
      <c r="M103" s="80">
        <f>SUM(K103:K105)</f>
        <v>-485000</v>
      </c>
      <c r="N103" s="26">
        <f>+M103/M105</f>
        <v>-8.429035764195679E-2</v>
      </c>
    </row>
    <row r="104" spans="1:15" x14ac:dyDescent="0.2">
      <c r="A104" s="8" t="s">
        <v>52</v>
      </c>
      <c r="B104" s="2" t="s">
        <v>157</v>
      </c>
      <c r="C104" s="13">
        <v>-155000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-155000</v>
      </c>
      <c r="K104" s="7">
        <f>J104</f>
        <v>-155000</v>
      </c>
      <c r="L104" s="3">
        <v>0</v>
      </c>
      <c r="M104" s="80" t="s">
        <v>90</v>
      </c>
      <c r="N104" s="26"/>
    </row>
    <row r="105" spans="1:15" x14ac:dyDescent="0.2">
      <c r="A105" s="8" t="s">
        <v>52</v>
      </c>
      <c r="B105" s="2" t="s">
        <v>158</v>
      </c>
      <c r="C105" s="13">
        <v>-235000</v>
      </c>
      <c r="D105" s="13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J105" s="7">
        <f>+C105</f>
        <v>-235000</v>
      </c>
      <c r="K105" s="7">
        <f>J105</f>
        <v>-235000</v>
      </c>
      <c r="L105" s="3">
        <v>0</v>
      </c>
      <c r="M105" s="80">
        <f>K108</f>
        <v>5753920.3008267218</v>
      </c>
      <c r="N105" s="26">
        <f>+M105/K108</f>
        <v>1</v>
      </c>
    </row>
    <row r="106" spans="1:15" ht="13.5" thickBot="1" x14ac:dyDescent="0.25">
      <c r="A106" s="8" t="s">
        <v>52</v>
      </c>
      <c r="B106" s="63" t="s">
        <v>52</v>
      </c>
      <c r="C106" s="24"/>
      <c r="D106" s="24" t="s">
        <v>52</v>
      </c>
      <c r="E106" s="18"/>
      <c r="F106" s="18"/>
      <c r="G106" s="19"/>
      <c r="H106" s="19"/>
      <c r="I106" s="18"/>
      <c r="J106" s="19"/>
      <c r="K106" s="19" t="s">
        <v>52</v>
      </c>
      <c r="L106" s="65"/>
      <c r="M106" s="93" t="s">
        <v>52</v>
      </c>
      <c r="N106" s="93"/>
    </row>
    <row r="107" spans="1:15" x14ac:dyDescent="0.2">
      <c r="A107" s="8"/>
      <c r="M107" s="80" t="s">
        <v>56</v>
      </c>
    </row>
    <row r="108" spans="1:15" x14ac:dyDescent="0.2">
      <c r="A108" s="8" t="s">
        <v>17</v>
      </c>
      <c r="C108" s="13">
        <f>SUM(C48:C60)+C31+C37+C40+C43+C44+C45</f>
        <v>21743.211300000003</v>
      </c>
      <c r="D108" s="13">
        <f>SUM(D5:D105)</f>
        <v>14761.211300000001</v>
      </c>
      <c r="G108" s="7">
        <f>SUM(G5:G106)</f>
        <v>-4040.93465600017</v>
      </c>
      <c r="H108" s="7">
        <f>SUM(H5:H106)</f>
        <v>-1370.976976000172</v>
      </c>
      <c r="J108" s="7">
        <f>SUM(J5:J106)</f>
        <v>5796665.4482907215</v>
      </c>
      <c r="K108" s="7">
        <f>SUM(K5:K106)</f>
        <v>5753920.3008267218</v>
      </c>
      <c r="M108" s="92">
        <f>SUM(K43:K60)+K31+K37</f>
        <v>46046.116644000002</v>
      </c>
      <c r="N108" s="94">
        <f>M108/K108</f>
        <v>8.0025642060742672E-3</v>
      </c>
    </row>
    <row r="109" spans="1:15" ht="13.5" thickBot="1" x14ac:dyDescent="0.25">
      <c r="A109" s="8"/>
      <c r="B109" s="17"/>
      <c r="C109" s="24"/>
      <c r="D109" s="24"/>
      <c r="E109" s="18"/>
      <c r="F109" s="18"/>
      <c r="G109" s="19"/>
      <c r="H109" s="19"/>
      <c r="I109" s="18"/>
      <c r="J109" s="19"/>
      <c r="K109" s="19"/>
      <c r="L109" s="65"/>
      <c r="M109" s="93"/>
      <c r="N109" s="93"/>
    </row>
    <row r="110" spans="1:15" x14ac:dyDescent="0.2">
      <c r="A110" s="8"/>
    </row>
    <row r="111" spans="1:15" x14ac:dyDescent="0.2">
      <c r="A111" s="8" t="s">
        <v>18</v>
      </c>
      <c r="B111" s="5" t="s">
        <v>22</v>
      </c>
      <c r="C111" s="13" t="s">
        <v>52</v>
      </c>
      <c r="M111" s="80" t="s">
        <v>52</v>
      </c>
    </row>
    <row r="112" spans="1:15" x14ac:dyDescent="0.2">
      <c r="A112" s="8" t="s">
        <v>19</v>
      </c>
      <c r="B112" s="2" t="s">
        <v>32</v>
      </c>
      <c r="C112" s="13">
        <v>1228.5820000000001</v>
      </c>
      <c r="D112" s="13" t="s">
        <v>52</v>
      </c>
      <c r="E112" s="1">
        <v>19.66</v>
      </c>
      <c r="F112" s="1">
        <v>19.63</v>
      </c>
      <c r="G112" s="7">
        <f>C112*(E112-F112)</f>
        <v>36.857460000001403</v>
      </c>
      <c r="H112" s="7">
        <f>C112*(E112-F112)</f>
        <v>36.857460000001403</v>
      </c>
      <c r="I112" s="1"/>
      <c r="J112" s="7">
        <f>C112*E112</f>
        <v>24153.922120000003</v>
      </c>
      <c r="K112" s="7">
        <f>J112</f>
        <v>24153.922120000003</v>
      </c>
      <c r="L112" s="3">
        <v>2</v>
      </c>
    </row>
    <row r="113" spans="1:15" x14ac:dyDescent="0.2">
      <c r="A113" s="8" t="s">
        <v>52</v>
      </c>
      <c r="B113" s="2" t="s">
        <v>61</v>
      </c>
      <c r="C113" s="13">
        <v>387</v>
      </c>
      <c r="D113" s="13" t="s">
        <v>52</v>
      </c>
      <c r="E113" s="1">
        <f>+E80</f>
        <v>41.55</v>
      </c>
      <c r="F113" s="1">
        <f>+F80</f>
        <v>40.880000000000003</v>
      </c>
      <c r="G113" s="7">
        <f>C113*(E113-F113)</f>
        <v>259.28999999999792</v>
      </c>
      <c r="H113" s="7">
        <f>C113*(E113-F113)</f>
        <v>259.28999999999792</v>
      </c>
      <c r="I113" s="1"/>
      <c r="J113" s="7">
        <f>C113*E113</f>
        <v>16079.849999999999</v>
      </c>
      <c r="K113" s="7">
        <f>J113</f>
        <v>16079.849999999999</v>
      </c>
      <c r="L113" s="3">
        <v>2</v>
      </c>
    </row>
    <row r="114" spans="1:15" x14ac:dyDescent="0.2">
      <c r="A114" s="8" t="s">
        <v>52</v>
      </c>
      <c r="B114" s="2" t="s">
        <v>23</v>
      </c>
      <c r="C114" s="13">
        <v>201.83</v>
      </c>
      <c r="D114" s="13" t="s">
        <v>52</v>
      </c>
      <c r="E114" s="1">
        <v>1</v>
      </c>
      <c r="F114" s="1">
        <v>1</v>
      </c>
      <c r="G114" s="7">
        <f>C114*(E114-F114)</f>
        <v>0</v>
      </c>
      <c r="H114" s="7">
        <f>C114*(E114-F114)</f>
        <v>0</v>
      </c>
      <c r="I114" s="1"/>
      <c r="J114" s="7">
        <f>C114*E114</f>
        <v>201.83</v>
      </c>
      <c r="K114" s="7">
        <f>J114</f>
        <v>201.83</v>
      </c>
      <c r="L114" s="3">
        <v>1</v>
      </c>
    </row>
    <row r="115" spans="1:15" x14ac:dyDescent="0.2">
      <c r="A115" s="8"/>
      <c r="E115" s="3"/>
      <c r="F115" s="3"/>
      <c r="H115" s="7" t="s">
        <v>52</v>
      </c>
      <c r="I115" s="3"/>
    </row>
    <row r="116" spans="1:15" x14ac:dyDescent="0.2">
      <c r="A116" s="8" t="s">
        <v>18</v>
      </c>
      <c r="B116" s="5" t="s">
        <v>22</v>
      </c>
      <c r="C116" s="13" t="s">
        <v>52</v>
      </c>
      <c r="E116" s="3"/>
      <c r="F116" s="3"/>
      <c r="H116" s="7" t="s">
        <v>52</v>
      </c>
      <c r="I116" s="3"/>
    </row>
    <row r="117" spans="1:15" x14ac:dyDescent="0.2">
      <c r="A117" s="8" t="s">
        <v>20</v>
      </c>
      <c r="B117" s="2" t="s">
        <v>33</v>
      </c>
      <c r="C117" s="13">
        <v>2013.38</v>
      </c>
      <c r="D117" s="13" t="s">
        <v>52</v>
      </c>
      <c r="E117" s="1">
        <v>10.79</v>
      </c>
      <c r="F117" s="1">
        <v>10.79</v>
      </c>
      <c r="G117" s="7">
        <f>C117*(E117-F117)</f>
        <v>0</v>
      </c>
      <c r="H117" s="7">
        <f>C117*(E117-F117)</f>
        <v>0</v>
      </c>
      <c r="I117" s="1"/>
      <c r="J117" s="7">
        <f>C117*E117</f>
        <v>21724.370200000001</v>
      </c>
      <c r="K117" s="7">
        <f>J117</f>
        <v>21724.370200000001</v>
      </c>
      <c r="L117" s="3">
        <v>2</v>
      </c>
    </row>
    <row r="118" spans="1:15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+E80</f>
        <v>41.55</v>
      </c>
      <c r="F118" s="1">
        <f>+F80</f>
        <v>40.880000000000003</v>
      </c>
      <c r="G118" s="7">
        <f>C118*(E118-F118)</f>
        <v>259.28999999999792</v>
      </c>
      <c r="H118" s="7">
        <f>C118*(E118-F118)</f>
        <v>259.28999999999792</v>
      </c>
      <c r="I118" s="1"/>
      <c r="J118" s="7">
        <f>C118*E118</f>
        <v>16079.849999999999</v>
      </c>
      <c r="K118" s="7">
        <f>J118</f>
        <v>16079.849999999999</v>
      </c>
      <c r="L118" s="3">
        <v>2</v>
      </c>
    </row>
    <row r="119" spans="1:15" x14ac:dyDescent="0.2">
      <c r="A119" s="8" t="s">
        <v>52</v>
      </c>
      <c r="B119" s="2" t="s">
        <v>23</v>
      </c>
      <c r="C119" s="13">
        <v>201.83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201.83</v>
      </c>
      <c r="K119" s="7">
        <f>J119</f>
        <v>201.83</v>
      </c>
      <c r="L119" s="3">
        <v>1</v>
      </c>
      <c r="M119" s="80" t="s">
        <v>52</v>
      </c>
    </row>
    <row r="120" spans="1:15" x14ac:dyDescent="0.2">
      <c r="A120" s="8"/>
      <c r="E120" s="1"/>
      <c r="F120" s="1"/>
      <c r="H120" s="7" t="s">
        <v>52</v>
      </c>
      <c r="I120" s="1"/>
    </row>
    <row r="121" spans="1:15" x14ac:dyDescent="0.2">
      <c r="A121" s="8" t="s">
        <v>63</v>
      </c>
      <c r="B121" s="2" t="s">
        <v>61</v>
      </c>
      <c r="C121" s="13">
        <v>387</v>
      </c>
      <c r="D121" s="13" t="s">
        <v>52</v>
      </c>
      <c r="E121" s="1">
        <f>+E80</f>
        <v>41.55</v>
      </c>
      <c r="F121" s="1">
        <f>+F80</f>
        <v>40.880000000000003</v>
      </c>
      <c r="G121" s="7">
        <f>C121*(E121-F121)</f>
        <v>259.28999999999792</v>
      </c>
      <c r="H121" s="7">
        <f>C121*(E121-F121)</f>
        <v>259.28999999999792</v>
      </c>
      <c r="I121" s="1"/>
      <c r="J121" s="7">
        <f>C121*E121</f>
        <v>16079.849999999999</v>
      </c>
      <c r="K121" s="7">
        <f>J121</f>
        <v>16079.849999999999</v>
      </c>
      <c r="L121" s="3">
        <v>2</v>
      </c>
    </row>
    <row r="122" spans="1:15" x14ac:dyDescent="0.2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</row>
    <row r="123" spans="1:15" x14ac:dyDescent="0.2">
      <c r="A123" s="8"/>
      <c r="C123" s="13" t="s">
        <v>52</v>
      </c>
      <c r="E123" s="4"/>
      <c r="F123" s="4"/>
      <c r="H123" s="7" t="s">
        <v>52</v>
      </c>
      <c r="I123" s="1"/>
    </row>
    <row r="124" spans="1:15" x14ac:dyDescent="0.2">
      <c r="A124" s="8" t="s">
        <v>64</v>
      </c>
      <c r="B124" s="5" t="s">
        <v>22</v>
      </c>
      <c r="D124" s="13" t="s">
        <v>52</v>
      </c>
      <c r="E124" s="14"/>
      <c r="F124" s="14"/>
      <c r="H124" s="7" t="s">
        <v>52</v>
      </c>
      <c r="I124" s="3"/>
      <c r="K124" s="7" t="s">
        <v>52</v>
      </c>
    </row>
    <row r="125" spans="1:15" x14ac:dyDescent="0.2">
      <c r="A125" s="8" t="s">
        <v>79</v>
      </c>
      <c r="B125" s="2" t="s">
        <v>89</v>
      </c>
      <c r="C125" s="13">
        <v>288</v>
      </c>
      <c r="D125" s="13">
        <v>0</v>
      </c>
      <c r="E125" s="1">
        <f>E$31</f>
        <v>9.48</v>
      </c>
      <c r="F125" s="1">
        <f>F$31</f>
        <v>10</v>
      </c>
      <c r="G125" s="7">
        <f>C125*(E125-F125)</f>
        <v>-149.75999999999988</v>
      </c>
      <c r="H125" s="7">
        <f>C125*(E125-F125)*0.5895</f>
        <v>-88.283519999999925</v>
      </c>
      <c r="I125" s="1"/>
      <c r="J125" s="7">
        <f>C125*E125</f>
        <v>2730.2400000000002</v>
      </c>
      <c r="K125" s="7">
        <f>J125*0.5995</f>
        <v>1636.7788800000003</v>
      </c>
      <c r="L125" s="3">
        <v>2</v>
      </c>
      <c r="M125" s="80">
        <f>SUM(K108:K125)+K134</f>
        <v>5850280.4120267211</v>
      </c>
      <c r="O125" s="7" t="s">
        <v>52</v>
      </c>
    </row>
    <row r="126" spans="1:15" x14ac:dyDescent="0.2">
      <c r="A126" s="8"/>
      <c r="E126" s="1" t="s">
        <v>52</v>
      </c>
      <c r="F126" s="1" t="s">
        <v>52</v>
      </c>
      <c r="H126" s="7" t="s">
        <v>52</v>
      </c>
      <c r="I126" s="1"/>
      <c r="K126" s="7" t="s">
        <v>52</v>
      </c>
    </row>
    <row r="127" spans="1:15" x14ac:dyDescent="0.2">
      <c r="A127" s="8" t="s">
        <v>21</v>
      </c>
      <c r="B127" s="5" t="s">
        <v>22</v>
      </c>
      <c r="C127" s="13" t="s">
        <v>52</v>
      </c>
      <c r="E127" s="1" t="s">
        <v>52</v>
      </c>
      <c r="F127" s="1" t="s">
        <v>52</v>
      </c>
      <c r="H127" s="7" t="s">
        <v>52</v>
      </c>
      <c r="I127" s="3"/>
      <c r="K127" s="7" t="s">
        <v>52</v>
      </c>
      <c r="M127" s="95" t="s">
        <v>52</v>
      </c>
    </row>
    <row r="128" spans="1:15" x14ac:dyDescent="0.2">
      <c r="A128" s="8" t="s">
        <v>11</v>
      </c>
      <c r="B128" s="2" t="s">
        <v>94</v>
      </c>
      <c r="C128" s="13">
        <v>3331</v>
      </c>
      <c r="D128" s="13">
        <v>0</v>
      </c>
      <c r="E128" s="1">
        <f t="shared" ref="E128:F131" si="20">E$31</f>
        <v>9.48</v>
      </c>
      <c r="F128" s="1">
        <f t="shared" si="20"/>
        <v>10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">
      <c r="A129" s="8" t="s">
        <v>52</v>
      </c>
      <c r="B129" s="2" t="s">
        <v>143</v>
      </c>
      <c r="C129" s="13">
        <v>668</v>
      </c>
      <c r="D129" s="13">
        <v>0</v>
      </c>
      <c r="E129" s="1">
        <f t="shared" si="20"/>
        <v>9.48</v>
      </c>
      <c r="F129" s="1">
        <f t="shared" si="20"/>
        <v>10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">
      <c r="A130" s="8" t="s">
        <v>52</v>
      </c>
      <c r="B130" s="2" t="s">
        <v>145</v>
      </c>
      <c r="C130" s="13">
        <v>786</v>
      </c>
      <c r="D130" s="13">
        <v>0</v>
      </c>
      <c r="E130" s="1">
        <f t="shared" si="20"/>
        <v>9.48</v>
      </c>
      <c r="F130" s="1">
        <f t="shared" si="20"/>
        <v>10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52</v>
      </c>
    </row>
    <row r="131" spans="1:16" x14ac:dyDescent="0.2">
      <c r="A131" s="8" t="s">
        <v>52</v>
      </c>
      <c r="B131" s="2" t="s">
        <v>152</v>
      </c>
      <c r="C131" s="13">
        <v>863</v>
      </c>
      <c r="D131" s="13">
        <v>0</v>
      </c>
      <c r="E131" s="1">
        <f t="shared" si="20"/>
        <v>9.48</v>
      </c>
      <c r="F131" s="1">
        <f t="shared" si="20"/>
        <v>10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86</v>
      </c>
    </row>
    <row r="132" spans="1:16" x14ac:dyDescent="0.2">
      <c r="A132" s="8"/>
      <c r="C132" s="13" t="s">
        <v>52</v>
      </c>
      <c r="E132" s="1" t="s">
        <v>52</v>
      </c>
      <c r="F132" s="1" t="s">
        <v>52</v>
      </c>
      <c r="I132" s="1"/>
      <c r="K132" s="7" t="s">
        <v>52</v>
      </c>
      <c r="M132" s="80">
        <f>M98</f>
        <v>-3902400</v>
      </c>
      <c r="N132" s="26">
        <f>M132/M139</f>
        <v>-0.66704494915793022</v>
      </c>
      <c r="O132" s="5" t="s">
        <v>85</v>
      </c>
    </row>
    <row r="133" spans="1:16" x14ac:dyDescent="0.2">
      <c r="A133" s="8" t="s">
        <v>59</v>
      </c>
      <c r="B133" s="5" t="s">
        <v>22</v>
      </c>
      <c r="C133" s="13" t="s">
        <v>52</v>
      </c>
      <c r="D133" s="13" t="s">
        <v>52</v>
      </c>
      <c r="E133" s="1" t="s">
        <v>52</v>
      </c>
      <c r="F133" s="1" t="s">
        <v>52</v>
      </c>
      <c r="G133" s="15"/>
      <c r="H133" s="15"/>
      <c r="I133" s="2"/>
      <c r="K133" s="7" t="s">
        <v>52</v>
      </c>
      <c r="M133" s="80">
        <f>SUMIF(L112:L143,2,K112:K143)+M99</f>
        <v>342116.94002672203</v>
      </c>
      <c r="N133" s="26">
        <f>M133/M139</f>
        <v>5.8478725109212655E-2</v>
      </c>
      <c r="O133" s="5" t="s">
        <v>22</v>
      </c>
    </row>
    <row r="134" spans="1:16" x14ac:dyDescent="0.2">
      <c r="A134" s="8" t="s">
        <v>9</v>
      </c>
      <c r="B134" s="2" t="s">
        <v>121</v>
      </c>
      <c r="C134" s="13">
        <v>15280</v>
      </c>
      <c r="D134" s="13">
        <v>15280</v>
      </c>
      <c r="E134" s="1">
        <f t="shared" ref="E134:F142" si="21">E$31</f>
        <v>9.48</v>
      </c>
      <c r="F134" s="1">
        <f t="shared" si="21"/>
        <v>10</v>
      </c>
      <c r="G134" s="7">
        <f t="shared" ref="G134:G142" si="22">IF(E134&gt;I134,(E134-F134)*C134,0)</f>
        <v>0</v>
      </c>
      <c r="H134" s="7">
        <f t="shared" ref="H134:H142" si="23">IF(E134&gt;I134,(E134-F134)*C134*0.5895,0)</f>
        <v>0</v>
      </c>
      <c r="I134" s="1">
        <v>18.375</v>
      </c>
      <c r="J134" s="7">
        <f t="shared" ref="J134:J142" si="24">IF(C134*(E134-I134)&gt;0,C134*(E134-I134),0)</f>
        <v>0</v>
      </c>
      <c r="K134" s="7">
        <f>J134*0.5995</f>
        <v>0</v>
      </c>
      <c r="L134" s="3">
        <v>2</v>
      </c>
      <c r="M134" s="80" t="s">
        <v>60</v>
      </c>
      <c r="N134" s="26"/>
      <c r="O134" s="7" t="s">
        <v>52</v>
      </c>
      <c r="P134" s="15" t="s">
        <v>52</v>
      </c>
    </row>
    <row r="135" spans="1:16" x14ac:dyDescent="0.2">
      <c r="A135" s="8" t="s">
        <v>52</v>
      </c>
      <c r="B135" s="2" t="s">
        <v>122</v>
      </c>
      <c r="C135" s="13">
        <v>5130</v>
      </c>
      <c r="D135" s="13">
        <v>0</v>
      </c>
      <c r="E135" s="1">
        <f t="shared" si="21"/>
        <v>9.48</v>
      </c>
      <c r="F135" s="1">
        <f t="shared" si="21"/>
        <v>10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ref="K135:K142" si="25">J135*0.5895</f>
        <v>0</v>
      </c>
      <c r="L135" s="3">
        <v>2</v>
      </c>
      <c r="M135" s="80">
        <f>SUMIF(L112:L143,1,K112:K143)+M101</f>
        <v>5993163.472000001</v>
      </c>
      <c r="N135" s="26">
        <f>M135/M139</f>
        <v>1.0244232839984126</v>
      </c>
      <c r="O135" s="7" t="s">
        <v>52</v>
      </c>
      <c r="P135" s="15" t="s">
        <v>52</v>
      </c>
    </row>
    <row r="136" spans="1:16" x14ac:dyDescent="0.2">
      <c r="A136" s="8"/>
      <c r="B136" s="2" t="s">
        <v>123</v>
      </c>
      <c r="C136" s="13">
        <v>25</v>
      </c>
      <c r="D136" s="13">
        <v>0</v>
      </c>
      <c r="E136" s="1">
        <f t="shared" si="21"/>
        <v>9.48</v>
      </c>
      <c r="F136" s="1">
        <f t="shared" si="21"/>
        <v>10</v>
      </c>
      <c r="G136" s="7">
        <f t="shared" si="22"/>
        <v>0</v>
      </c>
      <c r="H136" s="7">
        <f t="shared" si="23"/>
        <v>0</v>
      </c>
      <c r="I136" s="1">
        <v>55.5</v>
      </c>
      <c r="J136" s="7">
        <f t="shared" si="24"/>
        <v>0</v>
      </c>
      <c r="K136" s="7">
        <f t="shared" si="25"/>
        <v>0</v>
      </c>
      <c r="L136" s="3">
        <v>2</v>
      </c>
      <c r="M136" s="80" t="s">
        <v>160</v>
      </c>
      <c r="N136" s="26"/>
      <c r="P136" s="2" t="s">
        <v>52</v>
      </c>
    </row>
    <row r="137" spans="1:16" x14ac:dyDescent="0.2">
      <c r="A137" s="8"/>
      <c r="B137" s="2" t="s">
        <v>124</v>
      </c>
      <c r="C137" s="13">
        <v>7608</v>
      </c>
      <c r="D137" s="13">
        <v>0</v>
      </c>
      <c r="E137" s="1">
        <f t="shared" si="21"/>
        <v>9.48</v>
      </c>
      <c r="F137" s="1">
        <f t="shared" si="21"/>
        <v>10</v>
      </c>
      <c r="G137" s="7">
        <f t="shared" si="22"/>
        <v>0</v>
      </c>
      <c r="H137" s="7">
        <f t="shared" si="23"/>
        <v>0</v>
      </c>
      <c r="I137" s="1">
        <v>75.0625</v>
      </c>
      <c r="J137" s="7">
        <f t="shared" si="24"/>
        <v>0</v>
      </c>
      <c r="K137" s="7">
        <f t="shared" si="25"/>
        <v>0</v>
      </c>
      <c r="L137" s="3">
        <v>2</v>
      </c>
      <c r="M137" s="80">
        <f>+M103</f>
        <v>-485000</v>
      </c>
      <c r="N137" s="26">
        <f>+M137/M139</f>
        <v>-8.2902009107625102E-2</v>
      </c>
      <c r="P137" s="15" t="s">
        <v>52</v>
      </c>
    </row>
    <row r="138" spans="1:16" x14ac:dyDescent="0.2">
      <c r="A138" s="8"/>
      <c r="B138" s="2" t="s">
        <v>125</v>
      </c>
      <c r="C138" s="13">
        <v>2540</v>
      </c>
      <c r="D138" s="13">
        <v>0</v>
      </c>
      <c r="E138" s="1">
        <f t="shared" si="21"/>
        <v>9.48</v>
      </c>
      <c r="F138" s="1">
        <f t="shared" si="21"/>
        <v>10</v>
      </c>
      <c r="G138" s="7">
        <f t="shared" si="22"/>
        <v>0</v>
      </c>
      <c r="H138" s="7">
        <f t="shared" si="23"/>
        <v>0</v>
      </c>
      <c r="I138" s="1">
        <v>76</v>
      </c>
      <c r="J138" s="7">
        <f t="shared" si="24"/>
        <v>0</v>
      </c>
      <c r="K138" s="7">
        <f t="shared" si="25"/>
        <v>0</v>
      </c>
      <c r="L138" s="3">
        <v>2</v>
      </c>
      <c r="M138" s="80" t="s">
        <v>90</v>
      </c>
      <c r="N138" s="26"/>
    </row>
    <row r="139" spans="1:16" x14ac:dyDescent="0.2">
      <c r="A139" s="8"/>
      <c r="B139" s="2" t="s">
        <v>140</v>
      </c>
      <c r="C139" s="13">
        <v>1524</v>
      </c>
      <c r="D139" s="13">
        <v>0</v>
      </c>
      <c r="E139" s="1">
        <f t="shared" si="21"/>
        <v>9.48</v>
      </c>
      <c r="F139" s="1">
        <f t="shared" si="21"/>
        <v>10</v>
      </c>
      <c r="G139" s="7">
        <f t="shared" si="22"/>
        <v>0</v>
      </c>
      <c r="H139" s="7">
        <f t="shared" si="23"/>
        <v>0</v>
      </c>
      <c r="I139" s="1">
        <v>83.125</v>
      </c>
      <c r="J139" s="7">
        <f t="shared" si="24"/>
        <v>0</v>
      </c>
      <c r="K139" s="7">
        <f t="shared" si="25"/>
        <v>0</v>
      </c>
      <c r="L139" s="3">
        <v>2</v>
      </c>
      <c r="M139" s="80">
        <f>SUM(K112:K134)+K108</f>
        <v>5850280.412026722</v>
      </c>
      <c r="N139" s="26">
        <f>+M139/K145</f>
        <v>1.0000000000000002</v>
      </c>
    </row>
    <row r="140" spans="1:16" x14ac:dyDescent="0.2">
      <c r="A140" s="8"/>
      <c r="B140" s="2" t="s">
        <v>141</v>
      </c>
      <c r="C140" s="13">
        <v>1968</v>
      </c>
      <c r="D140" s="13">
        <v>0</v>
      </c>
      <c r="E140" s="1">
        <f t="shared" si="21"/>
        <v>9.48</v>
      </c>
      <c r="F140" s="1">
        <f t="shared" si="21"/>
        <v>10</v>
      </c>
      <c r="G140" s="7">
        <f>IF(E140&gt;I140,(E140-F140)*C140,0)</f>
        <v>0</v>
      </c>
      <c r="H140" s="7">
        <f>IF(E140&gt;I140,(E140-F140)*C140*0.5895,0)</f>
        <v>0</v>
      </c>
      <c r="I140" s="1">
        <v>62.41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">
      <c r="A141" s="8"/>
      <c r="B141" s="2" t="s">
        <v>146</v>
      </c>
      <c r="C141" s="13">
        <v>1967</v>
      </c>
      <c r="D141" s="13">
        <v>0</v>
      </c>
      <c r="E141" s="1">
        <f t="shared" si="21"/>
        <v>9.48</v>
      </c>
      <c r="F141" s="1">
        <f t="shared" si="21"/>
        <v>10</v>
      </c>
      <c r="G141" s="7">
        <f>IF(E141&gt;I141,(E141-F141)*C141,0)</f>
        <v>0</v>
      </c>
      <c r="H141" s="7">
        <f>IF(E141&gt;I141,(E141-F141)*C141*0.5895,0)</f>
        <v>0</v>
      </c>
      <c r="I141" s="1">
        <v>54.03</v>
      </c>
      <c r="J141" s="7">
        <f>IF(C141*(E141-I141)&gt;0,C141*(E141-I141),0)</f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x14ac:dyDescent="0.2">
      <c r="A142" s="8"/>
      <c r="B142" s="2" t="s">
        <v>154</v>
      </c>
      <c r="C142" s="13">
        <f>2778-417</f>
        <v>2361</v>
      </c>
      <c r="D142" s="13">
        <v>0</v>
      </c>
      <c r="E142" s="1">
        <f t="shared" si="21"/>
        <v>9.48</v>
      </c>
      <c r="F142" s="1">
        <f t="shared" si="21"/>
        <v>10</v>
      </c>
      <c r="G142" s="7">
        <f t="shared" si="22"/>
        <v>0</v>
      </c>
      <c r="H142" s="7">
        <f t="shared" si="23"/>
        <v>0</v>
      </c>
      <c r="I142" s="1">
        <v>48.3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52</v>
      </c>
      <c r="N142" s="80" t="s">
        <v>52</v>
      </c>
    </row>
    <row r="143" spans="1:16" ht="13.5" thickBot="1" x14ac:dyDescent="0.25">
      <c r="A143" s="8"/>
      <c r="B143" s="17"/>
      <c r="C143" s="24" t="s">
        <v>52</v>
      </c>
      <c r="D143" s="24"/>
      <c r="E143" s="18"/>
      <c r="F143" s="18"/>
      <c r="G143" s="19"/>
      <c r="H143" s="19"/>
      <c r="I143" s="18"/>
      <c r="J143" s="19"/>
      <c r="K143" s="44"/>
      <c r="L143" s="65"/>
      <c r="M143" s="93"/>
      <c r="N143" s="93"/>
    </row>
    <row r="144" spans="1:16" x14ac:dyDescent="0.2">
      <c r="A144" s="8"/>
      <c r="C144" s="13" t="s">
        <v>52</v>
      </c>
      <c r="M144" s="80" t="s">
        <v>56</v>
      </c>
    </row>
    <row r="145" spans="1:14" x14ac:dyDescent="0.2">
      <c r="A145" s="8" t="s">
        <v>17</v>
      </c>
      <c r="B145" s="29" t="s">
        <v>52</v>
      </c>
      <c r="C145" s="13">
        <f>SUM(C125:C142)+C108</f>
        <v>66082.211299999995</v>
      </c>
      <c r="D145" s="13">
        <f>SUM(D125:D142)+D108</f>
        <v>30041.211300000003</v>
      </c>
      <c r="G145" s="7">
        <f>SUM(G108:G143)</f>
        <v>-3375.9671960001738</v>
      </c>
      <c r="H145" s="7">
        <f>SUM(H108:H143)</f>
        <v>-644.53303600017693</v>
      </c>
      <c r="J145" s="7">
        <f>SUM(J108:J143)</f>
        <v>5894119.0206107209</v>
      </c>
      <c r="K145" s="7">
        <f>SUM(K108:K143)</f>
        <v>5850280.4120267211</v>
      </c>
      <c r="M145" s="92">
        <f>SUM(K125:K142)+M108</f>
        <v>47682.895524</v>
      </c>
      <c r="N145" s="94">
        <f>M145/K145</f>
        <v>8.1505316268218244E-3</v>
      </c>
    </row>
    <row r="146" spans="1:14" ht="13.5" thickBot="1" x14ac:dyDescent="0.25">
      <c r="A146" s="8"/>
      <c r="B146" s="17"/>
      <c r="C146" s="24"/>
      <c r="D146" s="24"/>
      <c r="E146" s="18"/>
      <c r="F146" s="18"/>
      <c r="G146" s="19"/>
      <c r="H146" s="19"/>
      <c r="I146" s="18"/>
      <c r="J146" s="19"/>
      <c r="K146" s="19"/>
      <c r="L146" s="65"/>
      <c r="M146" s="93"/>
      <c r="N146" s="93"/>
    </row>
    <row r="147" spans="1:14" x14ac:dyDescent="0.2">
      <c r="A147" s="8"/>
    </row>
    <row r="148" spans="1:14" x14ac:dyDescent="0.2">
      <c r="A148" s="21" t="s">
        <v>52</v>
      </c>
      <c r="B148" s="73" t="s">
        <v>52</v>
      </c>
      <c r="E148" s="2" t="s">
        <v>52</v>
      </c>
      <c r="F148" s="2" t="s">
        <v>52</v>
      </c>
      <c r="G148" s="2"/>
      <c r="H148" s="2"/>
      <c r="I148" s="2"/>
      <c r="K148" s="20">
        <v>4.9000000000000002E-2</v>
      </c>
      <c r="L148" s="66"/>
      <c r="M148" s="81"/>
    </row>
    <row r="149" spans="1:14" x14ac:dyDescent="0.2">
      <c r="A149" s="21" t="s">
        <v>52</v>
      </c>
      <c r="B149" s="73"/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K108*K148</f>
        <v>281942.0947405094</v>
      </c>
      <c r="L149" s="66"/>
      <c r="M149" s="81" t="s">
        <v>52</v>
      </c>
    </row>
    <row r="150" spans="1:14" x14ac:dyDescent="0.2">
      <c r="A150" s="2" t="s">
        <v>52</v>
      </c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7">
        <f>K145*K148</f>
        <v>286663.74018930935</v>
      </c>
      <c r="L150" s="66"/>
      <c r="M150" s="81" t="s">
        <v>52</v>
      </c>
    </row>
    <row r="151" spans="1:14" x14ac:dyDescent="0.2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/>
      <c r="I151" s="2"/>
      <c r="K151" s="15"/>
      <c r="L151" s="66"/>
      <c r="M151" s="81" t="s">
        <v>52</v>
      </c>
    </row>
    <row r="152" spans="1:14" x14ac:dyDescent="0.2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15"/>
      <c r="L152" s="66"/>
      <c r="M152" s="81"/>
    </row>
    <row r="153" spans="1:14" x14ac:dyDescent="0.2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 t="s">
        <v>52</v>
      </c>
      <c r="I153" s="2"/>
      <c r="K153" s="7" t="s">
        <v>52</v>
      </c>
      <c r="L153" s="66"/>
      <c r="M153" s="81"/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 t="s">
        <v>52</v>
      </c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/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 t="s">
        <v>52</v>
      </c>
      <c r="H161" s="2"/>
      <c r="I161" s="2"/>
      <c r="K161" s="15"/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D164" s="13" t="s">
        <v>52</v>
      </c>
      <c r="E164" s="28" t="s">
        <v>52</v>
      </c>
      <c r="F164" s="28" t="s">
        <v>52</v>
      </c>
      <c r="G164" s="2"/>
      <c r="H164" s="2"/>
      <c r="I164" s="2"/>
      <c r="L164" s="66"/>
      <c r="M164" s="81"/>
    </row>
    <row r="165" spans="2:13" x14ac:dyDescent="0.2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E168" s="2"/>
      <c r="F168" s="2"/>
      <c r="G168" s="2"/>
      <c r="H168" s="2"/>
      <c r="I168" s="2"/>
      <c r="K168" s="15"/>
      <c r="L168" s="66"/>
      <c r="M168" s="81"/>
    </row>
    <row r="169" spans="2:13" x14ac:dyDescent="0.2">
      <c r="E169" s="2"/>
      <c r="F169" s="2"/>
      <c r="G169" s="2"/>
      <c r="H169" s="2"/>
      <c r="I169" s="2"/>
      <c r="K169" s="15"/>
      <c r="L169" s="66"/>
      <c r="M169" s="81"/>
    </row>
    <row r="170" spans="2:13" x14ac:dyDescent="0.2">
      <c r="E170" s="2"/>
      <c r="F170" s="2"/>
      <c r="G170" s="2"/>
      <c r="H170" s="2"/>
      <c r="I170" s="2"/>
      <c r="K170" s="15"/>
      <c r="L170" s="66"/>
      <c r="M170" s="81"/>
    </row>
    <row r="171" spans="2:13" x14ac:dyDescent="0.2">
      <c r="E171" s="2"/>
      <c r="F171" s="2"/>
      <c r="G171" s="2" t="s">
        <v>52</v>
      </c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C183" s="13" t="s">
        <v>52</v>
      </c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B189" s="2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L226" s="66"/>
      <c r="M226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31577.88</v>
      </c>
      <c r="C7" s="16">
        <f>H33</f>
        <v>18930.939060000001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C25*(Sheet1!$E$31-D25)</f>
        <v>2730.2400000000002</v>
      </c>
      <c r="H25" s="11">
        <f t="shared" si="0"/>
        <v>1636.7788800000003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C33*(Sheet1!$E$31-D33)</f>
        <v>31577.88</v>
      </c>
      <c r="H33" s="11">
        <f t="shared" si="0"/>
        <v>18930.939060000001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C46*(Sheet1!$E$31-D46)</f>
        <v>2114.04</v>
      </c>
      <c r="H46" s="11">
        <f t="shared" si="0"/>
        <v>1267.36698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C47*(Sheet1!$E$31-D47)</f>
        <v>2114.04</v>
      </c>
      <c r="H47" s="11">
        <f t="shared" si="0"/>
        <v>1267.36698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C48*(Sheet1!$E$31-D48)</f>
        <v>2104.56</v>
      </c>
      <c r="H48" s="11">
        <f t="shared" si="0"/>
        <v>1261.68372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C57*(Sheet1!$E$31-D57)</f>
        <v>2483.7600000000002</v>
      </c>
      <c r="H57" s="11">
        <f t="shared" si="0"/>
        <v>1489.0141200000003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C58*(Sheet1!$E$31-D58)</f>
        <v>2483.7600000000002</v>
      </c>
      <c r="H58" s="11">
        <f t="shared" si="0"/>
        <v>1489.0141200000003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C59*(Sheet1!$E$31-D59)</f>
        <v>2483.7600000000002</v>
      </c>
      <c r="H59" s="11">
        <f t="shared" si="0"/>
        <v>1489.0141200000003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C68*(Sheet1!$E$31-D68)</f>
        <v>2730.2400000000002</v>
      </c>
      <c r="H68" s="11">
        <f t="shared" si="0"/>
        <v>1636.7788800000003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C69*(Sheet1!$E$31-D69)</f>
        <v>2730.2400000000002</v>
      </c>
      <c r="H69" s="11">
        <f t="shared" si="0"/>
        <v>1636.7788800000003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C70*(Sheet1!$E$31-D70)</f>
        <v>2720.76</v>
      </c>
      <c r="H70" s="11">
        <f t="shared" si="0"/>
        <v>1631.0956200000003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56273.280000000006</v>
      </c>
      <c r="H75" s="15">
        <f>SUM(H14:H73)</f>
        <v>33735.831360000004</v>
      </c>
      <c r="I75" s="10"/>
      <c r="J75" s="9" t="s">
        <v>52</v>
      </c>
    </row>
    <row r="76" spans="1:11" ht="13.5" thickBot="1" x14ac:dyDescent="0.25">
      <c r="C76" s="31" t="s">
        <v>92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95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96</v>
      </c>
      <c r="G84" s="15"/>
      <c r="H84" s="15"/>
    </row>
    <row r="85" spans="2:8" x14ac:dyDescent="0.2">
      <c r="B85" s="76">
        <f>8102.62*11</f>
        <v>89128.819999999992</v>
      </c>
      <c r="C85" s="31" t="s">
        <v>97</v>
      </c>
      <c r="G85" s="15"/>
      <c r="H85" s="15"/>
    </row>
    <row r="86" spans="2:8" x14ac:dyDescent="0.2">
      <c r="B86" s="76">
        <v>333000</v>
      </c>
      <c r="C86" s="31" t="s">
        <v>105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98</v>
      </c>
      <c r="G92" s="15"/>
      <c r="H92" s="15"/>
    </row>
    <row r="93" spans="2:8" ht="13.5" thickBot="1" x14ac:dyDescent="0.25">
      <c r="B93" s="77">
        <v>0.39600000000000002</v>
      </c>
      <c r="C93" s="74" t="s">
        <v>99</v>
      </c>
      <c r="G93" s="15"/>
      <c r="H93" s="15"/>
    </row>
    <row r="94" spans="2:8" x14ac:dyDescent="0.2">
      <c r="B94" s="76"/>
      <c r="C94" s="32" t="s">
        <v>101</v>
      </c>
      <c r="G94" s="15"/>
      <c r="H94" s="15"/>
    </row>
    <row r="95" spans="2:8" x14ac:dyDescent="0.2">
      <c r="B95" s="76">
        <f>B92*B93</f>
        <v>841757.00795999996</v>
      </c>
      <c r="C95" s="32" t="s">
        <v>100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102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103</v>
      </c>
      <c r="G99" s="15"/>
      <c r="H99" s="15"/>
    </row>
    <row r="100" spans="2:8" x14ac:dyDescent="0.2">
      <c r="B100" s="76"/>
      <c r="C100" s="32" t="s">
        <v>104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106</v>
      </c>
      <c r="G102" s="15"/>
      <c r="H102" s="15"/>
    </row>
    <row r="103" spans="2:8" ht="13.5" thickBot="1" x14ac:dyDescent="0.25">
      <c r="B103" s="77"/>
      <c r="C103" s="32" t="s">
        <v>107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108</v>
      </c>
      <c r="G105" s="15"/>
      <c r="H105" s="15"/>
    </row>
    <row r="106" spans="2:8" ht="13.5" thickBot="1" x14ac:dyDescent="0.25">
      <c r="B106" s="77"/>
      <c r="C106" s="32" t="s">
        <v>109</v>
      </c>
      <c r="G106" s="15"/>
      <c r="H106" s="15"/>
    </row>
    <row r="107" spans="2:8" x14ac:dyDescent="0.2">
      <c r="B107" s="76"/>
      <c r="C107" s="32" t="s">
        <v>110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112</v>
      </c>
    </row>
    <row r="110" spans="2:8" x14ac:dyDescent="0.2">
      <c r="B110" s="76">
        <f>+B$105/4</f>
        <v>59533.324489999985</v>
      </c>
      <c r="C110" s="32" t="s">
        <v>113</v>
      </c>
    </row>
    <row r="111" spans="2:8" x14ac:dyDescent="0.2">
      <c r="B111" s="76">
        <f>+B$105/4</f>
        <v>59533.324489999985</v>
      </c>
      <c r="C111" s="32" t="s">
        <v>114</v>
      </c>
    </row>
    <row r="112" spans="2:8" x14ac:dyDescent="0.2">
      <c r="B112" s="76">
        <f>+B$105/4</f>
        <v>59533.324489999985</v>
      </c>
      <c r="C112" s="32" t="s">
        <v>111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2023-09-20T00:39:01Z</dcterms:modified>
</cp:coreProperties>
</file>