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FC1678-EC74-43E7-AD55-A99413BE89D3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J78" i="1"/>
  <c r="K78" i="1"/>
  <c r="M78" i="1"/>
  <c r="N79" i="1"/>
  <c r="O79" i="1"/>
  <c r="G80" i="1"/>
  <c r="H80" i="1"/>
  <c r="J80" i="1"/>
  <c r="K80" i="1"/>
  <c r="G81" i="1"/>
  <c r="H81" i="1"/>
  <c r="J81" i="1"/>
  <c r="K81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0" i="1"/>
  <c r="H90" i="1"/>
  <c r="J90" i="1"/>
  <c r="K90" i="1"/>
  <c r="G92" i="1"/>
  <c r="H92" i="1"/>
  <c r="J92" i="1"/>
  <c r="K92" i="1"/>
  <c r="G94" i="1"/>
  <c r="H94" i="1"/>
  <c r="J94" i="1"/>
  <c r="K94" i="1"/>
  <c r="G95" i="1"/>
  <c r="H95" i="1"/>
  <c r="J95" i="1"/>
  <c r="K95" i="1"/>
  <c r="G97" i="1"/>
  <c r="H97" i="1"/>
  <c r="J97" i="1"/>
  <c r="K97" i="1"/>
  <c r="G98" i="1"/>
  <c r="H98" i="1"/>
  <c r="J98" i="1"/>
  <c r="K98" i="1"/>
  <c r="M98" i="1"/>
  <c r="N98" i="1"/>
  <c r="G99" i="1"/>
  <c r="H99" i="1"/>
  <c r="J99" i="1"/>
  <c r="K99" i="1"/>
  <c r="M99" i="1"/>
  <c r="N99" i="1"/>
  <c r="G100" i="1"/>
  <c r="H100" i="1"/>
  <c r="J100" i="1"/>
  <c r="K100" i="1"/>
  <c r="G101" i="1"/>
  <c r="H101" i="1"/>
  <c r="J101" i="1"/>
  <c r="K101" i="1"/>
  <c r="M101" i="1"/>
  <c r="N101" i="1"/>
  <c r="J103" i="1"/>
  <c r="K103" i="1"/>
  <c r="M103" i="1"/>
  <c r="N103" i="1"/>
  <c r="J104" i="1"/>
  <c r="K104" i="1"/>
  <c r="J105" i="1"/>
  <c r="K105" i="1"/>
  <c r="M105" i="1"/>
  <c r="N105" i="1"/>
  <c r="C108" i="1"/>
  <c r="D108" i="1"/>
  <c r="G108" i="1"/>
  <c r="H108" i="1"/>
  <c r="J108" i="1"/>
  <c r="K108" i="1"/>
  <c r="M108" i="1"/>
  <c r="N108" i="1"/>
  <c r="G112" i="1"/>
  <c r="H112" i="1"/>
  <c r="J112" i="1"/>
  <c r="K112" i="1"/>
  <c r="E113" i="1"/>
  <c r="F113" i="1"/>
  <c r="G113" i="1"/>
  <c r="H113" i="1"/>
  <c r="J113" i="1"/>
  <c r="K113" i="1"/>
  <c r="G114" i="1"/>
  <c r="H114" i="1"/>
  <c r="J114" i="1"/>
  <c r="K114" i="1"/>
  <c r="G117" i="1"/>
  <c r="H117" i="1"/>
  <c r="J117" i="1"/>
  <c r="K117" i="1"/>
  <c r="E118" i="1"/>
  <c r="F118" i="1"/>
  <c r="G118" i="1"/>
  <c r="H118" i="1"/>
  <c r="J118" i="1"/>
  <c r="K118" i="1"/>
  <c r="G119" i="1"/>
  <c r="H119" i="1"/>
  <c r="J119" i="1"/>
  <c r="K119" i="1"/>
  <c r="E121" i="1"/>
  <c r="F121" i="1"/>
  <c r="G121" i="1"/>
  <c r="H121" i="1"/>
  <c r="J121" i="1"/>
  <c r="K121" i="1"/>
  <c r="G122" i="1"/>
  <c r="H122" i="1"/>
  <c r="J122" i="1"/>
  <c r="K122" i="1"/>
  <c r="E125" i="1"/>
  <c r="F125" i="1"/>
  <c r="G125" i="1"/>
  <c r="H125" i="1"/>
  <c r="M125" i="1"/>
  <c r="E128" i="1"/>
  <c r="F128" i="1"/>
  <c r="E129" i="1"/>
  <c r="F129" i="1"/>
  <c r="E130" i="1"/>
  <c r="F130" i="1"/>
  <c r="E131" i="1"/>
  <c r="F131" i="1"/>
  <c r="M132" i="1"/>
  <c r="N132" i="1"/>
  <c r="M133" i="1"/>
  <c r="N133" i="1"/>
  <c r="E134" i="1"/>
  <c r="F134" i="1"/>
  <c r="G134" i="1"/>
  <c r="H134" i="1"/>
  <c r="J134" i="1"/>
  <c r="K134" i="1"/>
  <c r="E135" i="1"/>
  <c r="F135" i="1"/>
  <c r="G135" i="1"/>
  <c r="H135" i="1"/>
  <c r="J135" i="1"/>
  <c r="K135" i="1"/>
  <c r="M135" i="1"/>
  <c r="N135" i="1"/>
  <c r="E136" i="1"/>
  <c r="F136" i="1"/>
  <c r="G136" i="1"/>
  <c r="H136" i="1"/>
  <c r="J136" i="1"/>
  <c r="K136" i="1"/>
  <c r="E137" i="1"/>
  <c r="F137" i="1"/>
  <c r="G137" i="1"/>
  <c r="H137" i="1"/>
  <c r="J137" i="1"/>
  <c r="K137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C142" i="1"/>
  <c r="E142" i="1"/>
  <c r="F142" i="1"/>
  <c r="G142" i="1"/>
  <c r="H142" i="1"/>
  <c r="J142" i="1"/>
  <c r="K142" i="1"/>
  <c r="C145" i="1"/>
  <c r="D145" i="1"/>
  <c r="G145" i="1"/>
  <c r="H145" i="1"/>
  <c r="J145" i="1"/>
  <c r="K145" i="1"/>
  <c r="M145" i="1"/>
  <c r="N145" i="1"/>
  <c r="K149" i="1"/>
  <c r="K150" i="1"/>
  <c r="J153" i="1"/>
  <c r="K153" i="1"/>
  <c r="J154" i="1"/>
  <c r="K154" i="1"/>
  <c r="C157" i="1"/>
  <c r="J157" i="1"/>
  <c r="K157" i="1"/>
  <c r="M157" i="1"/>
  <c r="N157" i="1"/>
  <c r="K162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<sst xmlns="http://schemas.openxmlformats.org/spreadsheetml/2006/main" count="913" uniqueCount="175">
  <si>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</si>
  <si>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</si>
  <si>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</si>
  <si>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</si>
  <si>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</si>
  <si>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</si>
  <si>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</si>
  <si>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</si>
  <si>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</si>
  <si>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</si>
  <si>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</si>
  <si>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</si>
  <si>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</si>
  <si>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</si>
  <si>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</si>
  <si>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</si>
  <si>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</si>
  <si>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</si>
  <si>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</si>
  <si>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</si>
  <si>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</si>
  <si>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</si>
  <si>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</si>
  <si>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</si>
  <si>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</si>
  <si>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</si>
  <si>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</si>
  <si>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</si>
  <si>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</si>
  <si>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</si>
  <si>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</si>
  <si>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</si>
  <si>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</si>
  <si>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</si>
  <si>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</si>
  <si>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</si>
  <si>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</si>
  <si>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</si>
  <si>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</si>
  <si>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</si>
  <si>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</si>
  <si>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</si>
  <si>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</si>
  <si>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</si>
  <si>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</si>
  <si>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</si>
  <si>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</si>
  <si>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</si>
  <si>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</si>
  <si>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</si>
  <si>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</si>
  <si>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</si>
  <si>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</si>
  <si>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</si>
  <si>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</si>
  <si>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</si>
  <si>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</si>
  <si>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</si>
  <si>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</si>
  <si>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</si>
  <si>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</si>
  <si>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</si>
  <si>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</si>
  <si>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</si>
  <si>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</si>
  <si>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</si>
  <si>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</si>
  <si>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</si>
  <si>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</si>
  <si>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</si>
  <si>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</si>
  <si>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</si>
  <si>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</si>
  <si>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</si>
  <si>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</si>
  <si>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</si>
  <si>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</si>
  <si>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</si>
  <si>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</si>
  <si>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</si>
  <si>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</si>
  <si>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</si>
  <si>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</si>
  <si>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</si>
  <si>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</si>
  <si>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</si>
  <si>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</si>
  <si>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</si>
  <si>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</si>
  <si>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</si>
  <si>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</si>
  <si>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</si>
  <si>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</si>
  <si>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</si>
  <si>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</si>
  <si>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</si>
  <si>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</si>
  <si>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</si>
  <si>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</si>
  <si>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</si>
  <si>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</si>
  <si>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</si>
  <si>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</si>
  <si>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</si>
  <si>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</si>
  <si>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</si>
  <si>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</si>
  <si>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</si>
  <si>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</si>
  <si>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</si>
  <si>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</si>
  <si>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</si>
  <si>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</si>
  <si>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</si>
  <si>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</si>
  <si>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</si>
  <si>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</si>
  <si>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</si>
  <si>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</si>
  <si>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</si>
  <si>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</si>
  <si>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</si>
  <si>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</si>
  <si>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</si>
  <si>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</si>
  <si>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</si>
  <si>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</si>
  <si>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</si>
  <si>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</si>
  <si>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</si>
  <si>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</si>
  <si>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</si>
  <si>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</si>
  <si>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</si>
  <si>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</si>
  <si>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</si>
  <si>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</si>
  <si>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</si>
  <si>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</si>
  <si>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</si>
  <si>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</si>
  <si>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</si>
  <si>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</si>
  <si>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</si>
  <si>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</si>
  <si>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</si>
  <si>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</si>
  <si>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</si>
  <si>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</si>
  <si>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</si>
  <si>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</si>
  <si>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</si>
  <si>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</si>
  <si>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</si>
  <si>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</si>
  <si>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</si>
  <si>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</si>
  <si>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</si>
  <si>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</si>
  <si>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</si>
  <si>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</si>
  <si>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</si>
  <si>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</si>
  <si>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</si>
  <si>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</si>
  <si>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</si>
  <si>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</si>
  <si>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</si>
  <si>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</si>
  <si>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DYN</t>
  </si>
  <si>
    <t>Municipal Bonds</t>
  </si>
  <si>
    <t>Other Assets</t>
  </si>
  <si>
    <t>13503 Pebblebrook</t>
  </si>
  <si>
    <t>Willis, TX</t>
  </si>
  <si>
    <t>NET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</si>
</sst>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26"/>
  <sheetViews>
    <sheetView tabSelected="1" zoomScale="85" zoomScaleNormal="85" workbookViewId="0">
      <pane xSplit="2" ySplit="3" topLeftCell="F124" activePane="bottomRight" state="frozen"/>
      <selection pane="topRight" activeCell="C1" sqref="C1"/>
      <selection pane="bottomLeft" activeCell="A4" sqref="A4"/>
      <selection pane="bottomRight" activeCell="C63" sqref="C63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8554687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114</v>
      </c>
      <c r="H1" s="11" t="s">
        <v>115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37215</v>
      </c>
      <c r="F3" s="12">
        <v>37214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117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119</v>
      </c>
      <c r="C5" s="67">
        <v>2299877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2299877</v>
      </c>
      <c r="K5" s="7">
        <f>J5</f>
        <v>2299877</v>
      </c>
      <c r="L5" s="3">
        <v>1</v>
      </c>
    </row>
    <row r="6" spans="1:15" x14ac:dyDescent="0.2">
      <c r="A6" s="30" t="s">
        <v>52</v>
      </c>
      <c r="E6" s="13" t="s">
        <v>52</v>
      </c>
      <c r="F6" s="13" t="s">
        <v>52</v>
      </c>
      <c r="G6" s="1" t="s">
        <v>52</v>
      </c>
      <c r="H6" s="7" t="s">
        <v>52</v>
      </c>
      <c r="J6" s="7" t="s">
        <v>52</v>
      </c>
      <c r="K6" s="7" t="s">
        <v>52</v>
      </c>
    </row>
    <row r="7" spans="1:15" x14ac:dyDescent="0.2">
      <c r="A7" s="30" t="s">
        <v>52</v>
      </c>
      <c r="B7" s="10" t="s">
        <v>85</v>
      </c>
      <c r="C7" s="13" t="s">
        <v>52</v>
      </c>
      <c r="D7" s="79" t="s">
        <v>52</v>
      </c>
      <c r="E7" s="13" t="s">
        <v>52</v>
      </c>
      <c r="F7" s="13" t="s">
        <v>52</v>
      </c>
      <c r="G7" s="13" t="s">
        <v>52</v>
      </c>
      <c r="H7" s="7" t="s">
        <v>52</v>
      </c>
      <c r="J7" s="7" t="s">
        <v>52</v>
      </c>
      <c r="K7" s="7" t="s">
        <v>52</v>
      </c>
      <c r="O7" s="5" t="s">
        <v>52</v>
      </c>
    </row>
    <row r="8" spans="1:15" x14ac:dyDescent="0.2">
      <c r="A8" s="30"/>
      <c r="B8" s="62" t="s">
        <v>163</v>
      </c>
      <c r="C8" s="13">
        <v>-10000</v>
      </c>
      <c r="D8" s="13" t="s">
        <v>52</v>
      </c>
      <c r="E8" s="1">
        <v>100.1</v>
      </c>
      <c r="F8" s="1">
        <v>100.1</v>
      </c>
      <c r="G8" s="7">
        <f>C8*(E8-F8)</f>
        <v>0</v>
      </c>
      <c r="H8" s="7">
        <f>C8*(E8-F8)</f>
        <v>0</v>
      </c>
      <c r="J8" s="7">
        <f>G8</f>
        <v>0</v>
      </c>
      <c r="K8" s="7">
        <f t="shared" ref="K8:K14" si="0">J8</f>
        <v>0</v>
      </c>
      <c r="L8" s="3">
        <v>1</v>
      </c>
    </row>
    <row r="9" spans="1:15" x14ac:dyDescent="0.2">
      <c r="A9" s="30"/>
      <c r="B9" s="62" t="s">
        <v>164</v>
      </c>
      <c r="C9" s="13">
        <v>-20000</v>
      </c>
      <c r="D9" s="13" t="s">
        <v>52</v>
      </c>
      <c r="E9" s="1">
        <v>115.77</v>
      </c>
      <c r="F9" s="1">
        <v>115.77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si="0"/>
        <v>0</v>
      </c>
      <c r="L9" s="3">
        <v>1</v>
      </c>
    </row>
    <row r="10" spans="1:15" x14ac:dyDescent="0.2">
      <c r="A10" s="30"/>
      <c r="B10" s="62" t="s">
        <v>165</v>
      </c>
      <c r="C10" s="13">
        <v>-10000</v>
      </c>
      <c r="D10" s="13" t="s">
        <v>52</v>
      </c>
      <c r="E10" s="1">
        <v>39.369999999999997</v>
      </c>
      <c r="F10" s="1">
        <v>39.369999999999997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">
      <c r="A11" s="30"/>
      <c r="B11" s="62" t="s">
        <v>169</v>
      </c>
      <c r="C11" s="13">
        <v>-5000</v>
      </c>
      <c r="D11" s="13" t="s">
        <v>52</v>
      </c>
      <c r="E11" s="1">
        <v>43.6</v>
      </c>
      <c r="F11" s="1">
        <v>43.6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">
      <c r="A12" s="30"/>
      <c r="B12" s="62"/>
      <c r="E12" s="1"/>
      <c r="F12" s="1"/>
      <c r="G12" s="7" t="s">
        <v>52</v>
      </c>
      <c r="H12" s="7" t="s">
        <v>52</v>
      </c>
      <c r="J12" s="7" t="str">
        <f>G12</f>
        <v xml:space="preserve"> </v>
      </c>
      <c r="K12" s="7" t="str">
        <f t="shared" si="0"/>
        <v xml:space="preserve"> </v>
      </c>
      <c r="N12" s="80" t="s">
        <v>52</v>
      </c>
    </row>
    <row r="13" spans="1:15" x14ac:dyDescent="0.2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">
      <c r="A14" s="30" t="s">
        <v>52</v>
      </c>
      <c r="B14" s="2" t="s">
        <v>161</v>
      </c>
      <c r="C14" s="13">
        <v>-19000</v>
      </c>
      <c r="E14" s="1">
        <v>0.05</v>
      </c>
      <c r="F14" s="1">
        <v>0.05</v>
      </c>
      <c r="G14" s="7">
        <f>(E14-F14)*C14</f>
        <v>0</v>
      </c>
      <c r="H14" s="7">
        <f>C14*(E14-F14)</f>
        <v>0</v>
      </c>
      <c r="J14" s="7">
        <f>G14</f>
        <v>0</v>
      </c>
      <c r="K14" s="7">
        <f t="shared" si="0"/>
        <v>0</v>
      </c>
      <c r="L14" s="3">
        <v>1</v>
      </c>
      <c r="M14" s="80">
        <f>C14*E14*-1</f>
        <v>950</v>
      </c>
      <c r="N14" s="80" t="s">
        <v>52</v>
      </c>
    </row>
    <row r="15" spans="1:15" x14ac:dyDescent="0.2">
      <c r="A15" s="30"/>
      <c r="E15" s="1"/>
      <c r="F15" s="1"/>
    </row>
    <row r="16" spans="1:15" x14ac:dyDescent="0.2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2299877</v>
      </c>
      <c r="N16" s="80">
        <v>2299877</v>
      </c>
      <c r="O16" s="67">
        <f>M16-N16</f>
        <v>0</v>
      </c>
    </row>
    <row r="17" spans="1:14" x14ac:dyDescent="0.2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">
      <c r="A18" s="8" t="s">
        <v>117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">
      <c r="A19" s="8" t="s">
        <v>1</v>
      </c>
      <c r="B19" s="2" t="s">
        <v>118</v>
      </c>
      <c r="C19" s="13">
        <v>4055.86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4055.86</v>
      </c>
      <c r="K19" s="7">
        <f>J19</f>
        <v>4055.86</v>
      </c>
      <c r="L19" s="3">
        <v>1</v>
      </c>
      <c r="M19" s="80" t="s">
        <v>52</v>
      </c>
      <c r="N19" s="80" t="s">
        <v>52</v>
      </c>
    </row>
    <row r="20" spans="1:14" x14ac:dyDescent="0.2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">
      <c r="A22" s="8" t="s">
        <v>2</v>
      </c>
      <c r="B22" s="62" t="s">
        <v>24</v>
      </c>
      <c r="C22" s="13">
        <v>900</v>
      </c>
      <c r="E22" s="1">
        <v>14.87</v>
      </c>
      <c r="F22" s="1">
        <v>14.87</v>
      </c>
      <c r="G22" s="7">
        <f t="shared" ref="G22:G27" si="1">C22*(E22-F22)</f>
        <v>0</v>
      </c>
      <c r="H22" s="7">
        <f t="shared" ref="H22:H27" si="2">C22*(E22-F22)</f>
        <v>0</v>
      </c>
      <c r="I22" s="1"/>
      <c r="J22" s="7">
        <f t="shared" ref="J22:J27" si="3">C22*E22</f>
        <v>13383</v>
      </c>
      <c r="K22" s="7">
        <f t="shared" ref="K22:K33" si="4">J22</f>
        <v>13383</v>
      </c>
      <c r="L22" s="3">
        <v>2</v>
      </c>
      <c r="M22" s="80" t="s">
        <v>52</v>
      </c>
    </row>
    <row r="23" spans="1:14" x14ac:dyDescent="0.2">
      <c r="A23" s="8" t="s">
        <v>3</v>
      </c>
      <c r="B23" s="62" t="s">
        <v>25</v>
      </c>
      <c r="C23" s="13">
        <v>100</v>
      </c>
      <c r="E23" s="1">
        <v>16.899999999999999</v>
      </c>
      <c r="F23" s="1">
        <v>16.899999999999999</v>
      </c>
      <c r="G23" s="7">
        <f t="shared" si="1"/>
        <v>0</v>
      </c>
      <c r="H23" s="7">
        <f t="shared" si="2"/>
        <v>0</v>
      </c>
      <c r="I23" s="1"/>
      <c r="J23" s="7">
        <f t="shared" si="3"/>
        <v>1689.9999999999998</v>
      </c>
      <c r="K23" s="7">
        <f t="shared" si="4"/>
        <v>1689.9999999999998</v>
      </c>
      <c r="L23" s="3">
        <v>2</v>
      </c>
      <c r="M23" s="80" t="s">
        <v>52</v>
      </c>
    </row>
    <row r="24" spans="1:14" x14ac:dyDescent="0.2">
      <c r="A24" s="8"/>
      <c r="B24" s="62" t="s">
        <v>88</v>
      </c>
      <c r="C24" s="13">
        <v>83</v>
      </c>
      <c r="D24" s="13" t="s">
        <v>52</v>
      </c>
      <c r="E24" s="1">
        <v>42.5</v>
      </c>
      <c r="F24" s="1">
        <v>42.5</v>
      </c>
      <c r="G24" s="7">
        <f t="shared" si="1"/>
        <v>0</v>
      </c>
      <c r="H24" s="7">
        <f t="shared" si="2"/>
        <v>0</v>
      </c>
      <c r="I24" s="1"/>
      <c r="J24" s="7">
        <f t="shared" si="3"/>
        <v>3527.5</v>
      </c>
      <c r="K24" s="7">
        <f t="shared" si="4"/>
        <v>3527.5</v>
      </c>
      <c r="L24" s="3">
        <v>2</v>
      </c>
      <c r="M24" s="80" t="s">
        <v>52</v>
      </c>
    </row>
    <row r="25" spans="1:14" x14ac:dyDescent="0.2">
      <c r="A25" s="8"/>
      <c r="B25" s="62" t="s">
        <v>54</v>
      </c>
      <c r="C25" s="13">
        <v>169</v>
      </c>
      <c r="E25" s="1">
        <v>12.81</v>
      </c>
      <c r="F25" s="1">
        <v>12.81</v>
      </c>
      <c r="G25" s="7">
        <f t="shared" si="1"/>
        <v>0</v>
      </c>
      <c r="H25" s="7">
        <f t="shared" si="2"/>
        <v>0</v>
      </c>
      <c r="I25" s="1"/>
      <c r="J25" s="7">
        <f t="shared" si="3"/>
        <v>2164.89</v>
      </c>
      <c r="K25" s="7">
        <f t="shared" si="4"/>
        <v>2164.89</v>
      </c>
      <c r="L25" s="3">
        <v>2</v>
      </c>
      <c r="M25" s="80" t="s">
        <v>52</v>
      </c>
    </row>
    <row r="26" spans="1:14" x14ac:dyDescent="0.2">
      <c r="A26" s="8"/>
      <c r="B26" s="62" t="s">
        <v>48</v>
      </c>
      <c r="C26" s="13">
        <v>2197.5300000000002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2197.5300000000002</v>
      </c>
      <c r="K26" s="7">
        <f t="shared" si="4"/>
        <v>2197.5300000000002</v>
      </c>
      <c r="L26" s="3">
        <v>1</v>
      </c>
      <c r="M26" s="80" t="s">
        <v>52</v>
      </c>
    </row>
    <row r="27" spans="1:14" x14ac:dyDescent="0.2">
      <c r="A27" s="8"/>
      <c r="B27" s="62" t="s">
        <v>138</v>
      </c>
      <c r="C27" s="13">
        <v>802.47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802.47</v>
      </c>
      <c r="K27" s="7">
        <f t="shared" si="4"/>
        <v>802.47</v>
      </c>
      <c r="L27" s="3">
        <v>1</v>
      </c>
      <c r="M27" s="80" t="s">
        <v>52</v>
      </c>
    </row>
    <row r="28" spans="1:14" x14ac:dyDescent="0.2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">
      <c r="A29" s="8" t="s">
        <v>4</v>
      </c>
      <c r="B29" s="13" t="s">
        <v>22</v>
      </c>
      <c r="D29" s="13" t="s">
        <v>52</v>
      </c>
      <c r="E29" s="4" t="s">
        <v>52</v>
      </c>
      <c r="F29" s="4" t="s">
        <v>52</v>
      </c>
      <c r="I29" s="3"/>
      <c r="K29" s="7" t="s">
        <v>52</v>
      </c>
      <c r="M29" s="80" t="s">
        <v>52</v>
      </c>
    </row>
    <row r="30" spans="1:14" x14ac:dyDescent="0.2">
      <c r="A30" s="25" t="s">
        <v>52</v>
      </c>
      <c r="B30" s="62" t="s">
        <v>129</v>
      </c>
      <c r="C30" s="13">
        <v>270.67399999999998</v>
      </c>
      <c r="D30" s="13">
        <f>C30*1</f>
        <v>270.67399999999998</v>
      </c>
      <c r="E30" s="16">
        <v>9.06</v>
      </c>
      <c r="F30" s="16">
        <v>9.06</v>
      </c>
      <c r="G30" s="7">
        <f>C30*(E30-F30)</f>
        <v>0</v>
      </c>
      <c r="H30" s="7">
        <f>C30*(E30-F30)</f>
        <v>0</v>
      </c>
      <c r="I30" s="3"/>
      <c r="J30" s="7">
        <f>C30*E30</f>
        <v>2452.3064399999998</v>
      </c>
      <c r="K30" s="7">
        <f t="shared" si="4"/>
        <v>2452.3064399999998</v>
      </c>
      <c r="L30" s="3">
        <v>2</v>
      </c>
      <c r="M30" s="80" t="s">
        <v>52</v>
      </c>
    </row>
    <row r="31" spans="1:14" x14ac:dyDescent="0.2">
      <c r="A31" s="8" t="s">
        <v>52</v>
      </c>
      <c r="B31" s="2" t="s">
        <v>116</v>
      </c>
      <c r="C31" s="13">
        <v>134757.65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134757.65</v>
      </c>
      <c r="K31" s="7">
        <f>J31</f>
        <v>134757.65</v>
      </c>
      <c r="L31" s="3">
        <v>1</v>
      </c>
      <c r="M31" s="80" t="s">
        <v>52</v>
      </c>
    </row>
    <row r="32" spans="1:14" x14ac:dyDescent="0.2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">
      <c r="A36" s="8" t="s">
        <v>8</v>
      </c>
      <c r="B36" s="2" t="s">
        <v>129</v>
      </c>
      <c r="C36" s="13">
        <v>96.793000000000006</v>
      </c>
      <c r="D36" s="13">
        <f>C36*1</f>
        <v>96.793000000000006</v>
      </c>
      <c r="E36" s="1">
        <f>E$30</f>
        <v>9.06</v>
      </c>
      <c r="F36" s="1">
        <f>F$30</f>
        <v>9.06</v>
      </c>
      <c r="G36" s="7">
        <f>C36*(E36-F36)</f>
        <v>0</v>
      </c>
      <c r="H36" s="7">
        <f>C36*(E36-F36)</f>
        <v>0</v>
      </c>
      <c r="I36" s="1"/>
      <c r="J36" s="7">
        <f>C36*E36</f>
        <v>876.94458000000009</v>
      </c>
      <c r="K36" s="7">
        <f>J36</f>
        <v>876.94458000000009</v>
      </c>
      <c r="L36" s="3">
        <v>2</v>
      </c>
      <c r="M36" s="80" t="s">
        <v>52</v>
      </c>
    </row>
    <row r="37" spans="1:15" x14ac:dyDescent="0.2">
      <c r="A37" s="8"/>
      <c r="C37" s="13" t="s">
        <v>52</v>
      </c>
      <c r="E37" s="4"/>
      <c r="F37" s="4"/>
      <c r="H37" s="7" t="s">
        <v>52</v>
      </c>
      <c r="I37" s="22" t="s">
        <v>52</v>
      </c>
      <c r="M37" s="80" t="s">
        <v>52</v>
      </c>
    </row>
    <row r="38" spans="1:15" x14ac:dyDescent="0.2">
      <c r="A38" s="8" t="s">
        <v>66</v>
      </c>
      <c r="B38" s="5" t="s">
        <v>22</v>
      </c>
      <c r="D38" s="13" t="s">
        <v>52</v>
      </c>
      <c r="E38" s="3"/>
      <c r="F38" s="3"/>
      <c r="H38" s="7" t="s">
        <v>52</v>
      </c>
      <c r="I38" s="22" t="s">
        <v>52</v>
      </c>
      <c r="M38" s="80" t="s">
        <v>52</v>
      </c>
    </row>
    <row r="39" spans="1:15" s="97" customFormat="1" x14ac:dyDescent="0.2">
      <c r="A39" s="96" t="s">
        <v>52</v>
      </c>
      <c r="B39" s="97" t="s">
        <v>129</v>
      </c>
      <c r="C39" s="98">
        <v>8267</v>
      </c>
      <c r="D39" s="98">
        <v>8267</v>
      </c>
      <c r="E39" s="1">
        <f>E$30</f>
        <v>9.06</v>
      </c>
      <c r="F39" s="1">
        <f>F$30</f>
        <v>9.06</v>
      </c>
      <c r="G39" s="99">
        <f>C39*(E39-F39)</f>
        <v>0</v>
      </c>
      <c r="H39" s="99">
        <f>C39*(E39-F39)*0.5895</f>
        <v>0</v>
      </c>
      <c r="I39" s="100" t="s">
        <v>52</v>
      </c>
      <c r="J39" s="99">
        <f>C39*E39*0.9</f>
        <v>67409.118000000002</v>
      </c>
      <c r="K39" s="99">
        <f>J39*0.614</f>
        <v>41389.198452000004</v>
      </c>
      <c r="L39" s="101">
        <v>2</v>
      </c>
      <c r="M39" s="102" t="s">
        <v>52</v>
      </c>
      <c r="N39" s="102" t="s">
        <v>52</v>
      </c>
      <c r="O39" s="103"/>
    </row>
    <row r="40" spans="1:15" x14ac:dyDescent="0.2">
      <c r="A40" s="25"/>
      <c r="E40" s="1"/>
      <c r="F40" s="1"/>
      <c r="H40" s="7" t="s">
        <v>52</v>
      </c>
      <c r="I40" s="22"/>
      <c r="J40" s="22"/>
      <c r="M40" s="80" t="s">
        <v>52</v>
      </c>
    </row>
    <row r="41" spans="1:15" x14ac:dyDescent="0.2">
      <c r="A41" s="8" t="s">
        <v>7</v>
      </c>
      <c r="B41" s="5" t="s">
        <v>22</v>
      </c>
      <c r="E41" s="3"/>
      <c r="F41" s="3"/>
      <c r="H41" s="7" t="s">
        <v>52</v>
      </c>
      <c r="I41" s="3"/>
      <c r="M41" s="80" t="s">
        <v>52</v>
      </c>
    </row>
    <row r="42" spans="1:15" x14ac:dyDescent="0.2">
      <c r="A42" s="8"/>
      <c r="B42" s="2" t="s">
        <v>126</v>
      </c>
      <c r="C42" s="13">
        <v>1307.5862</v>
      </c>
      <c r="D42" s="13">
        <f>C42*1</f>
        <v>1307.5862</v>
      </c>
      <c r="E42" s="1">
        <f t="shared" ref="E42:F44" si="5">E$30</f>
        <v>9.06</v>
      </c>
      <c r="F42" s="1">
        <f t="shared" si="5"/>
        <v>9.06</v>
      </c>
      <c r="G42" s="7">
        <f>C42*(E42-F42)</f>
        <v>0</v>
      </c>
      <c r="H42" s="7">
        <f>C42*(E42-F42)</f>
        <v>0</v>
      </c>
      <c r="I42" s="1"/>
      <c r="J42" s="7">
        <f>C42*E42</f>
        <v>11846.730972000001</v>
      </c>
      <c r="K42" s="7">
        <f>J42</f>
        <v>11846.730972000001</v>
      </c>
      <c r="L42" s="3">
        <v>2</v>
      </c>
      <c r="M42" s="80" t="s">
        <v>52</v>
      </c>
    </row>
    <row r="43" spans="1:15" x14ac:dyDescent="0.2">
      <c r="A43" s="8"/>
      <c r="B43" s="2" t="s">
        <v>127</v>
      </c>
      <c r="C43" s="13">
        <v>178.0334</v>
      </c>
      <c r="D43" s="13">
        <f>C43*1</f>
        <v>178.0334</v>
      </c>
      <c r="E43" s="1">
        <f t="shared" si="5"/>
        <v>9.06</v>
      </c>
      <c r="F43" s="1">
        <f t="shared" si="5"/>
        <v>9.06</v>
      </c>
      <c r="G43" s="7">
        <f>C43*(E43-F43)</f>
        <v>0</v>
      </c>
      <c r="H43" s="7">
        <f>C43*(E43-F43)</f>
        <v>0</v>
      </c>
      <c r="I43" s="1"/>
      <c r="J43" s="7">
        <f>C43*E43</f>
        <v>1612.982604</v>
      </c>
      <c r="K43" s="7">
        <f>J43</f>
        <v>1612.982604</v>
      </c>
      <c r="L43" s="3">
        <v>2</v>
      </c>
      <c r="M43" s="80" t="s">
        <v>52</v>
      </c>
    </row>
    <row r="44" spans="1:15" x14ac:dyDescent="0.2">
      <c r="A44" s="8"/>
      <c r="B44" s="2" t="s">
        <v>125</v>
      </c>
      <c r="C44" s="13">
        <v>402.85410000000002</v>
      </c>
      <c r="D44" s="13">
        <f>C44*1</f>
        <v>402.85410000000002</v>
      </c>
      <c r="E44" s="1">
        <f t="shared" si="5"/>
        <v>9.06</v>
      </c>
      <c r="F44" s="1">
        <f t="shared" si="5"/>
        <v>9.06</v>
      </c>
      <c r="G44" s="7">
        <f>C44*(E44-F44)</f>
        <v>0</v>
      </c>
      <c r="H44" s="7">
        <f>C44*(E44-F44)</f>
        <v>0</v>
      </c>
      <c r="I44" s="1"/>
      <c r="J44" s="7">
        <f>C44*E44</f>
        <v>3649.8581460000005</v>
      </c>
      <c r="K44" s="7">
        <f>J44</f>
        <v>3649.8581460000005</v>
      </c>
      <c r="L44" s="3">
        <v>2</v>
      </c>
      <c r="M44" s="80" t="s">
        <v>52</v>
      </c>
    </row>
    <row r="45" spans="1:15" x14ac:dyDescent="0.2">
      <c r="A45" s="8"/>
      <c r="E45" s="1"/>
      <c r="F45" s="1"/>
      <c r="H45" s="7" t="s">
        <v>52</v>
      </c>
      <c r="I45" s="1"/>
      <c r="M45" s="80" t="s">
        <v>52</v>
      </c>
    </row>
    <row r="46" spans="1:15" x14ac:dyDescent="0.2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">
      <c r="A47" s="8" t="s">
        <v>9</v>
      </c>
      <c r="B47" s="2" t="s">
        <v>155</v>
      </c>
      <c r="C47" s="13">
        <v>3262</v>
      </c>
      <c r="D47" s="13" t="s">
        <v>52</v>
      </c>
      <c r="E47" s="1">
        <f t="shared" ref="E47:F53" si="6">E$30</f>
        <v>9.06</v>
      </c>
      <c r="F47" s="1">
        <f t="shared" si="6"/>
        <v>9.06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">
      <c r="A48" s="8"/>
      <c r="B48" s="2" t="s">
        <v>154</v>
      </c>
      <c r="C48" s="13">
        <v>1270</v>
      </c>
      <c r="D48" s="13" t="s">
        <v>52</v>
      </c>
      <c r="E48" s="1">
        <f t="shared" si="6"/>
        <v>9.06</v>
      </c>
      <c r="F48" s="1">
        <f t="shared" si="6"/>
        <v>9.06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">
      <c r="A49" s="8" t="s">
        <v>52</v>
      </c>
      <c r="B49" s="2" t="s">
        <v>149</v>
      </c>
      <c r="C49" s="13">
        <v>381</v>
      </c>
      <c r="D49" s="13" t="s">
        <v>52</v>
      </c>
      <c r="E49" s="1">
        <f t="shared" si="6"/>
        <v>9.06</v>
      </c>
      <c r="F49" s="1">
        <f t="shared" si="6"/>
        <v>9.06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">
      <c r="A50" s="8" t="s">
        <v>52</v>
      </c>
      <c r="B50" s="2" t="s">
        <v>141</v>
      </c>
      <c r="C50" s="13">
        <v>694</v>
      </c>
      <c r="D50" s="13" t="s">
        <v>52</v>
      </c>
      <c r="E50" s="1">
        <f t="shared" si="6"/>
        <v>9.06</v>
      </c>
      <c r="F50" s="1">
        <f t="shared" si="6"/>
        <v>9.06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">
      <c r="A51" s="8" t="s">
        <v>52</v>
      </c>
      <c r="B51" s="2" t="s">
        <v>146</v>
      </c>
      <c r="C51" s="13">
        <v>348</v>
      </c>
      <c r="D51" s="13" t="s">
        <v>52</v>
      </c>
      <c r="E51" s="1">
        <f t="shared" si="6"/>
        <v>9.06</v>
      </c>
      <c r="F51" s="1">
        <f t="shared" si="6"/>
        <v>9.06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">
      <c r="A52" s="8" t="s">
        <v>52</v>
      </c>
      <c r="B52" s="2" t="s">
        <v>152</v>
      </c>
      <c r="C52" s="13">
        <v>417</v>
      </c>
      <c r="D52" s="13" t="s">
        <v>52</v>
      </c>
      <c r="E52" s="1">
        <f t="shared" si="6"/>
        <v>9.06</v>
      </c>
      <c r="F52" s="1">
        <f t="shared" si="6"/>
        <v>9.06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">
      <c r="A53" s="8" t="s">
        <v>52</v>
      </c>
      <c r="B53" s="2" t="s">
        <v>162</v>
      </c>
      <c r="C53" s="13">
        <v>610</v>
      </c>
      <c r="D53" s="13" t="s">
        <v>52</v>
      </c>
      <c r="E53" s="1">
        <f t="shared" si="6"/>
        <v>9.06</v>
      </c>
      <c r="F53" s="1">
        <f t="shared" si="6"/>
        <v>9.06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">
      <c r="A56" s="8" t="s">
        <v>11</v>
      </c>
      <c r="B56" s="2" t="s">
        <v>168</v>
      </c>
      <c r="C56" s="13">
        <v>2317</v>
      </c>
      <c r="D56" s="13">
        <f>C56*1</f>
        <v>2317</v>
      </c>
      <c r="E56" s="1">
        <f>E$30</f>
        <v>9.06</v>
      </c>
      <c r="F56" s="1">
        <f>F$30</f>
        <v>9.06</v>
      </c>
      <c r="G56" s="7">
        <f>C56*(E56-F56)</f>
        <v>0</v>
      </c>
      <c r="H56" s="7">
        <f>C56*(E56-F56)*0.5895</f>
        <v>0</v>
      </c>
      <c r="I56" s="1"/>
      <c r="J56" s="7">
        <f>C56*E56</f>
        <v>20992.02</v>
      </c>
      <c r="K56" s="7">
        <f>J56*0.614</f>
        <v>12889.100280000001</v>
      </c>
      <c r="L56" s="3">
        <v>2</v>
      </c>
      <c r="M56" s="80" t="s">
        <v>52</v>
      </c>
    </row>
    <row r="57" spans="1:16" x14ac:dyDescent="0.2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">
      <c r="A59" s="8" t="s">
        <v>65</v>
      </c>
      <c r="B59" s="2" t="s">
        <v>128</v>
      </c>
      <c r="C59" s="13">
        <v>1924</v>
      </c>
      <c r="D59" s="13">
        <f>+C59*1</f>
        <v>1924</v>
      </c>
      <c r="E59" s="1">
        <f>E$30</f>
        <v>9.06</v>
      </c>
      <c r="F59" s="1">
        <f>F$30</f>
        <v>9.06</v>
      </c>
      <c r="G59" s="7">
        <f>C59*(E59-F59)</f>
        <v>0</v>
      </c>
      <c r="H59" s="7">
        <f>C59*(E59-F59)*0.5895</f>
        <v>0</v>
      </c>
      <c r="I59" s="1"/>
      <c r="J59" s="7">
        <f>C59*E59</f>
        <v>17431.440000000002</v>
      </c>
      <c r="K59" s="7">
        <f>J59*0.614</f>
        <v>10702.904160000002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">
      <c r="A60" s="87" t="s">
        <v>52</v>
      </c>
      <c r="E60" s="1"/>
      <c r="F60" s="1"/>
      <c r="H60" s="7" t="s">
        <v>52</v>
      </c>
      <c r="I60" s="1"/>
    </row>
    <row r="61" spans="1:16" x14ac:dyDescent="0.2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">
      <c r="A62" s="8" t="s">
        <v>52</v>
      </c>
      <c r="B62" s="2" t="s">
        <v>23</v>
      </c>
      <c r="C62" s="80">
        <v>0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7" si="11">C62*(E62-F62)</f>
        <v>0</v>
      </c>
      <c r="I62" s="1"/>
      <c r="J62" s="7">
        <f>C62*E62</f>
        <v>0</v>
      </c>
      <c r="K62" s="7">
        <f t="shared" ref="K62:K78" si="12">J62</f>
        <v>0</v>
      </c>
      <c r="L62" s="3">
        <v>1</v>
      </c>
    </row>
    <row r="63" spans="1:16" x14ac:dyDescent="0.2">
      <c r="A63" s="8" t="s">
        <v>52</v>
      </c>
      <c r="B63" s="2" t="s">
        <v>170</v>
      </c>
      <c r="C63" s="80">
        <v>2964884</v>
      </c>
      <c r="D63" s="13" t="s">
        <v>52</v>
      </c>
      <c r="E63" s="1">
        <v>1</v>
      </c>
      <c r="F63" s="1">
        <v>1</v>
      </c>
      <c r="G63" s="7">
        <f>C63*(E63-F63)</f>
        <v>0</v>
      </c>
      <c r="H63" s="7">
        <f>C63*(E63-F63)</f>
        <v>0</v>
      </c>
      <c r="I63" s="1"/>
      <c r="J63" s="7">
        <f>C63*E63</f>
        <v>2964884</v>
      </c>
      <c r="K63" s="7">
        <f t="shared" si="12"/>
        <v>2964884</v>
      </c>
      <c r="L63" s="3">
        <v>1</v>
      </c>
    </row>
    <row r="64" spans="1:16" x14ac:dyDescent="0.2">
      <c r="A64" s="30" t="s">
        <v>52</v>
      </c>
      <c r="B64" s="2" t="s">
        <v>167</v>
      </c>
      <c r="C64" s="13">
        <v>-5000</v>
      </c>
      <c r="D64" s="13" t="s">
        <v>52</v>
      </c>
      <c r="E64" s="1">
        <v>0.05</v>
      </c>
      <c r="F64" s="1">
        <v>0.05</v>
      </c>
      <c r="G64" s="7">
        <f>(E64-F64)*C64</f>
        <v>0</v>
      </c>
      <c r="H64" s="7">
        <f>C64*(E64-F64)</f>
        <v>0</v>
      </c>
      <c r="J64" s="7">
        <f>G64</f>
        <v>0</v>
      </c>
      <c r="K64" s="7">
        <f>J64</f>
        <v>0</v>
      </c>
      <c r="L64" s="3">
        <v>1</v>
      </c>
      <c r="M64" s="80">
        <f>C64*E64*-1</f>
        <v>250</v>
      </c>
    </row>
    <row r="65" spans="1:16" x14ac:dyDescent="0.2">
      <c r="A65" s="30" t="s">
        <v>52</v>
      </c>
      <c r="B65" s="2" t="s">
        <v>160</v>
      </c>
      <c r="C65" s="13">
        <v>-15000</v>
      </c>
      <c r="D65" s="13" t="s">
        <v>52</v>
      </c>
      <c r="E65" s="1">
        <v>0.05</v>
      </c>
      <c r="F65" s="1">
        <v>0.05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750</v>
      </c>
    </row>
    <row r="66" spans="1:16" x14ac:dyDescent="0.2">
      <c r="A66" s="30" t="s">
        <v>52</v>
      </c>
      <c r="B66" s="2" t="s">
        <v>158</v>
      </c>
      <c r="C66" s="13">
        <v>-7500</v>
      </c>
      <c r="D66" s="13" t="s">
        <v>52</v>
      </c>
      <c r="E66" s="1">
        <v>0.05</v>
      </c>
      <c r="F66" s="1">
        <v>0.05</v>
      </c>
      <c r="G66" s="7">
        <f>(E66-F66)*C66</f>
        <v>0</v>
      </c>
      <c r="H66" s="7">
        <f>C66*(E66-F66)</f>
        <v>0</v>
      </c>
      <c r="J66" s="7">
        <f>G66</f>
        <v>0</v>
      </c>
      <c r="K66" s="7">
        <f>J66</f>
        <v>0</v>
      </c>
      <c r="L66" s="3">
        <v>1</v>
      </c>
      <c r="M66" s="80">
        <f>C66*E66*-1</f>
        <v>375</v>
      </c>
    </row>
    <row r="67" spans="1:16" x14ac:dyDescent="0.2">
      <c r="A67" s="30" t="s">
        <v>52</v>
      </c>
      <c r="B67" s="2" t="s">
        <v>130</v>
      </c>
      <c r="C67" s="13">
        <v>-5000</v>
      </c>
      <c r="D67" s="13" t="s">
        <v>52</v>
      </c>
      <c r="E67" s="1">
        <v>0.05</v>
      </c>
      <c r="F67" s="1">
        <v>0.05</v>
      </c>
      <c r="G67" s="7">
        <f t="shared" ref="G67:G77" si="13">(E67-F67)*C67</f>
        <v>0</v>
      </c>
      <c r="H67" s="7">
        <f t="shared" si="11"/>
        <v>0</v>
      </c>
      <c r="J67" s="7">
        <f t="shared" ref="J67:J76" si="14">G67</f>
        <v>0</v>
      </c>
      <c r="K67" s="7">
        <f t="shared" si="12"/>
        <v>0</v>
      </c>
      <c r="L67" s="3">
        <v>1</v>
      </c>
      <c r="M67" s="80">
        <f t="shared" ref="M67:M77" si="15">C67*E67*-1</f>
        <v>250</v>
      </c>
    </row>
    <row r="68" spans="1:16" x14ac:dyDescent="0.2">
      <c r="A68" s="30" t="s">
        <v>52</v>
      </c>
      <c r="B68" s="2" t="s">
        <v>131</v>
      </c>
      <c r="C68" s="13">
        <v>-15000</v>
      </c>
      <c r="D68" s="13" t="s">
        <v>52</v>
      </c>
      <c r="E68" s="1">
        <v>0.05</v>
      </c>
      <c r="F68" s="1">
        <v>0.05</v>
      </c>
      <c r="G68" s="7">
        <f t="shared" si="13"/>
        <v>0</v>
      </c>
      <c r="H68" s="7">
        <f t="shared" si="11"/>
        <v>0</v>
      </c>
      <c r="J68" s="7">
        <f t="shared" si="14"/>
        <v>0</v>
      </c>
      <c r="K68" s="7">
        <f t="shared" si="12"/>
        <v>0</v>
      </c>
      <c r="L68" s="3">
        <v>1</v>
      </c>
      <c r="M68" s="80">
        <f t="shared" si="15"/>
        <v>750</v>
      </c>
      <c r="N68" s="80" t="s">
        <v>52</v>
      </c>
    </row>
    <row r="69" spans="1:16" x14ac:dyDescent="0.2">
      <c r="A69" s="30" t="s">
        <v>52</v>
      </c>
      <c r="B69" s="2" t="s">
        <v>166</v>
      </c>
      <c r="C69" s="13">
        <v>-2500</v>
      </c>
      <c r="D69" s="13" t="s">
        <v>52</v>
      </c>
      <c r="E69" s="1">
        <v>0.25</v>
      </c>
      <c r="F69" s="1">
        <v>0.25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625</v>
      </c>
    </row>
    <row r="70" spans="1:16" x14ac:dyDescent="0.2">
      <c r="A70" s="30" t="s">
        <v>52</v>
      </c>
      <c r="B70" s="2" t="s">
        <v>147</v>
      </c>
      <c r="C70" s="13">
        <v>-5000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 t="shared" si="12"/>
        <v>0</v>
      </c>
      <c r="L70" s="3">
        <v>1</v>
      </c>
      <c r="M70" s="80">
        <f>C70*E70*-1</f>
        <v>1000</v>
      </c>
    </row>
    <row r="71" spans="1:16" x14ac:dyDescent="0.2">
      <c r="A71" s="30" t="s">
        <v>52</v>
      </c>
      <c r="B71" s="2" t="s">
        <v>132</v>
      </c>
      <c r="C71" s="13">
        <v>-15000</v>
      </c>
      <c r="D71" s="13" t="s">
        <v>52</v>
      </c>
      <c r="E71" s="1">
        <v>0.15</v>
      </c>
      <c r="F71" s="1">
        <v>0.15</v>
      </c>
      <c r="G71" s="7">
        <f t="shared" si="13"/>
        <v>0</v>
      </c>
      <c r="H71" s="7">
        <f t="shared" si="11"/>
        <v>0</v>
      </c>
      <c r="J71" s="7">
        <f t="shared" si="14"/>
        <v>0</v>
      </c>
      <c r="K71" s="7">
        <f t="shared" si="12"/>
        <v>0</v>
      </c>
      <c r="L71" s="3">
        <v>1</v>
      </c>
      <c r="M71" s="80">
        <f t="shared" si="15"/>
        <v>2250</v>
      </c>
      <c r="O71" s="5" t="s">
        <v>52</v>
      </c>
    </row>
    <row r="72" spans="1:16" x14ac:dyDescent="0.2">
      <c r="A72" s="30" t="s">
        <v>52</v>
      </c>
      <c r="B72" s="2" t="s">
        <v>143</v>
      </c>
      <c r="C72" s="13">
        <v>-15000</v>
      </c>
      <c r="D72" s="13" t="s">
        <v>52</v>
      </c>
      <c r="E72" s="1">
        <v>0.15</v>
      </c>
      <c r="F72" s="1">
        <v>0.15</v>
      </c>
      <c r="G72" s="7">
        <f>(E72-F72)*C72</f>
        <v>0</v>
      </c>
      <c r="H72" s="7">
        <f>C72*(E72-F72)</f>
        <v>0</v>
      </c>
      <c r="J72" s="7">
        <f>G72</f>
        <v>0</v>
      </c>
      <c r="K72" s="7">
        <f t="shared" si="12"/>
        <v>0</v>
      </c>
      <c r="L72" s="3">
        <v>1</v>
      </c>
      <c r="M72" s="80">
        <f>C72*E72*-1</f>
        <v>2250</v>
      </c>
      <c r="O72" s="5" t="s">
        <v>52</v>
      </c>
    </row>
    <row r="73" spans="1:16" x14ac:dyDescent="0.2">
      <c r="A73" s="30" t="s">
        <v>52</v>
      </c>
      <c r="B73" s="2" t="s">
        <v>133</v>
      </c>
      <c r="C73" s="13">
        <v>-10000</v>
      </c>
      <c r="D73" s="13" t="s">
        <v>52</v>
      </c>
      <c r="E73" s="1">
        <v>0.1</v>
      </c>
      <c r="F73" s="1">
        <v>0.1</v>
      </c>
      <c r="G73" s="7">
        <f t="shared" si="13"/>
        <v>0</v>
      </c>
      <c r="H73" s="7">
        <f t="shared" si="11"/>
        <v>0</v>
      </c>
      <c r="J73" s="7">
        <f>G73</f>
        <v>0</v>
      </c>
      <c r="K73" s="7">
        <f t="shared" si="12"/>
        <v>0</v>
      </c>
      <c r="L73" s="3">
        <v>1</v>
      </c>
      <c r="M73" s="80">
        <f t="shared" si="15"/>
        <v>1000</v>
      </c>
      <c r="O73" s="7" t="s">
        <v>52</v>
      </c>
    </row>
    <row r="74" spans="1:16" x14ac:dyDescent="0.2">
      <c r="A74" s="30" t="s">
        <v>52</v>
      </c>
      <c r="B74" s="2" t="s">
        <v>134</v>
      </c>
      <c r="C74" s="13">
        <v>-10000</v>
      </c>
      <c r="D74" s="13" t="s">
        <v>52</v>
      </c>
      <c r="E74" s="1">
        <v>0.1</v>
      </c>
      <c r="F74" s="1">
        <v>0.1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1000</v>
      </c>
      <c r="O74" s="7" t="s">
        <v>52</v>
      </c>
    </row>
    <row r="75" spans="1:16" x14ac:dyDescent="0.2">
      <c r="A75" s="30" t="s">
        <v>52</v>
      </c>
      <c r="B75" s="2" t="s">
        <v>135</v>
      </c>
      <c r="C75" s="13">
        <v>-10000</v>
      </c>
      <c r="D75" s="13" t="s">
        <v>52</v>
      </c>
      <c r="E75" s="1">
        <v>0.1</v>
      </c>
      <c r="F75" s="1">
        <v>0.1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80">
        <f t="shared" si="15"/>
        <v>1000</v>
      </c>
      <c r="O75" s="7" t="s">
        <v>52</v>
      </c>
    </row>
    <row r="76" spans="1:16" x14ac:dyDescent="0.2">
      <c r="A76" s="30" t="s">
        <v>52</v>
      </c>
      <c r="B76" s="2" t="s">
        <v>136</v>
      </c>
      <c r="C76" s="13">
        <v>-10000</v>
      </c>
      <c r="D76" s="13" t="s">
        <v>52</v>
      </c>
      <c r="E76" s="1">
        <v>0.1</v>
      </c>
      <c r="F76" s="1">
        <v>0.1</v>
      </c>
      <c r="G76" s="7">
        <f t="shared" si="13"/>
        <v>0</v>
      </c>
      <c r="H76" s="7">
        <f t="shared" si="11"/>
        <v>0</v>
      </c>
      <c r="J76" s="7">
        <f t="shared" si="14"/>
        <v>0</v>
      </c>
      <c r="K76" s="7">
        <f t="shared" si="12"/>
        <v>0</v>
      </c>
      <c r="L76" s="3">
        <v>1</v>
      </c>
      <c r="M76" s="92">
        <f t="shared" si="15"/>
        <v>1000</v>
      </c>
      <c r="O76" s="80" t="s">
        <v>52</v>
      </c>
    </row>
    <row r="77" spans="1:16" ht="13.5" thickBot="1" x14ac:dyDescent="0.25">
      <c r="A77" s="30" t="s">
        <v>52</v>
      </c>
      <c r="B77" s="2" t="s">
        <v>137</v>
      </c>
      <c r="C77" s="13">
        <v>-5000</v>
      </c>
      <c r="D77" s="13" t="s">
        <v>52</v>
      </c>
      <c r="E77" s="1">
        <v>0.25</v>
      </c>
      <c r="F77" s="1">
        <v>0.25</v>
      </c>
      <c r="G77" s="7">
        <f t="shared" si="13"/>
        <v>0</v>
      </c>
      <c r="H77" s="7">
        <f t="shared" si="11"/>
        <v>0</v>
      </c>
      <c r="J77" s="7">
        <f>G77</f>
        <v>0</v>
      </c>
      <c r="K77" s="7">
        <f t="shared" si="12"/>
        <v>0</v>
      </c>
      <c r="L77" s="3">
        <v>1</v>
      </c>
      <c r="M77" s="93">
        <f t="shared" si="15"/>
        <v>1250</v>
      </c>
      <c r="N77" s="80" t="s">
        <v>52</v>
      </c>
      <c r="O77" s="7" t="s">
        <v>52</v>
      </c>
    </row>
    <row r="78" spans="1:16" x14ac:dyDescent="0.2">
      <c r="A78" s="8" t="s">
        <v>52</v>
      </c>
      <c r="C78" s="29" t="s">
        <v>52</v>
      </c>
      <c r="D78" s="13" t="s">
        <v>52</v>
      </c>
      <c r="E78" s="1"/>
      <c r="F78" s="1"/>
      <c r="G78" s="7" t="s">
        <v>52</v>
      </c>
      <c r="H78" s="7" t="s">
        <v>52</v>
      </c>
      <c r="I78" s="1"/>
      <c r="J78" s="7" t="str">
        <f>G78</f>
        <v xml:space="preserve"> </v>
      </c>
      <c r="K78" s="7" t="str">
        <f t="shared" si="12"/>
        <v xml:space="preserve"> </v>
      </c>
      <c r="M78" s="80">
        <f>SUM(M64:M77)</f>
        <v>13750</v>
      </c>
      <c r="N78" s="80">
        <v>2750</v>
      </c>
      <c r="O78" s="80">
        <v>2964884</v>
      </c>
      <c r="P78" s="2" t="s">
        <v>52</v>
      </c>
    </row>
    <row r="79" spans="1:16" x14ac:dyDescent="0.2">
      <c r="A79" s="8" t="s">
        <v>57</v>
      </c>
      <c r="B79" s="5" t="s">
        <v>22</v>
      </c>
      <c r="C79" s="13" t="s">
        <v>52</v>
      </c>
      <c r="D79" s="13" t="s">
        <v>52</v>
      </c>
      <c r="E79" s="14"/>
      <c r="F79" s="14"/>
      <c r="G79" s="14" t="s">
        <v>52</v>
      </c>
      <c r="H79" s="7" t="s">
        <v>52</v>
      </c>
      <c r="I79" s="3"/>
      <c r="K79" s="7" t="s">
        <v>52</v>
      </c>
      <c r="M79" s="80" t="s">
        <v>52</v>
      </c>
      <c r="N79" s="80">
        <f>SUM(H62:H77)</f>
        <v>0</v>
      </c>
      <c r="O79" s="80">
        <f>SUM(K62:K77)</f>
        <v>2964884</v>
      </c>
    </row>
    <row r="80" spans="1:16" x14ac:dyDescent="0.2">
      <c r="A80" s="30" t="s">
        <v>52</v>
      </c>
      <c r="B80" s="2" t="s">
        <v>62</v>
      </c>
      <c r="C80" s="13">
        <v>387</v>
      </c>
      <c r="D80" s="13" t="s">
        <v>52</v>
      </c>
      <c r="E80" s="16">
        <v>41.25</v>
      </c>
      <c r="F80" s="16">
        <v>41.25</v>
      </c>
      <c r="G80" s="7">
        <f>C80*(E80-F80)</f>
        <v>0</v>
      </c>
      <c r="H80" s="7">
        <f>C80*(E80-F80)</f>
        <v>0</v>
      </c>
      <c r="I80" s="1"/>
      <c r="J80" s="7">
        <f>C80*E80</f>
        <v>15963.75</v>
      </c>
      <c r="K80" s="7">
        <f>J80</f>
        <v>15963.75</v>
      </c>
      <c r="L80" s="3">
        <v>2</v>
      </c>
      <c r="M80" s="80" t="s">
        <v>52</v>
      </c>
    </row>
    <row r="81" spans="1:15" x14ac:dyDescent="0.2">
      <c r="A81" s="8" t="s">
        <v>52</v>
      </c>
      <c r="B81" s="2" t="s">
        <v>23</v>
      </c>
      <c r="C81" s="13">
        <v>201.83</v>
      </c>
      <c r="D81" s="13" t="s">
        <v>52</v>
      </c>
      <c r="E81" s="1">
        <v>1</v>
      </c>
      <c r="F81" s="1">
        <v>1</v>
      </c>
      <c r="G81" s="7">
        <f>C81*(E81-F81)</f>
        <v>0</v>
      </c>
      <c r="H81" s="7">
        <f>C81*(E81-F81)</f>
        <v>0</v>
      </c>
      <c r="I81" s="1"/>
      <c r="J81" s="7">
        <f>C81*E81</f>
        <v>201.83</v>
      </c>
      <c r="K81" s="7">
        <f>J81</f>
        <v>201.83</v>
      </c>
      <c r="L81" s="3">
        <v>1</v>
      </c>
    </row>
    <row r="82" spans="1:15" x14ac:dyDescent="0.2">
      <c r="A82" s="8" t="s">
        <v>52</v>
      </c>
      <c r="B82" s="5" t="s">
        <v>52</v>
      </c>
      <c r="D82" s="13" t="s">
        <v>52</v>
      </c>
      <c r="E82" s="1" t="s">
        <v>52</v>
      </c>
      <c r="F82" s="1" t="s">
        <v>52</v>
      </c>
      <c r="H82" s="7" t="s">
        <v>52</v>
      </c>
      <c r="I82" s="3"/>
      <c r="K82" s="15"/>
      <c r="O82" s="80" t="s">
        <v>52</v>
      </c>
    </row>
    <row r="83" spans="1:15" x14ac:dyDescent="0.2">
      <c r="A83" s="8" t="s">
        <v>12</v>
      </c>
      <c r="B83" s="5" t="s">
        <v>22</v>
      </c>
      <c r="C83" s="13" t="s">
        <v>52</v>
      </c>
      <c r="D83" s="13" t="s">
        <v>52</v>
      </c>
      <c r="E83" s="3"/>
      <c r="F83" s="3"/>
      <c r="H83" s="7" t="s">
        <v>52</v>
      </c>
      <c r="I83" s="3"/>
    </row>
    <row r="84" spans="1:15" x14ac:dyDescent="0.2">
      <c r="A84" s="8" t="s">
        <v>13</v>
      </c>
      <c r="B84" s="2" t="s">
        <v>26</v>
      </c>
      <c r="C84" s="13">
        <v>235.12200000000001</v>
      </c>
      <c r="D84" s="13" t="s">
        <v>52</v>
      </c>
      <c r="E84" s="1">
        <v>50.85</v>
      </c>
      <c r="F84" s="1">
        <v>50.85</v>
      </c>
      <c r="G84" s="7">
        <f t="shared" ref="G84:G90" si="16">C84*(E84-F84)</f>
        <v>0</v>
      </c>
      <c r="H84" s="7">
        <f t="shared" ref="H84:H90" si="17">C84*(E84-F84)</f>
        <v>0</v>
      </c>
      <c r="I84" s="1"/>
      <c r="J84" s="7">
        <f t="shared" ref="J84:J90" si="18">C84*E84</f>
        <v>11955.953700000002</v>
      </c>
      <c r="K84" s="7">
        <f>J84</f>
        <v>11955.953700000002</v>
      </c>
      <c r="L84" s="3">
        <v>2</v>
      </c>
    </row>
    <row r="85" spans="1:15" x14ac:dyDescent="0.2">
      <c r="A85" s="8"/>
      <c r="B85" s="2" t="s">
        <v>27</v>
      </c>
      <c r="C85" s="13">
        <v>752.12800000000004</v>
      </c>
      <c r="D85" s="13" t="s">
        <v>52</v>
      </c>
      <c r="E85" s="1">
        <v>9.5399999999999991</v>
      </c>
      <c r="F85" s="1">
        <v>9.5399999999999991</v>
      </c>
      <c r="G85" s="7">
        <f t="shared" si="16"/>
        <v>0</v>
      </c>
      <c r="H85" s="7">
        <f t="shared" si="17"/>
        <v>0</v>
      </c>
      <c r="I85" s="1"/>
      <c r="J85" s="7">
        <f t="shared" si="18"/>
        <v>7175.3011200000001</v>
      </c>
      <c r="K85" s="7">
        <f t="shared" ref="K85:K101" si="19">J85</f>
        <v>7175.3011200000001</v>
      </c>
      <c r="L85" s="3">
        <v>2</v>
      </c>
    </row>
    <row r="86" spans="1:15" x14ac:dyDescent="0.2">
      <c r="A86" s="8"/>
      <c r="B86" s="2" t="s">
        <v>28</v>
      </c>
      <c r="C86" s="13">
        <v>2674.7959999999998</v>
      </c>
      <c r="D86" s="13" t="s">
        <v>52</v>
      </c>
      <c r="E86" s="1">
        <v>20.62</v>
      </c>
      <c r="F86" s="1">
        <v>20.62</v>
      </c>
      <c r="G86" s="7">
        <f t="shared" si="16"/>
        <v>0</v>
      </c>
      <c r="H86" s="7">
        <f t="shared" si="17"/>
        <v>0</v>
      </c>
      <c r="I86" s="1"/>
      <c r="J86" s="7">
        <f t="shared" si="18"/>
        <v>55154.293519999999</v>
      </c>
      <c r="K86" s="7">
        <f t="shared" si="19"/>
        <v>55154.293519999999</v>
      </c>
      <c r="L86" s="3">
        <v>2</v>
      </c>
    </row>
    <row r="87" spans="1:15" x14ac:dyDescent="0.2">
      <c r="A87" s="8"/>
      <c r="B87" s="2" t="s">
        <v>29</v>
      </c>
      <c r="C87" s="13">
        <v>1240.306</v>
      </c>
      <c r="D87" s="13" t="s">
        <v>52</v>
      </c>
      <c r="E87" s="1">
        <v>7.93</v>
      </c>
      <c r="F87" s="1">
        <v>7.93</v>
      </c>
      <c r="G87" s="7">
        <f t="shared" si="16"/>
        <v>0</v>
      </c>
      <c r="H87" s="7">
        <f t="shared" si="17"/>
        <v>0</v>
      </c>
      <c r="I87" s="1"/>
      <c r="J87" s="7">
        <f t="shared" si="18"/>
        <v>9835.6265800000001</v>
      </c>
      <c r="K87" s="7">
        <f t="shared" si="19"/>
        <v>9835.6265800000001</v>
      </c>
      <c r="L87" s="3">
        <v>2</v>
      </c>
    </row>
    <row r="88" spans="1:15" x14ac:dyDescent="0.2">
      <c r="A88" s="8"/>
      <c r="B88" s="2" t="s">
        <v>30</v>
      </c>
      <c r="C88" s="13">
        <v>261.04399999999998</v>
      </c>
      <c r="D88" s="13" t="s">
        <v>52</v>
      </c>
      <c r="E88" s="1">
        <v>37.33</v>
      </c>
      <c r="F88" s="1">
        <v>37.33</v>
      </c>
      <c r="G88" s="7">
        <f t="shared" si="16"/>
        <v>0</v>
      </c>
      <c r="H88" s="7">
        <f t="shared" si="17"/>
        <v>0</v>
      </c>
      <c r="I88" s="1"/>
      <c r="J88" s="7">
        <f t="shared" si="18"/>
        <v>9744.7725199999986</v>
      </c>
      <c r="K88" s="7">
        <f t="shared" si="19"/>
        <v>9744.7725199999986</v>
      </c>
      <c r="L88" s="3">
        <v>2</v>
      </c>
    </row>
    <row r="89" spans="1:15" x14ac:dyDescent="0.2">
      <c r="A89" s="8"/>
      <c r="B89" s="2" t="s">
        <v>31</v>
      </c>
      <c r="C89" s="13">
        <v>378.52600000000001</v>
      </c>
      <c r="D89" s="13" t="s">
        <v>52</v>
      </c>
      <c r="E89" s="1">
        <v>27.39</v>
      </c>
      <c r="F89" s="1">
        <v>27.39</v>
      </c>
      <c r="G89" s="7">
        <f t="shared" si="16"/>
        <v>0</v>
      </c>
      <c r="H89" s="7">
        <f t="shared" si="17"/>
        <v>0</v>
      </c>
      <c r="I89" s="1"/>
      <c r="J89" s="7">
        <f t="shared" si="18"/>
        <v>10367.827140000001</v>
      </c>
      <c r="K89" s="7">
        <f t="shared" si="19"/>
        <v>10367.827140000001</v>
      </c>
      <c r="L89" s="3">
        <v>2</v>
      </c>
    </row>
    <row r="90" spans="1:15" x14ac:dyDescent="0.2">
      <c r="A90" s="8" t="s">
        <v>52</v>
      </c>
      <c r="B90" s="2" t="s">
        <v>49</v>
      </c>
      <c r="C90" s="13">
        <v>1441.3219999999999</v>
      </c>
      <c r="D90" s="13" t="s">
        <v>52</v>
      </c>
      <c r="E90" s="1">
        <v>10.96</v>
      </c>
      <c r="F90" s="1">
        <v>10.96</v>
      </c>
      <c r="G90" s="7">
        <f t="shared" si="16"/>
        <v>0</v>
      </c>
      <c r="H90" s="7">
        <f t="shared" si="17"/>
        <v>0</v>
      </c>
      <c r="I90" s="1" t="s">
        <v>52</v>
      </c>
      <c r="J90" s="7">
        <f t="shared" si="18"/>
        <v>15796.88912</v>
      </c>
      <c r="K90" s="7">
        <f t="shared" si="19"/>
        <v>15796.88912</v>
      </c>
      <c r="L90" s="3">
        <v>1</v>
      </c>
    </row>
    <row r="91" spans="1:15" x14ac:dyDescent="0.2">
      <c r="A91" s="8"/>
      <c r="E91" s="2"/>
      <c r="F91" s="2"/>
      <c r="G91" s="15"/>
      <c r="H91" s="7" t="s">
        <v>52</v>
      </c>
      <c r="I91" s="2" t="s">
        <v>52</v>
      </c>
    </row>
    <row r="92" spans="1:15" x14ac:dyDescent="0.2">
      <c r="A92" s="8" t="s">
        <v>14</v>
      </c>
      <c r="B92" s="2" t="s">
        <v>58</v>
      </c>
      <c r="C92" s="13">
        <v>460000</v>
      </c>
      <c r="E92" s="1">
        <v>1</v>
      </c>
      <c r="F92" s="1">
        <v>1</v>
      </c>
      <c r="G92" s="7">
        <f>C92*(E92-F92)</f>
        <v>0</v>
      </c>
      <c r="H92" s="7">
        <f>C92*(E92-F92)</f>
        <v>0</v>
      </c>
      <c r="I92" s="1"/>
      <c r="J92" s="7">
        <f>C92*E92</f>
        <v>460000</v>
      </c>
      <c r="K92" s="7">
        <f t="shared" si="19"/>
        <v>460000</v>
      </c>
      <c r="L92" s="3">
        <v>1</v>
      </c>
    </row>
    <row r="93" spans="1:15" x14ac:dyDescent="0.2">
      <c r="E93" s="2"/>
      <c r="F93" s="2"/>
      <c r="G93" s="15"/>
      <c r="H93" s="7" t="s">
        <v>52</v>
      </c>
      <c r="I93" s="2"/>
      <c r="J93" s="7" t="s">
        <v>52</v>
      </c>
    </row>
    <row r="94" spans="1:15" x14ac:dyDescent="0.2">
      <c r="A94" s="8" t="s">
        <v>15</v>
      </c>
      <c r="B94" s="2" t="s">
        <v>34</v>
      </c>
      <c r="C94" s="13">
        <v>3829.12</v>
      </c>
      <c r="E94" s="1">
        <v>1</v>
      </c>
      <c r="F94" s="1">
        <v>1</v>
      </c>
      <c r="G94" s="7">
        <f>C94*(E94-F94)</f>
        <v>0</v>
      </c>
      <c r="H94" s="7">
        <f>C94*(E94-F94)</f>
        <v>0</v>
      </c>
      <c r="I94" s="1"/>
      <c r="J94" s="7">
        <f>C94*E94</f>
        <v>3829.12</v>
      </c>
      <c r="K94" s="7">
        <f t="shared" si="19"/>
        <v>3829.12</v>
      </c>
      <c r="L94" s="3">
        <v>1</v>
      </c>
    </row>
    <row r="95" spans="1:15" x14ac:dyDescent="0.2">
      <c r="A95" s="8"/>
      <c r="B95" s="2" t="s">
        <v>35</v>
      </c>
      <c r="C95" s="13">
        <v>4769.42</v>
      </c>
      <c r="E95" s="1">
        <v>1</v>
      </c>
      <c r="F95" s="1">
        <v>1</v>
      </c>
      <c r="G95" s="7">
        <f>C95*(E95-F95)</f>
        <v>0</v>
      </c>
      <c r="H95" s="7">
        <f>C95*(E95-F95)</f>
        <v>0</v>
      </c>
      <c r="I95" s="1"/>
      <c r="J95" s="7">
        <f>C95*E95</f>
        <v>4769.42</v>
      </c>
      <c r="K95" s="7">
        <f t="shared" si="19"/>
        <v>4769.42</v>
      </c>
      <c r="L95" s="3">
        <v>1</v>
      </c>
    </row>
    <row r="96" spans="1:15" x14ac:dyDescent="0.2">
      <c r="E96" s="2"/>
      <c r="F96" s="2"/>
      <c r="G96" s="15"/>
      <c r="H96" s="7" t="s">
        <v>52</v>
      </c>
      <c r="I96" s="2"/>
      <c r="K96" s="7" t="s">
        <v>52</v>
      </c>
    </row>
    <row r="97" spans="1:15" x14ac:dyDescent="0.2">
      <c r="A97" s="8" t="s">
        <v>16</v>
      </c>
      <c r="B97" s="2" t="s">
        <v>36</v>
      </c>
      <c r="C97" s="13">
        <v>9759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9759</v>
      </c>
      <c r="K97" s="7">
        <f t="shared" si="19"/>
        <v>9759</v>
      </c>
      <c r="L97" s="3">
        <v>1</v>
      </c>
      <c r="M97" s="80" t="s">
        <v>86</v>
      </c>
    </row>
    <row r="98" spans="1:15" x14ac:dyDescent="0.2">
      <c r="A98" s="8"/>
      <c r="B98" s="2" t="s">
        <v>38</v>
      </c>
      <c r="C98" s="13">
        <v>3718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3718</v>
      </c>
      <c r="K98" s="7">
        <f t="shared" si="19"/>
        <v>3718</v>
      </c>
      <c r="L98" s="3">
        <v>1</v>
      </c>
      <c r="M98" s="80">
        <f>(C8*E8)+(C9*E9)+(C10*E10)+(C11*E11)</f>
        <v>-3928100</v>
      </c>
      <c r="N98" s="26">
        <f>M98/M105</f>
        <v>-0.68809938546396676</v>
      </c>
      <c r="O98" s="5" t="s">
        <v>85</v>
      </c>
    </row>
    <row r="99" spans="1:15" x14ac:dyDescent="0.2">
      <c r="A99" s="8"/>
      <c r="B99" s="2" t="s">
        <v>39</v>
      </c>
      <c r="C99" s="13">
        <v>943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943</v>
      </c>
      <c r="K99" s="7">
        <f t="shared" si="19"/>
        <v>943</v>
      </c>
      <c r="L99" s="3">
        <v>1</v>
      </c>
      <c r="M99" s="80">
        <f>SUMIF(L5:L106,2,K5:K106)</f>
        <v>230147.81264072203</v>
      </c>
      <c r="N99" s="26">
        <f>M99/M105</f>
        <v>4.0315818956736589E-2</v>
      </c>
      <c r="O99" s="5" t="s">
        <v>22</v>
      </c>
    </row>
    <row r="100" spans="1:15" x14ac:dyDescent="0.2">
      <c r="A100" s="8"/>
      <c r="B100" s="2" t="s">
        <v>40</v>
      </c>
      <c r="C100" s="13">
        <v>1235</v>
      </c>
      <c r="E100" s="1">
        <v>1</v>
      </c>
      <c r="F100" s="1">
        <v>1</v>
      </c>
      <c r="G100" s="7">
        <f>C100*(E100-F100)</f>
        <v>0</v>
      </c>
      <c r="H100" s="7">
        <f>C100*(E100-F100)</f>
        <v>0</v>
      </c>
      <c r="I100" s="1"/>
      <c r="J100" s="7">
        <f>C100*E100</f>
        <v>1235</v>
      </c>
      <c r="K100" s="7">
        <f t="shared" si="19"/>
        <v>1235</v>
      </c>
      <c r="L100" s="3">
        <v>1</v>
      </c>
      <c r="M100" s="80" t="s">
        <v>60</v>
      </c>
      <c r="N100" s="26"/>
      <c r="O100" s="7" t="s">
        <v>52</v>
      </c>
    </row>
    <row r="101" spans="1:15" x14ac:dyDescent="0.2">
      <c r="A101" s="8"/>
      <c r="B101" s="2" t="s">
        <v>37</v>
      </c>
      <c r="C101" s="13">
        <v>2234.7820000000002</v>
      </c>
      <c r="D101" s="13" t="s">
        <v>52</v>
      </c>
      <c r="E101" s="1">
        <v>1.684671</v>
      </c>
      <c r="F101" s="1">
        <v>1.684671</v>
      </c>
      <c r="G101" s="7">
        <f>C101*(E101-F101)</f>
        <v>0</v>
      </c>
      <c r="H101" s="7">
        <f>C101*(E101-F101)</f>
        <v>0</v>
      </c>
      <c r="I101" s="1"/>
      <c r="J101" s="7">
        <f>C101*E101</f>
        <v>3764.8724267220005</v>
      </c>
      <c r="K101" s="7">
        <f t="shared" si="19"/>
        <v>3764.8724267220005</v>
      </c>
      <c r="L101" s="3">
        <v>2</v>
      </c>
      <c r="M101" s="80">
        <f>SUMIF(L5:L106,1,K5:K106)</f>
        <v>5958475.2191200005</v>
      </c>
      <c r="N101" s="26">
        <f>M101/M105</f>
        <v>1.0437675050479231</v>
      </c>
    </row>
    <row r="102" spans="1:15" x14ac:dyDescent="0.2">
      <c r="A102" s="8"/>
      <c r="E102" s="1"/>
      <c r="F102" s="1"/>
      <c r="I102" s="1"/>
      <c r="M102" s="80" t="s">
        <v>159</v>
      </c>
      <c r="N102" s="26"/>
    </row>
    <row r="103" spans="1:15" x14ac:dyDescent="0.2">
      <c r="A103" s="8" t="s">
        <v>87</v>
      </c>
      <c r="B103" s="2" t="s">
        <v>150</v>
      </c>
      <c r="C103" s="13">
        <v>-90000</v>
      </c>
      <c r="D103" s="13" t="s">
        <v>52</v>
      </c>
      <c r="E103" s="27" t="s">
        <v>52</v>
      </c>
      <c r="F103" s="27" t="s">
        <v>52</v>
      </c>
      <c r="G103" s="27" t="s">
        <v>52</v>
      </c>
      <c r="H103" s="27" t="s">
        <v>52</v>
      </c>
      <c r="J103" s="7">
        <f>+C103</f>
        <v>-90000</v>
      </c>
      <c r="K103" s="7">
        <f>J103</f>
        <v>-90000</v>
      </c>
      <c r="L103" s="3">
        <v>0</v>
      </c>
      <c r="M103" s="80">
        <f>SUM(K103:K105)</f>
        <v>-480000</v>
      </c>
      <c r="N103" s="26">
        <f>+M103/M105</f>
        <v>-8.4083324004659774E-2</v>
      </c>
    </row>
    <row r="104" spans="1:15" x14ac:dyDescent="0.2">
      <c r="A104" s="8" t="s">
        <v>52</v>
      </c>
      <c r="B104" s="2" t="s">
        <v>156</v>
      </c>
      <c r="C104" s="13">
        <v>-155000</v>
      </c>
      <c r="D104" s="13" t="s">
        <v>52</v>
      </c>
      <c r="E104" s="27" t="s">
        <v>52</v>
      </c>
      <c r="F104" s="27" t="s">
        <v>52</v>
      </c>
      <c r="G104" s="27" t="s">
        <v>52</v>
      </c>
      <c r="H104" s="27" t="s">
        <v>52</v>
      </c>
      <c r="J104" s="7">
        <f>+C104</f>
        <v>-155000</v>
      </c>
      <c r="K104" s="7">
        <f>J104</f>
        <v>-155000</v>
      </c>
      <c r="L104" s="3">
        <v>0</v>
      </c>
      <c r="M104" s="80" t="s">
        <v>90</v>
      </c>
      <c r="N104" s="26"/>
    </row>
    <row r="105" spans="1:15" x14ac:dyDescent="0.2">
      <c r="A105" s="8" t="s">
        <v>52</v>
      </c>
      <c r="B105" s="2" t="s">
        <v>157</v>
      </c>
      <c r="C105" s="13">
        <v>-235000</v>
      </c>
      <c r="D105" s="13" t="s">
        <v>52</v>
      </c>
      <c r="E105" s="27" t="s">
        <v>52</v>
      </c>
      <c r="F105" s="27" t="s">
        <v>52</v>
      </c>
      <c r="G105" s="27" t="s">
        <v>52</v>
      </c>
      <c r="H105" s="27" t="s">
        <v>52</v>
      </c>
      <c r="J105" s="7">
        <f>+C105</f>
        <v>-235000</v>
      </c>
      <c r="K105" s="7">
        <f>J105</f>
        <v>-235000</v>
      </c>
      <c r="L105" s="3">
        <v>0</v>
      </c>
      <c r="M105" s="80">
        <f>K108</f>
        <v>5708623.0317607224</v>
      </c>
      <c r="N105" s="26">
        <f>+M105/K108</f>
        <v>1</v>
      </c>
    </row>
    <row r="106" spans="1:15" ht="13.5" thickBot="1" x14ac:dyDescent="0.25">
      <c r="A106" s="8" t="s">
        <v>52</v>
      </c>
      <c r="B106" s="63" t="s">
        <v>52</v>
      </c>
      <c r="C106" s="24"/>
      <c r="D106" s="24" t="s">
        <v>52</v>
      </c>
      <c r="E106" s="18"/>
      <c r="F106" s="18"/>
      <c r="G106" s="19"/>
      <c r="H106" s="19"/>
      <c r="I106" s="18"/>
      <c r="J106" s="19"/>
      <c r="K106" s="19" t="s">
        <v>52</v>
      </c>
      <c r="L106" s="65"/>
      <c r="M106" s="93" t="s">
        <v>52</v>
      </c>
      <c r="N106" s="93"/>
    </row>
    <row r="107" spans="1:15" x14ac:dyDescent="0.2">
      <c r="A107" s="8"/>
      <c r="M107" s="80" t="s">
        <v>56</v>
      </c>
    </row>
    <row r="108" spans="1:15" x14ac:dyDescent="0.2">
      <c r="A108" s="8" t="s">
        <v>17</v>
      </c>
      <c r="C108" s="13">
        <f>SUM(C47:C59)+C30+C36+C39+C42+C43+C44</f>
        <v>21745.940699999999</v>
      </c>
      <c r="D108" s="13">
        <f>SUM(D5:D105)</f>
        <v>14763.940700000001</v>
      </c>
      <c r="G108" s="7">
        <f>SUM(G5:G106)</f>
        <v>0</v>
      </c>
      <c r="H108" s="7">
        <f>SUM(H5:H106)</f>
        <v>0</v>
      </c>
      <c r="J108" s="7">
        <f>SUM(J5:J106)</f>
        <v>5749474.4068687223</v>
      </c>
      <c r="K108" s="7">
        <f>SUM(K5:K106)</f>
        <v>5708623.0317607224</v>
      </c>
      <c r="M108" s="92">
        <f>SUM(K42:K59)+K30+K36</f>
        <v>44030.827182000001</v>
      </c>
      <c r="N108" s="94">
        <f>M108/K108</f>
        <v>7.7130381419526807E-3</v>
      </c>
    </row>
    <row r="109" spans="1:15" ht="13.5" thickBot="1" x14ac:dyDescent="0.25">
      <c r="A109" s="8"/>
      <c r="B109" s="17"/>
      <c r="C109" s="24"/>
      <c r="D109" s="24"/>
      <c r="E109" s="18"/>
      <c r="F109" s="18"/>
      <c r="G109" s="19"/>
      <c r="H109" s="19"/>
      <c r="I109" s="18"/>
      <c r="J109" s="19"/>
      <c r="K109" s="19"/>
      <c r="L109" s="65"/>
      <c r="M109" s="93"/>
      <c r="N109" s="93"/>
    </row>
    <row r="110" spans="1:15" x14ac:dyDescent="0.2">
      <c r="A110" s="8"/>
    </row>
    <row r="111" spans="1:15" x14ac:dyDescent="0.2">
      <c r="A111" s="8" t="s">
        <v>18</v>
      </c>
      <c r="B111" s="5" t="s">
        <v>22</v>
      </c>
      <c r="C111" s="13" t="s">
        <v>52</v>
      </c>
      <c r="M111" s="80" t="s">
        <v>52</v>
      </c>
    </row>
    <row r="112" spans="1:15" x14ac:dyDescent="0.2">
      <c r="A112" s="8" t="s">
        <v>19</v>
      </c>
      <c r="B112" s="2" t="s">
        <v>32</v>
      </c>
      <c r="C112" s="13">
        <v>1228.5820000000001</v>
      </c>
      <c r="D112" s="13" t="s">
        <v>52</v>
      </c>
      <c r="E112" s="1">
        <v>19.809999999999999</v>
      </c>
      <c r="F112" s="1">
        <v>19.809999999999999</v>
      </c>
      <c r="G112" s="7">
        <f>C112*(E112-F112)</f>
        <v>0</v>
      </c>
      <c r="H112" s="7">
        <f>C112*(E112-F112)</f>
        <v>0</v>
      </c>
      <c r="I112" s="1"/>
      <c r="J112" s="7">
        <f>C112*E112</f>
        <v>24338.209419999999</v>
      </c>
      <c r="K112" s="7">
        <f>J112</f>
        <v>24338.209419999999</v>
      </c>
      <c r="L112" s="3">
        <v>2</v>
      </c>
    </row>
    <row r="113" spans="1:15" x14ac:dyDescent="0.2">
      <c r="A113" s="8" t="s">
        <v>52</v>
      </c>
      <c r="B113" s="2" t="s">
        <v>61</v>
      </c>
      <c r="C113" s="13">
        <v>387</v>
      </c>
      <c r="D113" s="13" t="s">
        <v>52</v>
      </c>
      <c r="E113" s="1">
        <f>+E80</f>
        <v>41.25</v>
      </c>
      <c r="F113" s="1">
        <f>+F80</f>
        <v>41.25</v>
      </c>
      <c r="G113" s="7">
        <f>C113*(E113-F113)</f>
        <v>0</v>
      </c>
      <c r="H113" s="7">
        <f>C113*(E113-F113)</f>
        <v>0</v>
      </c>
      <c r="I113" s="1"/>
      <c r="J113" s="7">
        <f>C113*E113</f>
        <v>15963.75</v>
      </c>
      <c r="K113" s="7">
        <f>J113</f>
        <v>15963.75</v>
      </c>
      <c r="L113" s="3">
        <v>2</v>
      </c>
    </row>
    <row r="114" spans="1:15" x14ac:dyDescent="0.2">
      <c r="A114" s="8" t="s">
        <v>52</v>
      </c>
      <c r="B114" s="2" t="s">
        <v>23</v>
      </c>
      <c r="C114" s="13">
        <v>201.83</v>
      </c>
      <c r="D114" s="13" t="s">
        <v>52</v>
      </c>
      <c r="E114" s="1">
        <v>1</v>
      </c>
      <c r="F114" s="1">
        <v>1</v>
      </c>
      <c r="G114" s="7">
        <f>C114*(E114-F114)</f>
        <v>0</v>
      </c>
      <c r="H114" s="7">
        <f>C114*(E114-F114)</f>
        <v>0</v>
      </c>
      <c r="I114" s="1"/>
      <c r="J114" s="7">
        <f>C114*E114</f>
        <v>201.83</v>
      </c>
      <c r="K114" s="7">
        <f>J114</f>
        <v>201.83</v>
      </c>
      <c r="L114" s="3">
        <v>1</v>
      </c>
    </row>
    <row r="115" spans="1:15" x14ac:dyDescent="0.2">
      <c r="A115" s="8"/>
      <c r="E115" s="3"/>
      <c r="F115" s="3"/>
      <c r="H115" s="7" t="s">
        <v>52</v>
      </c>
      <c r="I115" s="3"/>
    </row>
    <row r="116" spans="1:15" x14ac:dyDescent="0.2">
      <c r="A116" s="8" t="s">
        <v>18</v>
      </c>
      <c r="B116" s="5" t="s">
        <v>22</v>
      </c>
      <c r="C116" s="13" t="s">
        <v>52</v>
      </c>
      <c r="E116" s="3"/>
      <c r="F116" s="3"/>
      <c r="H116" s="7" t="s">
        <v>52</v>
      </c>
      <c r="I116" s="3"/>
    </row>
    <row r="117" spans="1:15" x14ac:dyDescent="0.2">
      <c r="A117" s="8" t="s">
        <v>20</v>
      </c>
      <c r="B117" s="2" t="s">
        <v>33</v>
      </c>
      <c r="C117" s="13">
        <v>2013.38</v>
      </c>
      <c r="D117" s="13" t="s">
        <v>52</v>
      </c>
      <c r="E117" s="1">
        <v>10.77</v>
      </c>
      <c r="F117" s="1">
        <v>10.77</v>
      </c>
      <c r="G117" s="7">
        <f>C117*(E117-F117)</f>
        <v>0</v>
      </c>
      <c r="H117" s="7">
        <f>C117*(E117-F117)</f>
        <v>0</v>
      </c>
      <c r="I117" s="1"/>
      <c r="J117" s="7">
        <f>C117*E117</f>
        <v>21684.102600000002</v>
      </c>
      <c r="K117" s="7">
        <f>J117</f>
        <v>21684.102600000002</v>
      </c>
      <c r="L117" s="3">
        <v>2</v>
      </c>
    </row>
    <row r="118" spans="1:15" x14ac:dyDescent="0.2">
      <c r="A118" s="8" t="s">
        <v>52</v>
      </c>
      <c r="B118" s="2" t="s">
        <v>61</v>
      </c>
      <c r="C118" s="13">
        <v>387</v>
      </c>
      <c r="D118" s="13" t="s">
        <v>52</v>
      </c>
      <c r="E118" s="1">
        <f>+E80</f>
        <v>41.25</v>
      </c>
      <c r="F118" s="1">
        <f>+F80</f>
        <v>41.25</v>
      </c>
      <c r="G118" s="7">
        <f>C118*(E118-F118)</f>
        <v>0</v>
      </c>
      <c r="H118" s="7">
        <f>C118*(E118-F118)</f>
        <v>0</v>
      </c>
      <c r="I118" s="1"/>
      <c r="J118" s="7">
        <f>C118*E118</f>
        <v>15963.75</v>
      </c>
      <c r="K118" s="7">
        <f>J118</f>
        <v>15963.75</v>
      </c>
      <c r="L118" s="3">
        <v>2</v>
      </c>
    </row>
    <row r="119" spans="1:15" x14ac:dyDescent="0.2">
      <c r="A119" s="8" t="s">
        <v>52</v>
      </c>
      <c r="B119" s="2" t="s">
        <v>23</v>
      </c>
      <c r="C119" s="13">
        <v>201.83</v>
      </c>
      <c r="D119" s="13" t="s">
        <v>52</v>
      </c>
      <c r="E119" s="1">
        <v>1</v>
      </c>
      <c r="F119" s="1">
        <v>1</v>
      </c>
      <c r="G119" s="7">
        <f>C119*(E119-F119)</f>
        <v>0</v>
      </c>
      <c r="H119" s="7">
        <f>C119*(E119-F119)</f>
        <v>0</v>
      </c>
      <c r="I119" s="1"/>
      <c r="J119" s="7">
        <f>C119*E119</f>
        <v>201.83</v>
      </c>
      <c r="K119" s="7">
        <f>J119</f>
        <v>201.83</v>
      </c>
      <c r="L119" s="3">
        <v>1</v>
      </c>
      <c r="M119" s="80" t="s">
        <v>52</v>
      </c>
    </row>
    <row r="120" spans="1:15" x14ac:dyDescent="0.2">
      <c r="A120" s="8"/>
      <c r="E120" s="1"/>
      <c r="F120" s="1"/>
      <c r="H120" s="7" t="s">
        <v>52</v>
      </c>
      <c r="I120" s="1"/>
    </row>
    <row r="121" spans="1:15" x14ac:dyDescent="0.2">
      <c r="A121" s="8" t="s">
        <v>63</v>
      </c>
      <c r="B121" s="2" t="s">
        <v>61</v>
      </c>
      <c r="C121" s="13">
        <v>387</v>
      </c>
      <c r="D121" s="13" t="s">
        <v>52</v>
      </c>
      <c r="E121" s="1">
        <f>+E80</f>
        <v>41.25</v>
      </c>
      <c r="F121" s="1">
        <f>+F80</f>
        <v>41.25</v>
      </c>
      <c r="G121" s="7">
        <f>C121*(E121-F121)</f>
        <v>0</v>
      </c>
      <c r="H121" s="7">
        <f>C121*(E121-F121)</f>
        <v>0</v>
      </c>
      <c r="I121" s="1"/>
      <c r="J121" s="7">
        <f>C121*E121</f>
        <v>15963.75</v>
      </c>
      <c r="K121" s="7">
        <f>J121</f>
        <v>15963.75</v>
      </c>
      <c r="L121" s="3">
        <v>2</v>
      </c>
    </row>
    <row r="122" spans="1:15" x14ac:dyDescent="0.2">
      <c r="A122" s="8" t="s">
        <v>52</v>
      </c>
      <c r="B122" s="2" t="s">
        <v>23</v>
      </c>
      <c r="C122" s="13">
        <v>201.83</v>
      </c>
      <c r="D122" s="13" t="s">
        <v>52</v>
      </c>
      <c r="E122" s="1">
        <v>1</v>
      </c>
      <c r="F122" s="1">
        <v>1</v>
      </c>
      <c r="G122" s="7">
        <f>C122*(E122-F122)</f>
        <v>0</v>
      </c>
      <c r="H122" s="7">
        <f>C122*(E122-F122)</f>
        <v>0</v>
      </c>
      <c r="I122" s="1"/>
      <c r="J122" s="7">
        <f>C122*E122</f>
        <v>201.83</v>
      </c>
      <c r="K122" s="7">
        <f>J122</f>
        <v>201.83</v>
      </c>
      <c r="L122" s="3">
        <v>1</v>
      </c>
    </row>
    <row r="123" spans="1:15" x14ac:dyDescent="0.2">
      <c r="A123" s="8"/>
      <c r="C123" s="13" t="s">
        <v>52</v>
      </c>
      <c r="E123" s="4"/>
      <c r="F123" s="4"/>
      <c r="H123" s="7" t="s">
        <v>52</v>
      </c>
      <c r="I123" s="1"/>
    </row>
    <row r="124" spans="1:15" x14ac:dyDescent="0.2">
      <c r="A124" s="8" t="s">
        <v>64</v>
      </c>
      <c r="B124" s="5" t="s">
        <v>22</v>
      </c>
      <c r="D124" s="13" t="s">
        <v>52</v>
      </c>
      <c r="E124" s="14"/>
      <c r="F124" s="14"/>
      <c r="H124" s="7" t="s">
        <v>52</v>
      </c>
      <c r="I124" s="3"/>
      <c r="K124" s="7" t="s">
        <v>52</v>
      </c>
    </row>
    <row r="125" spans="1:15" x14ac:dyDescent="0.2">
      <c r="A125" s="8" t="s">
        <v>79</v>
      </c>
      <c r="B125" s="2" t="s">
        <v>89</v>
      </c>
      <c r="C125" s="13">
        <v>288</v>
      </c>
      <c r="D125" s="13">
        <v>0</v>
      </c>
      <c r="E125" s="1">
        <f>E$30</f>
        <v>9.06</v>
      </c>
      <c r="F125" s="1">
        <f>F$30</f>
        <v>9.06</v>
      </c>
      <c r="G125" s="7">
        <f>C125*(E125-F125)</f>
        <v>0</v>
      </c>
      <c r="H125" s="7">
        <f>C125*(E125-F125)*0.5895</f>
        <v>0</v>
      </c>
      <c r="I125" s="1"/>
      <c r="J125" s="7">
        <v>0</v>
      </c>
      <c r="K125" s="7">
        <v>0</v>
      </c>
      <c r="L125" s="3">
        <v>2</v>
      </c>
      <c r="M125" s="80">
        <f>SUM(K108:K125)+K134</f>
        <v>5803142.0837807227</v>
      </c>
      <c r="O125" s="7" t="s">
        <v>52</v>
      </c>
    </row>
    <row r="126" spans="1:15" x14ac:dyDescent="0.2">
      <c r="A126" s="8"/>
      <c r="E126" s="1" t="s">
        <v>52</v>
      </c>
      <c r="F126" s="1" t="s">
        <v>52</v>
      </c>
      <c r="H126" s="7" t="s">
        <v>52</v>
      </c>
      <c r="I126" s="1"/>
      <c r="K126" s="7" t="s">
        <v>52</v>
      </c>
    </row>
    <row r="127" spans="1:15" x14ac:dyDescent="0.2">
      <c r="A127" s="8" t="s">
        <v>21</v>
      </c>
      <c r="B127" s="5" t="s">
        <v>22</v>
      </c>
      <c r="C127" s="13" t="s">
        <v>52</v>
      </c>
      <c r="E127" s="1" t="s">
        <v>52</v>
      </c>
      <c r="F127" s="1" t="s">
        <v>52</v>
      </c>
      <c r="H127" s="7" t="s">
        <v>52</v>
      </c>
      <c r="I127" s="3"/>
      <c r="K127" s="7" t="s">
        <v>52</v>
      </c>
      <c r="M127" s="95" t="s">
        <v>52</v>
      </c>
    </row>
    <row r="128" spans="1:15" x14ac:dyDescent="0.2">
      <c r="A128" s="8" t="s">
        <v>11</v>
      </c>
      <c r="B128" s="2" t="s">
        <v>93</v>
      </c>
      <c r="C128" s="13">
        <v>3331</v>
      </c>
      <c r="D128" s="13">
        <v>0</v>
      </c>
      <c r="E128" s="1">
        <f t="shared" ref="E128:F131" si="20">E$30</f>
        <v>9.06</v>
      </c>
      <c r="F128" s="1">
        <f t="shared" si="20"/>
        <v>9.06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 t="s">
        <v>52</v>
      </c>
    </row>
    <row r="129" spans="1:16" x14ac:dyDescent="0.2">
      <c r="A129" s="8" t="s">
        <v>52</v>
      </c>
      <c r="B129" s="2" t="s">
        <v>142</v>
      </c>
      <c r="C129" s="13">
        <v>668</v>
      </c>
      <c r="D129" s="13">
        <v>0</v>
      </c>
      <c r="E129" s="1">
        <f t="shared" si="20"/>
        <v>9.06</v>
      </c>
      <c r="F129" s="1">
        <f t="shared" si="20"/>
        <v>9.06</v>
      </c>
      <c r="G129" s="7">
        <v>0</v>
      </c>
      <c r="H129" s="7">
        <v>0</v>
      </c>
      <c r="I129" s="1"/>
      <c r="J129" s="7">
        <v>0</v>
      </c>
      <c r="K129" s="7">
        <v>0</v>
      </c>
      <c r="L129" s="3">
        <v>2</v>
      </c>
      <c r="M129" s="80" t="s">
        <v>52</v>
      </c>
    </row>
    <row r="130" spans="1:16" x14ac:dyDescent="0.2">
      <c r="A130" s="8" t="s">
        <v>52</v>
      </c>
      <c r="B130" s="2" t="s">
        <v>144</v>
      </c>
      <c r="C130" s="13">
        <v>786</v>
      </c>
      <c r="D130" s="13">
        <v>0</v>
      </c>
      <c r="E130" s="1">
        <f t="shared" si="20"/>
        <v>9.06</v>
      </c>
      <c r="F130" s="1">
        <f t="shared" si="20"/>
        <v>9.06</v>
      </c>
      <c r="G130" s="7">
        <v>0</v>
      </c>
      <c r="H130" s="7">
        <v>0</v>
      </c>
      <c r="I130" s="1"/>
      <c r="J130" s="7">
        <v>0</v>
      </c>
      <c r="K130" s="7">
        <v>0</v>
      </c>
      <c r="L130" s="3">
        <v>2</v>
      </c>
      <c r="M130" s="80" t="s">
        <v>52</v>
      </c>
    </row>
    <row r="131" spans="1:16" x14ac:dyDescent="0.2">
      <c r="A131" s="8" t="s">
        <v>52</v>
      </c>
      <c r="B131" s="2" t="s">
        <v>151</v>
      </c>
      <c r="C131" s="13">
        <v>863</v>
      </c>
      <c r="D131" s="13">
        <v>0</v>
      </c>
      <c r="E131" s="1">
        <f t="shared" si="20"/>
        <v>9.06</v>
      </c>
      <c r="F131" s="1">
        <f t="shared" si="20"/>
        <v>9.06</v>
      </c>
      <c r="G131" s="7">
        <v>0</v>
      </c>
      <c r="H131" s="7">
        <v>0</v>
      </c>
      <c r="I131" s="1"/>
      <c r="J131" s="7">
        <v>0</v>
      </c>
      <c r="K131" s="7">
        <v>0</v>
      </c>
      <c r="L131" s="3">
        <v>2</v>
      </c>
      <c r="M131" s="80" t="s">
        <v>86</v>
      </c>
    </row>
    <row r="132" spans="1:16" x14ac:dyDescent="0.2">
      <c r="A132" s="8"/>
      <c r="C132" s="13" t="s">
        <v>52</v>
      </c>
      <c r="E132" s="1" t="s">
        <v>52</v>
      </c>
      <c r="F132" s="1" t="s">
        <v>52</v>
      </c>
      <c r="I132" s="1"/>
      <c r="K132" s="7" t="s">
        <v>52</v>
      </c>
      <c r="M132" s="80">
        <f>M98</f>
        <v>-3928100</v>
      </c>
      <c r="N132" s="26">
        <f>M132/M139</f>
        <v>-0.67689192221894723</v>
      </c>
      <c r="O132" s="5" t="s">
        <v>85</v>
      </c>
    </row>
    <row r="133" spans="1:16" x14ac:dyDescent="0.2">
      <c r="A133" s="8" t="s">
        <v>59</v>
      </c>
      <c r="B133" s="5" t="s">
        <v>22</v>
      </c>
      <c r="C133" s="13" t="s">
        <v>52</v>
      </c>
      <c r="D133" s="13" t="s">
        <v>52</v>
      </c>
      <c r="E133" s="1" t="s">
        <v>52</v>
      </c>
      <c r="F133" s="1" t="s">
        <v>52</v>
      </c>
      <c r="G133" s="15"/>
      <c r="H133" s="15"/>
      <c r="I133" s="2"/>
      <c r="K133" s="7" t="s">
        <v>52</v>
      </c>
      <c r="M133" s="80">
        <f>SUMIF(L112:L143,2,K112:K143)+M99</f>
        <v>324061.37466072204</v>
      </c>
      <c r="N133" s="26">
        <f>M133/M139</f>
        <v>5.5842398821570369E-2</v>
      </c>
      <c r="O133" s="5" t="s">
        <v>22</v>
      </c>
    </row>
    <row r="134" spans="1:16" x14ac:dyDescent="0.2">
      <c r="A134" s="8" t="s">
        <v>9</v>
      </c>
      <c r="B134" s="2" t="s">
        <v>120</v>
      </c>
      <c r="C134" s="13">
        <v>15280</v>
      </c>
      <c r="D134" s="13">
        <v>15280</v>
      </c>
      <c r="E134" s="1">
        <f t="shared" ref="E134:F142" si="21">E$30</f>
        <v>9.06</v>
      </c>
      <c r="F134" s="1">
        <f t="shared" si="21"/>
        <v>9.06</v>
      </c>
      <c r="G134" s="7">
        <f t="shared" ref="G134:G142" si="22">IF(E134&gt;I134,(E134-F134)*C134,0)</f>
        <v>0</v>
      </c>
      <c r="H134" s="7">
        <f t="shared" ref="H134:H142" si="23">IF(E134&gt;I134,(E134-F134)*C134*0.5895,0)</f>
        <v>0</v>
      </c>
      <c r="I134" s="1">
        <v>18.375</v>
      </c>
      <c r="J134" s="7">
        <f t="shared" ref="J134:J142" si="24">IF(C134*(E134-I134)&gt;0,C134*(E134-I134),0)</f>
        <v>0</v>
      </c>
      <c r="K134" s="7">
        <f>J134*0.5995</f>
        <v>0</v>
      </c>
      <c r="L134" s="3">
        <v>2</v>
      </c>
      <c r="M134" s="80" t="s">
        <v>60</v>
      </c>
      <c r="N134" s="26"/>
      <c r="O134" s="7" t="s">
        <v>52</v>
      </c>
      <c r="P134" s="15" t="s">
        <v>52</v>
      </c>
    </row>
    <row r="135" spans="1:16" x14ac:dyDescent="0.2">
      <c r="A135" s="8" t="s">
        <v>52</v>
      </c>
      <c r="B135" s="2" t="s">
        <v>121</v>
      </c>
      <c r="C135" s="13">
        <v>5130</v>
      </c>
      <c r="D135" s="13">
        <v>0</v>
      </c>
      <c r="E135" s="1">
        <f t="shared" si="21"/>
        <v>9.06</v>
      </c>
      <c r="F135" s="1">
        <f t="shared" si="21"/>
        <v>9.06</v>
      </c>
      <c r="G135" s="7">
        <f t="shared" si="22"/>
        <v>0</v>
      </c>
      <c r="H135" s="7">
        <f t="shared" si="23"/>
        <v>0</v>
      </c>
      <c r="I135" s="1">
        <v>55.5</v>
      </c>
      <c r="J135" s="7">
        <f t="shared" si="24"/>
        <v>0</v>
      </c>
      <c r="K135" s="7">
        <f t="shared" ref="K135:K142" si="25">J135*0.5895</f>
        <v>0</v>
      </c>
      <c r="L135" s="3">
        <v>2</v>
      </c>
      <c r="M135" s="80">
        <f>SUMIF(L112:L143,1,K112:K143)+M101</f>
        <v>5959080.7091200007</v>
      </c>
      <c r="N135" s="26">
        <f>M135/M139</f>
        <v>1.0268714126050977</v>
      </c>
      <c r="O135" s="7" t="s">
        <v>52</v>
      </c>
      <c r="P135" s="15" t="s">
        <v>52</v>
      </c>
    </row>
    <row r="136" spans="1:16" x14ac:dyDescent="0.2">
      <c r="A136" s="8"/>
      <c r="B136" s="2" t="s">
        <v>122</v>
      </c>
      <c r="C136" s="13">
        <v>25</v>
      </c>
      <c r="D136" s="13">
        <v>0</v>
      </c>
      <c r="E136" s="1">
        <f t="shared" si="21"/>
        <v>9.06</v>
      </c>
      <c r="F136" s="1">
        <f t="shared" si="21"/>
        <v>9.06</v>
      </c>
      <c r="G136" s="7">
        <f t="shared" si="22"/>
        <v>0</v>
      </c>
      <c r="H136" s="7">
        <f t="shared" si="23"/>
        <v>0</v>
      </c>
      <c r="I136" s="1">
        <v>55.5</v>
      </c>
      <c r="J136" s="7">
        <f t="shared" si="24"/>
        <v>0</v>
      </c>
      <c r="K136" s="7">
        <f t="shared" si="25"/>
        <v>0</v>
      </c>
      <c r="L136" s="3">
        <v>2</v>
      </c>
      <c r="M136" s="80" t="s">
        <v>159</v>
      </c>
      <c r="N136" s="26"/>
      <c r="P136" s="2" t="s">
        <v>52</v>
      </c>
    </row>
    <row r="137" spans="1:16" x14ac:dyDescent="0.2">
      <c r="A137" s="8"/>
      <c r="B137" s="2" t="s">
        <v>123</v>
      </c>
      <c r="C137" s="13">
        <v>7608</v>
      </c>
      <c r="D137" s="13">
        <v>0</v>
      </c>
      <c r="E137" s="1">
        <f t="shared" si="21"/>
        <v>9.06</v>
      </c>
      <c r="F137" s="1">
        <f t="shared" si="21"/>
        <v>9.06</v>
      </c>
      <c r="G137" s="7">
        <f t="shared" si="22"/>
        <v>0</v>
      </c>
      <c r="H137" s="7">
        <f t="shared" si="23"/>
        <v>0</v>
      </c>
      <c r="I137" s="1">
        <v>75.0625</v>
      </c>
      <c r="J137" s="7">
        <f t="shared" si="24"/>
        <v>0</v>
      </c>
      <c r="K137" s="7">
        <f t="shared" si="25"/>
        <v>0</v>
      </c>
      <c r="L137" s="3">
        <v>2</v>
      </c>
      <c r="M137" s="80">
        <f>+M103</f>
        <v>-480000</v>
      </c>
      <c r="N137" s="26">
        <f>+M137/M139</f>
        <v>-8.2713811426668019E-2</v>
      </c>
      <c r="P137" s="15" t="s">
        <v>52</v>
      </c>
    </row>
    <row r="138" spans="1:16" x14ac:dyDescent="0.2">
      <c r="A138" s="8"/>
      <c r="B138" s="2" t="s">
        <v>124</v>
      </c>
      <c r="C138" s="13">
        <v>2540</v>
      </c>
      <c r="D138" s="13">
        <v>0</v>
      </c>
      <c r="E138" s="1">
        <f t="shared" si="21"/>
        <v>9.06</v>
      </c>
      <c r="F138" s="1">
        <f t="shared" si="21"/>
        <v>9.06</v>
      </c>
      <c r="G138" s="7">
        <f t="shared" si="22"/>
        <v>0</v>
      </c>
      <c r="H138" s="7">
        <f t="shared" si="23"/>
        <v>0</v>
      </c>
      <c r="I138" s="1">
        <v>76</v>
      </c>
      <c r="J138" s="7">
        <f t="shared" si="24"/>
        <v>0</v>
      </c>
      <c r="K138" s="7">
        <f t="shared" si="25"/>
        <v>0</v>
      </c>
      <c r="L138" s="3">
        <v>2</v>
      </c>
      <c r="M138" s="80" t="s">
        <v>90</v>
      </c>
      <c r="N138" s="26"/>
    </row>
    <row r="139" spans="1:16" x14ac:dyDescent="0.2">
      <c r="A139" s="8"/>
      <c r="B139" s="2" t="s">
        <v>139</v>
      </c>
      <c r="C139" s="13">
        <v>1524</v>
      </c>
      <c r="D139" s="13">
        <v>0</v>
      </c>
      <c r="E139" s="1">
        <f t="shared" si="21"/>
        <v>9.06</v>
      </c>
      <c r="F139" s="1">
        <f t="shared" si="21"/>
        <v>9.06</v>
      </c>
      <c r="G139" s="7">
        <f t="shared" si="22"/>
        <v>0</v>
      </c>
      <c r="H139" s="7">
        <f t="shared" si="23"/>
        <v>0</v>
      </c>
      <c r="I139" s="1">
        <v>83.125</v>
      </c>
      <c r="J139" s="7">
        <f t="shared" si="24"/>
        <v>0</v>
      </c>
      <c r="K139" s="7">
        <f t="shared" si="25"/>
        <v>0</v>
      </c>
      <c r="L139" s="3">
        <v>2</v>
      </c>
      <c r="M139" s="80">
        <f>SUM(K112:K134)+K108</f>
        <v>5803142.0837807227</v>
      </c>
      <c r="N139" s="26">
        <f>+M139/K145</f>
        <v>1</v>
      </c>
    </row>
    <row r="140" spans="1:16" x14ac:dyDescent="0.2">
      <c r="A140" s="8"/>
      <c r="B140" s="2" t="s">
        <v>140</v>
      </c>
      <c r="C140" s="13">
        <v>1968</v>
      </c>
      <c r="D140" s="13">
        <v>0</v>
      </c>
      <c r="E140" s="1">
        <f t="shared" si="21"/>
        <v>9.06</v>
      </c>
      <c r="F140" s="1">
        <f t="shared" si="21"/>
        <v>9.06</v>
      </c>
      <c r="G140" s="7">
        <f>IF(E140&gt;I140,(E140-F140)*C140,0)</f>
        <v>0</v>
      </c>
      <c r="H140" s="7">
        <f>IF(E140&gt;I140,(E140-F140)*C140*0.5895,0)</f>
        <v>0</v>
      </c>
      <c r="I140" s="1">
        <v>62.41</v>
      </c>
      <c r="J140" s="7">
        <f>IF(C140*(E140-I140)&gt;0,C140*(E140-I140),0)</f>
        <v>0</v>
      </c>
      <c r="K140" s="7">
        <f t="shared" si="25"/>
        <v>0</v>
      </c>
      <c r="L140" s="3">
        <v>2</v>
      </c>
      <c r="M140" s="80" t="s">
        <v>52</v>
      </c>
      <c r="N140" s="80" t="s">
        <v>52</v>
      </c>
    </row>
    <row r="141" spans="1:16" x14ac:dyDescent="0.2">
      <c r="A141" s="8"/>
      <c r="B141" s="2" t="s">
        <v>145</v>
      </c>
      <c r="C141" s="13">
        <v>1967</v>
      </c>
      <c r="D141" s="13">
        <v>0</v>
      </c>
      <c r="E141" s="1">
        <f t="shared" si="21"/>
        <v>9.06</v>
      </c>
      <c r="F141" s="1">
        <f t="shared" si="21"/>
        <v>9.06</v>
      </c>
      <c r="G141" s="7">
        <f>IF(E141&gt;I141,(E141-F141)*C141,0)</f>
        <v>0</v>
      </c>
      <c r="H141" s="7">
        <f>IF(E141&gt;I141,(E141-F141)*C141*0.5895,0)</f>
        <v>0</v>
      </c>
      <c r="I141" s="1">
        <v>54.03</v>
      </c>
      <c r="J141" s="7">
        <f>IF(C141*(E141-I141)&gt;0,C141*(E141-I141),0)</f>
        <v>0</v>
      </c>
      <c r="K141" s="7">
        <f t="shared" si="25"/>
        <v>0</v>
      </c>
      <c r="L141" s="3">
        <v>2</v>
      </c>
      <c r="M141" s="80" t="s">
        <v>52</v>
      </c>
      <c r="N141" s="80" t="s">
        <v>52</v>
      </c>
    </row>
    <row r="142" spans="1:16" x14ac:dyDescent="0.2">
      <c r="A142" s="8"/>
      <c r="B142" s="2" t="s">
        <v>153</v>
      </c>
      <c r="C142" s="13">
        <f>2778-417</f>
        <v>2361</v>
      </c>
      <c r="D142" s="13">
        <v>0</v>
      </c>
      <c r="E142" s="1">
        <f t="shared" si="21"/>
        <v>9.06</v>
      </c>
      <c r="F142" s="1">
        <f t="shared" si="21"/>
        <v>9.06</v>
      </c>
      <c r="G142" s="7">
        <f t="shared" si="22"/>
        <v>0</v>
      </c>
      <c r="H142" s="7">
        <f t="shared" si="23"/>
        <v>0</v>
      </c>
      <c r="I142" s="1">
        <v>48.3</v>
      </c>
      <c r="J142" s="7">
        <f t="shared" si="24"/>
        <v>0</v>
      </c>
      <c r="K142" s="7">
        <f t="shared" si="25"/>
        <v>0</v>
      </c>
      <c r="L142" s="3">
        <v>2</v>
      </c>
      <c r="M142" s="80" t="s">
        <v>52</v>
      </c>
      <c r="N142" s="80" t="s">
        <v>52</v>
      </c>
    </row>
    <row r="143" spans="1:16" ht="13.5" thickBot="1" x14ac:dyDescent="0.25">
      <c r="A143" s="8"/>
      <c r="B143" s="17"/>
      <c r="C143" s="24" t="s">
        <v>52</v>
      </c>
      <c r="D143" s="24"/>
      <c r="E143" s="18"/>
      <c r="F143" s="18"/>
      <c r="G143" s="19"/>
      <c r="H143" s="19"/>
      <c r="I143" s="18"/>
      <c r="J143" s="19"/>
      <c r="K143" s="44"/>
      <c r="L143" s="65"/>
      <c r="M143" s="93"/>
      <c r="N143" s="93"/>
    </row>
    <row r="144" spans="1:16" x14ac:dyDescent="0.2">
      <c r="A144" s="8"/>
      <c r="C144" s="13" t="s">
        <v>52</v>
      </c>
      <c r="M144" s="80" t="s">
        <v>56</v>
      </c>
    </row>
    <row r="145" spans="1:14" x14ac:dyDescent="0.2">
      <c r="A145" s="8" t="s">
        <v>17</v>
      </c>
      <c r="B145" s="29" t="s">
        <v>52</v>
      </c>
      <c r="C145" s="13">
        <f>SUM(C125:C142)+C108</f>
        <v>66084.940700000006</v>
      </c>
      <c r="D145" s="13">
        <f>SUM(D125:D142)+D108</f>
        <v>30043.940699999999</v>
      </c>
      <c r="G145" s="7">
        <f>SUM(G108:G143)</f>
        <v>0</v>
      </c>
      <c r="H145" s="7">
        <f>SUM(H108:H143)</f>
        <v>0</v>
      </c>
      <c r="J145" s="7">
        <f>SUM(J108:J143)</f>
        <v>5843993.4588887226</v>
      </c>
      <c r="K145" s="7">
        <f>SUM(K108:K143)</f>
        <v>5803142.0837807227</v>
      </c>
      <c r="M145" s="92">
        <f>SUM(K125:K142)+M108</f>
        <v>44030.827182000001</v>
      </c>
      <c r="N145" s="94">
        <f>M145/K145</f>
        <v>7.5874115343586594E-3</v>
      </c>
    </row>
    <row r="146" spans="1:14" ht="13.5" thickBot="1" x14ac:dyDescent="0.25">
      <c r="A146" s="8"/>
      <c r="B146" s="17"/>
      <c r="C146" s="24"/>
      <c r="D146" s="24"/>
      <c r="E146" s="18"/>
      <c r="F146" s="18"/>
      <c r="G146" s="19"/>
      <c r="H146" s="19"/>
      <c r="I146" s="18"/>
      <c r="J146" s="19"/>
      <c r="K146" s="19"/>
      <c r="L146" s="65"/>
      <c r="M146" s="93"/>
      <c r="N146" s="93"/>
    </row>
    <row r="147" spans="1:14" x14ac:dyDescent="0.2">
      <c r="A147" s="8"/>
    </row>
    <row r="148" spans="1:14" x14ac:dyDescent="0.2">
      <c r="A148" s="21" t="s">
        <v>52</v>
      </c>
      <c r="B148" s="73" t="s">
        <v>52</v>
      </c>
      <c r="E148" s="2" t="s">
        <v>52</v>
      </c>
      <c r="F148" s="2" t="s">
        <v>52</v>
      </c>
      <c r="G148" s="2"/>
      <c r="H148" s="2"/>
      <c r="I148" s="2"/>
      <c r="K148" s="20">
        <v>5.2999999999999999E-2</v>
      </c>
      <c r="L148" s="66"/>
      <c r="M148" s="81"/>
    </row>
    <row r="149" spans="1:14" x14ac:dyDescent="0.2">
      <c r="A149" s="21" t="s">
        <v>52</v>
      </c>
      <c r="B149" s="73"/>
      <c r="D149" s="13" t="s">
        <v>52</v>
      </c>
      <c r="E149" s="28" t="s">
        <v>52</v>
      </c>
      <c r="F149" s="28" t="s">
        <v>52</v>
      </c>
      <c r="G149" s="2"/>
      <c r="H149" s="2"/>
      <c r="I149" s="2"/>
      <c r="K149" s="7">
        <f>K108*K148</f>
        <v>302557.02068331826</v>
      </c>
      <c r="L149" s="66"/>
      <c r="M149" s="81" t="s">
        <v>52</v>
      </c>
    </row>
    <row r="150" spans="1:14" x14ac:dyDescent="0.2">
      <c r="A150" s="2" t="s">
        <v>52</v>
      </c>
      <c r="B150" s="73" t="s">
        <v>52</v>
      </c>
      <c r="D150" s="13" t="s">
        <v>52</v>
      </c>
      <c r="E150" s="28" t="s">
        <v>52</v>
      </c>
      <c r="F150" s="28" t="s">
        <v>52</v>
      </c>
      <c r="G150" s="2"/>
      <c r="H150" s="2"/>
      <c r="I150" s="2"/>
      <c r="K150" s="7">
        <f>K145*K148</f>
        <v>307566.53044037829</v>
      </c>
      <c r="L150" s="66"/>
      <c r="M150" s="81" t="s">
        <v>52</v>
      </c>
    </row>
    <row r="151" spans="1:14" x14ac:dyDescent="0.2">
      <c r="B151" s="73" t="s">
        <v>52</v>
      </c>
      <c r="D151" s="13" t="s">
        <v>52</v>
      </c>
      <c r="E151" s="28" t="s">
        <v>52</v>
      </c>
      <c r="F151" s="28" t="s">
        <v>52</v>
      </c>
      <c r="G151" s="2"/>
      <c r="H151" s="2"/>
      <c r="I151" s="2"/>
      <c r="K151" s="15"/>
      <c r="L151" s="66"/>
      <c r="M151" s="81" t="s">
        <v>52</v>
      </c>
    </row>
    <row r="152" spans="1:14" x14ac:dyDescent="0.2">
      <c r="B152" s="73" t="s">
        <v>52</v>
      </c>
      <c r="D152" s="13" t="s">
        <v>52</v>
      </c>
      <c r="E152" s="28" t="s">
        <v>52</v>
      </c>
      <c r="F152" s="28" t="s">
        <v>52</v>
      </c>
      <c r="G152" s="2"/>
      <c r="H152" s="2" t="s">
        <v>52</v>
      </c>
      <c r="I152" s="2"/>
      <c r="K152" s="15"/>
      <c r="L152" s="66"/>
      <c r="M152" s="81"/>
    </row>
    <row r="153" spans="1:14" x14ac:dyDescent="0.2">
      <c r="A153" s="8" t="s">
        <v>171</v>
      </c>
      <c r="B153" s="2" t="s">
        <v>172</v>
      </c>
      <c r="C153" s="13">
        <v>400000</v>
      </c>
      <c r="D153" s="13" t="s">
        <v>52</v>
      </c>
      <c r="E153" s="27" t="s">
        <v>52</v>
      </c>
      <c r="F153" s="27" t="s">
        <v>52</v>
      </c>
      <c r="G153" s="27" t="s">
        <v>52</v>
      </c>
      <c r="H153" s="27" t="s">
        <v>52</v>
      </c>
      <c r="J153" s="7">
        <f>+C153</f>
        <v>400000</v>
      </c>
      <c r="K153" s="7">
        <f>J153</f>
        <v>400000</v>
      </c>
      <c r="L153" s="3" t="s">
        <v>52</v>
      </c>
      <c r="M153" s="80" t="s">
        <v>52</v>
      </c>
      <c r="N153" s="26" t="s">
        <v>52</v>
      </c>
    </row>
    <row r="154" spans="1:14" x14ac:dyDescent="0.2">
      <c r="A154" s="8" t="s">
        <v>52</v>
      </c>
      <c r="B154" s="2" t="s">
        <v>173</v>
      </c>
      <c r="C154" s="13">
        <v>15000</v>
      </c>
      <c r="D154" s="13" t="s">
        <v>52</v>
      </c>
      <c r="E154" s="27" t="s">
        <v>52</v>
      </c>
      <c r="F154" s="27" t="s">
        <v>52</v>
      </c>
      <c r="G154" s="27" t="s">
        <v>52</v>
      </c>
      <c r="H154" s="27" t="s">
        <v>52</v>
      </c>
      <c r="J154" s="7">
        <f>+C154</f>
        <v>15000</v>
      </c>
      <c r="K154" s="7">
        <f>J154</f>
        <v>15000</v>
      </c>
      <c r="L154" s="3" t="s">
        <v>52</v>
      </c>
      <c r="M154" s="80" t="s">
        <v>52</v>
      </c>
      <c r="N154" s="26"/>
    </row>
    <row r="155" spans="1:14" ht="13.5" thickBot="1" x14ac:dyDescent="0.25">
      <c r="A155" s="8"/>
      <c r="B155" s="17"/>
      <c r="C155" s="24" t="s">
        <v>52</v>
      </c>
      <c r="D155" s="24"/>
      <c r="E155" s="18"/>
      <c r="F155" s="18"/>
      <c r="G155" s="19"/>
      <c r="H155" s="19"/>
      <c r="I155" s="18"/>
      <c r="J155" s="19"/>
      <c r="K155" s="44"/>
      <c r="L155" s="65"/>
      <c r="M155" s="93"/>
      <c r="N155" s="93"/>
    </row>
    <row r="156" spans="1:14" x14ac:dyDescent="0.2">
      <c r="A156" s="8"/>
      <c r="C156" s="13" t="s">
        <v>52</v>
      </c>
      <c r="M156" s="80" t="s">
        <v>56</v>
      </c>
    </row>
    <row r="157" spans="1:14" x14ac:dyDescent="0.2">
      <c r="A157" s="8" t="s">
        <v>17</v>
      </c>
      <c r="B157" s="29" t="s">
        <v>52</v>
      </c>
      <c r="C157" s="13">
        <f>SUM(C153:C156)</f>
        <v>415000</v>
      </c>
      <c r="D157" s="13" t="s">
        <v>52</v>
      </c>
      <c r="G157" s="7" t="s">
        <v>52</v>
      </c>
      <c r="H157" s="7" t="s">
        <v>52</v>
      </c>
      <c r="J157" s="13">
        <f>SUM(J153:J156)</f>
        <v>415000</v>
      </c>
      <c r="K157" s="13">
        <f>SUM(K153:K156)</f>
        <v>415000</v>
      </c>
      <c r="M157" s="92">
        <f>SUM(K137:K154)+M120</f>
        <v>6828265.6879044194</v>
      </c>
      <c r="N157" s="94">
        <f>M157/K157</f>
        <v>16.453652260010649</v>
      </c>
    </row>
    <row r="158" spans="1:14" ht="13.5" thickBot="1" x14ac:dyDescent="0.25">
      <c r="A158" s="8"/>
      <c r="B158" s="17"/>
      <c r="C158" s="24"/>
      <c r="D158" s="24"/>
      <c r="E158" s="18"/>
      <c r="F158" s="18"/>
      <c r="G158" s="19"/>
      <c r="H158" s="19"/>
      <c r="I158" s="18"/>
      <c r="J158" s="19"/>
      <c r="K158" s="19"/>
      <c r="L158" s="65"/>
      <c r="M158" s="93"/>
      <c r="N158" s="93"/>
    </row>
    <row r="159" spans="1:14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/>
    </row>
    <row r="160" spans="1:14" x14ac:dyDescent="0.2">
      <c r="B160" s="73" t="s">
        <v>52</v>
      </c>
      <c r="C160" s="1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15"/>
      <c r="L160" s="66"/>
      <c r="M160" s="81"/>
    </row>
    <row r="161" spans="1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 t="s">
        <v>52</v>
      </c>
      <c r="H161" s="2"/>
      <c r="I161" s="2"/>
      <c r="K161" s="15"/>
      <c r="L161" s="66"/>
      <c r="M161" s="81"/>
    </row>
    <row r="162" spans="1:13" x14ac:dyDescent="0.2">
      <c r="A162" s="8" t="s">
        <v>174</v>
      </c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>
        <f>K145+K157</f>
        <v>6218142.0837807227</v>
      </c>
      <c r="L162" s="66"/>
      <c r="M162" s="81"/>
    </row>
    <row r="163" spans="1:13" x14ac:dyDescent="0.2"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1:13" x14ac:dyDescent="0.2">
      <c r="D164" s="13" t="s">
        <v>52</v>
      </c>
      <c r="E164" s="28" t="s">
        <v>52</v>
      </c>
      <c r="F164" s="28" t="s">
        <v>52</v>
      </c>
      <c r="G164" s="2"/>
      <c r="H164" s="2"/>
      <c r="I164" s="2"/>
      <c r="L164" s="66"/>
      <c r="M164" s="81"/>
    </row>
    <row r="165" spans="1:13" x14ac:dyDescent="0.2"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1:13" x14ac:dyDescent="0.2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1:13" x14ac:dyDescent="0.2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1:13" x14ac:dyDescent="0.2">
      <c r="E168" s="2"/>
      <c r="F168" s="2"/>
      <c r="G168" s="2"/>
      <c r="H168" s="2"/>
      <c r="I168" s="2"/>
      <c r="K168" s="15"/>
      <c r="L168" s="66"/>
      <c r="M168" s="81"/>
    </row>
    <row r="169" spans="1:13" x14ac:dyDescent="0.2">
      <c r="E169" s="2"/>
      <c r="F169" s="2"/>
      <c r="G169" s="2"/>
      <c r="H169" s="2"/>
      <c r="I169" s="2"/>
      <c r="K169" s="15"/>
      <c r="L169" s="66"/>
      <c r="M169" s="81"/>
    </row>
    <row r="170" spans="1:13" x14ac:dyDescent="0.2">
      <c r="E170" s="2"/>
      <c r="F170" s="2"/>
      <c r="G170" s="2"/>
      <c r="H170" s="2"/>
      <c r="I170" s="2"/>
      <c r="K170" s="15"/>
      <c r="L170" s="66"/>
      <c r="M170" s="81"/>
    </row>
    <row r="171" spans="1:13" x14ac:dyDescent="0.2">
      <c r="E171" s="2"/>
      <c r="F171" s="2"/>
      <c r="G171" s="2" t="s">
        <v>52</v>
      </c>
      <c r="H171" s="2"/>
      <c r="I171" s="2"/>
      <c r="K171" s="15"/>
      <c r="L171" s="66"/>
      <c r="M171" s="81"/>
    </row>
    <row r="172" spans="1:13" x14ac:dyDescent="0.2">
      <c r="E172" s="2"/>
      <c r="F172" s="2"/>
      <c r="G172" s="2"/>
      <c r="H172" s="2"/>
      <c r="I172" s="2"/>
      <c r="K172" s="15"/>
      <c r="L172" s="66"/>
      <c r="M172" s="81"/>
    </row>
    <row r="173" spans="1:13" x14ac:dyDescent="0.2">
      <c r="E173" s="2"/>
      <c r="F173" s="2"/>
      <c r="G173" s="2"/>
      <c r="H173" s="2"/>
      <c r="I173" s="2"/>
      <c r="K173" s="15"/>
      <c r="L173" s="66"/>
      <c r="M173" s="81"/>
    </row>
    <row r="174" spans="1:13" x14ac:dyDescent="0.2">
      <c r="E174" s="2"/>
      <c r="F174" s="2"/>
      <c r="G174" s="2"/>
      <c r="H174" s="2"/>
      <c r="I174" s="2"/>
      <c r="K174" s="15"/>
      <c r="L174" s="66"/>
      <c r="M174" s="81"/>
    </row>
    <row r="175" spans="1:13" x14ac:dyDescent="0.2">
      <c r="E175" s="2"/>
      <c r="F175" s="2"/>
      <c r="G175" s="2"/>
      <c r="H175" s="2"/>
      <c r="I175" s="2"/>
      <c r="K175" s="15"/>
      <c r="L175" s="66"/>
      <c r="M175" s="81"/>
    </row>
    <row r="176" spans="1:13" x14ac:dyDescent="0.2">
      <c r="E176" s="2"/>
      <c r="F176" s="2"/>
      <c r="G176" s="2"/>
      <c r="H176" s="2"/>
      <c r="I176" s="2"/>
      <c r="K176" s="15"/>
      <c r="L176" s="66"/>
      <c r="M176" s="81"/>
    </row>
    <row r="177" spans="2:13" x14ac:dyDescent="0.2">
      <c r="E177" s="2"/>
      <c r="F177" s="2"/>
      <c r="G177" s="2"/>
      <c r="H177" s="2"/>
      <c r="I177" s="2"/>
      <c r="K177" s="15"/>
      <c r="L177" s="66"/>
      <c r="M177" s="81"/>
    </row>
    <row r="178" spans="2:13" x14ac:dyDescent="0.2">
      <c r="E178" s="2"/>
      <c r="F178" s="2"/>
      <c r="G178" s="2"/>
      <c r="H178" s="2"/>
      <c r="I178" s="2"/>
      <c r="K178" s="15"/>
      <c r="L178" s="66"/>
      <c r="M178" s="81"/>
    </row>
    <row r="179" spans="2:13" x14ac:dyDescent="0.2">
      <c r="E179" s="2"/>
      <c r="F179" s="2"/>
      <c r="G179" s="2"/>
      <c r="H179" s="2"/>
      <c r="I179" s="2"/>
      <c r="K179" s="15"/>
      <c r="L179" s="66"/>
      <c r="M179" s="81"/>
    </row>
    <row r="180" spans="2:13" x14ac:dyDescent="0.2">
      <c r="E180" s="2"/>
      <c r="F180" s="2"/>
      <c r="G180" s="2"/>
      <c r="H180" s="2"/>
      <c r="I180" s="2"/>
      <c r="K180" s="15"/>
      <c r="L180" s="66"/>
      <c r="M180" s="81"/>
    </row>
    <row r="181" spans="2:13" x14ac:dyDescent="0.2">
      <c r="E181" s="2"/>
      <c r="F181" s="2"/>
      <c r="G181" s="2"/>
      <c r="H181" s="2"/>
      <c r="I181" s="2"/>
      <c r="K181" s="15"/>
      <c r="L181" s="66"/>
      <c r="M181" s="81"/>
    </row>
    <row r="182" spans="2:13" x14ac:dyDescent="0.2">
      <c r="E182" s="2"/>
      <c r="F182" s="2"/>
      <c r="G182" s="2"/>
      <c r="H182" s="2"/>
      <c r="I182" s="2"/>
      <c r="K182" s="15"/>
      <c r="L182" s="66"/>
      <c r="M182" s="81"/>
    </row>
    <row r="183" spans="2:13" x14ac:dyDescent="0.2">
      <c r="C183" s="13" t="s">
        <v>52</v>
      </c>
      <c r="E183" s="2"/>
      <c r="F183" s="2"/>
      <c r="G183" s="2"/>
      <c r="H183" s="2"/>
      <c r="I183" s="2"/>
      <c r="K183" s="15"/>
      <c r="L183" s="66"/>
      <c r="M183" s="81"/>
    </row>
    <row r="184" spans="2:13" x14ac:dyDescent="0.2">
      <c r="E184" s="2"/>
      <c r="F184" s="2"/>
      <c r="G184" s="2"/>
      <c r="H184" s="2"/>
      <c r="I184" s="2"/>
      <c r="K184" s="15"/>
      <c r="L184" s="66"/>
      <c r="M184" s="81"/>
    </row>
    <row r="185" spans="2:13" x14ac:dyDescent="0.2">
      <c r="E185" s="2"/>
      <c r="F185" s="2"/>
      <c r="G185" s="2"/>
      <c r="H185" s="2"/>
      <c r="I185" s="2"/>
      <c r="K185" s="15"/>
      <c r="L185" s="66"/>
      <c r="M185" s="81"/>
    </row>
    <row r="186" spans="2:13" x14ac:dyDescent="0.2">
      <c r="E186" s="2"/>
      <c r="F186" s="2"/>
      <c r="G186" s="2"/>
      <c r="H186" s="2"/>
      <c r="I186" s="2"/>
      <c r="K186" s="15"/>
      <c r="L186" s="66"/>
      <c r="M186" s="81"/>
    </row>
    <row r="187" spans="2:13" x14ac:dyDescent="0.2">
      <c r="E187" s="2"/>
      <c r="F187" s="2"/>
      <c r="G187" s="2"/>
      <c r="H187" s="2"/>
      <c r="I187" s="2"/>
      <c r="K187" s="15"/>
      <c r="L187" s="66"/>
      <c r="M187" s="81"/>
    </row>
    <row r="188" spans="2:13" x14ac:dyDescent="0.2">
      <c r="E188" s="2"/>
      <c r="F188" s="2"/>
      <c r="G188" s="2"/>
      <c r="H188" s="2"/>
      <c r="I188" s="2"/>
      <c r="K188" s="15"/>
      <c r="L188" s="66"/>
      <c r="M188" s="81"/>
    </row>
    <row r="189" spans="2:13" x14ac:dyDescent="0.2">
      <c r="B189" s="2" t="s">
        <v>52</v>
      </c>
      <c r="E189" s="2"/>
      <c r="F189" s="2"/>
      <c r="G189" s="2"/>
      <c r="H189" s="2"/>
      <c r="I189" s="2"/>
      <c r="K189" s="15"/>
      <c r="L189" s="66"/>
      <c r="M189" s="81"/>
    </row>
    <row r="190" spans="2:13" x14ac:dyDescent="0.2">
      <c r="E190" s="2"/>
      <c r="F190" s="2"/>
      <c r="G190" s="2"/>
      <c r="H190" s="2"/>
      <c r="I190" s="2"/>
      <c r="K190" s="15"/>
      <c r="L190" s="66"/>
      <c r="M190" s="81"/>
    </row>
    <row r="191" spans="2:13" x14ac:dyDescent="0.2">
      <c r="E191" s="2"/>
      <c r="F191" s="2"/>
      <c r="G191" s="2"/>
      <c r="H191" s="2"/>
      <c r="I191" s="2"/>
      <c r="K191" s="15"/>
      <c r="L191" s="66"/>
      <c r="M191" s="81"/>
    </row>
    <row r="192" spans="2:13" x14ac:dyDescent="0.2">
      <c r="E192" s="2"/>
      <c r="F192" s="2"/>
      <c r="G192" s="2"/>
      <c r="H192" s="2"/>
      <c r="I192" s="2"/>
      <c r="K192" s="15"/>
      <c r="L192" s="66"/>
      <c r="M192" s="81"/>
    </row>
    <row r="193" spans="5:13" x14ac:dyDescent="0.2">
      <c r="E193" s="2"/>
      <c r="F193" s="2"/>
      <c r="G193" s="2"/>
      <c r="H193" s="2"/>
      <c r="I193" s="2"/>
      <c r="K193" s="15"/>
      <c r="L193" s="66"/>
      <c r="M193" s="81"/>
    </row>
    <row r="194" spans="5:13" x14ac:dyDescent="0.2">
      <c r="E194" s="2"/>
      <c r="F194" s="2"/>
      <c r="G194" s="2"/>
      <c r="H194" s="2"/>
      <c r="I194" s="2"/>
      <c r="K194" s="15"/>
      <c r="L194" s="66"/>
      <c r="M194" s="81"/>
    </row>
    <row r="195" spans="5:13" x14ac:dyDescent="0.2">
      <c r="E195" s="2"/>
      <c r="F195" s="2"/>
      <c r="G195" s="2"/>
      <c r="H195" s="2"/>
      <c r="I195" s="2"/>
      <c r="K195" s="15"/>
      <c r="L195" s="66"/>
      <c r="M195" s="81"/>
    </row>
    <row r="196" spans="5:13" x14ac:dyDescent="0.2">
      <c r="E196" s="2"/>
      <c r="F196" s="2"/>
      <c r="G196" s="2"/>
      <c r="H196" s="2"/>
      <c r="I196" s="2"/>
      <c r="K196" s="15"/>
      <c r="L196" s="66"/>
      <c r="M196" s="81"/>
    </row>
    <row r="197" spans="5:13" x14ac:dyDescent="0.2">
      <c r="E197" s="2"/>
      <c r="F197" s="2"/>
      <c r="G197" s="2"/>
      <c r="H197" s="2"/>
      <c r="I197" s="2"/>
      <c r="K197" s="15"/>
      <c r="L197" s="66"/>
      <c r="M197" s="81"/>
    </row>
    <row r="198" spans="5:13" x14ac:dyDescent="0.2">
      <c r="E198" s="2"/>
      <c r="F198" s="2"/>
      <c r="G198" s="2"/>
      <c r="H198" s="2"/>
      <c r="I198" s="2"/>
      <c r="K198" s="15"/>
      <c r="L198" s="66"/>
      <c r="M198" s="81"/>
    </row>
    <row r="199" spans="5:13" x14ac:dyDescent="0.2">
      <c r="E199" s="2"/>
      <c r="F199" s="2"/>
      <c r="G199" s="2"/>
      <c r="H199" s="2"/>
      <c r="I199" s="2"/>
      <c r="K199" s="15"/>
      <c r="L199" s="66"/>
      <c r="M199" s="81"/>
    </row>
    <row r="200" spans="5:13" x14ac:dyDescent="0.2">
      <c r="E200" s="2"/>
      <c r="F200" s="2"/>
      <c r="G200" s="2"/>
      <c r="H200" s="2"/>
      <c r="I200" s="2"/>
      <c r="K200" s="15"/>
      <c r="L200" s="66"/>
      <c r="M200" s="81"/>
    </row>
    <row r="201" spans="5:13" x14ac:dyDescent="0.2">
      <c r="E201" s="2"/>
      <c r="F201" s="2"/>
      <c r="G201" s="2"/>
      <c r="H201" s="2"/>
      <c r="I201" s="2"/>
      <c r="K201" s="15"/>
      <c r="L201" s="66"/>
      <c r="M201" s="81"/>
    </row>
    <row r="202" spans="5:13" x14ac:dyDescent="0.2">
      <c r="E202" s="2"/>
      <c r="F202" s="2"/>
      <c r="G202" s="2"/>
      <c r="H202" s="2"/>
      <c r="I202" s="2"/>
      <c r="K202" s="15"/>
      <c r="L202" s="66"/>
      <c r="M202" s="81"/>
    </row>
    <row r="203" spans="5:13" x14ac:dyDescent="0.2">
      <c r="E203" s="2"/>
      <c r="F203" s="2"/>
      <c r="G203" s="2"/>
      <c r="H203" s="2"/>
      <c r="I203" s="2"/>
      <c r="K203" s="15"/>
      <c r="L203" s="66"/>
      <c r="M203" s="81"/>
    </row>
    <row r="204" spans="5:13" x14ac:dyDescent="0.2">
      <c r="E204" s="2"/>
      <c r="F204" s="2"/>
      <c r="G204" s="2"/>
      <c r="H204" s="2"/>
      <c r="I204" s="2"/>
      <c r="K204" s="15"/>
      <c r="L204" s="66"/>
      <c r="M204" s="81"/>
    </row>
    <row r="205" spans="5:13" x14ac:dyDescent="0.2">
      <c r="E205" s="2"/>
      <c r="F205" s="2"/>
      <c r="G205" s="2"/>
      <c r="H205" s="2"/>
      <c r="I205" s="2"/>
      <c r="K205" s="15"/>
      <c r="L205" s="66"/>
      <c r="M205" s="81"/>
    </row>
    <row r="206" spans="5:13" x14ac:dyDescent="0.2">
      <c r="E206" s="2"/>
      <c r="F206" s="2"/>
      <c r="G206" s="2"/>
      <c r="H206" s="2"/>
      <c r="I206" s="2"/>
      <c r="K206" s="15"/>
      <c r="L206" s="66"/>
      <c r="M206" s="81"/>
    </row>
    <row r="207" spans="5:13" x14ac:dyDescent="0.2">
      <c r="E207" s="2"/>
      <c r="F207" s="2"/>
      <c r="G207" s="2"/>
      <c r="H207" s="2"/>
      <c r="I207" s="2"/>
      <c r="K207" s="15"/>
      <c r="L207" s="66"/>
      <c r="M207" s="81"/>
    </row>
    <row r="208" spans="5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K225" s="15"/>
      <c r="L225" s="66"/>
      <c r="M225" s="81"/>
    </row>
    <row r="226" spans="5:13" x14ac:dyDescent="0.2">
      <c r="E226" s="2"/>
      <c r="F226" s="2"/>
      <c r="G226" s="2"/>
      <c r="H226" s="2"/>
      <c r="I226" s="2"/>
      <c r="L226" s="66"/>
      <c r="M226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2.75" x14ac:dyDescent="0.2"/>
  <cols>
    <col min="1" max="1" width="9.140625" style="10" customWidth="1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30178.86</v>
      </c>
      <c r="C7" s="16">
        <f>H33</f>
        <v>18092.226570000003</v>
      </c>
    </row>
    <row r="8" spans="1:23" x14ac:dyDescent="0.2">
      <c r="B8" s="16"/>
      <c r="C8" s="16"/>
    </row>
    <row r="9" spans="1:23" x14ac:dyDescent="0.2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2609.2800000000002</v>
      </c>
      <c r="H25" s="11">
        <f t="shared" si="0"/>
        <v>1564.2633600000001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148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92</v>
      </c>
      <c r="G33" s="1">
        <f>C33*(Sheet1!$E$30-D33)</f>
        <v>30178.86</v>
      </c>
      <c r="H33" s="11">
        <f t="shared" si="0"/>
        <v>18092.226570000003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">
      <c r="B45" s="5"/>
      <c r="C45" s="13"/>
      <c r="F45" s="34"/>
      <c r="G45" s="1"/>
      <c r="H45" s="11"/>
      <c r="I45" s="23"/>
      <c r="J45" s="10"/>
    </row>
    <row r="46" spans="1:11" s="2" customFormat="1" x14ac:dyDescent="0.2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2020.38</v>
      </c>
      <c r="H46" s="11">
        <f t="shared" si="0"/>
        <v>1211.2178100000001</v>
      </c>
      <c r="I46" s="10"/>
      <c r="J46" s="10"/>
      <c r="K46" s="5"/>
    </row>
    <row r="47" spans="1:11" s="2" customFormat="1" x14ac:dyDescent="0.2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2020.38</v>
      </c>
      <c r="H47" s="11">
        <f t="shared" si="0"/>
        <v>1211.2178100000001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2011.3200000000002</v>
      </c>
      <c r="H48" s="11">
        <f t="shared" si="0"/>
        <v>1205.7863400000001</v>
      </c>
      <c r="I48" s="10"/>
      <c r="J48" s="10"/>
      <c r="K48" s="5"/>
    </row>
    <row r="49" spans="1:11" s="2" customFormat="1" x14ac:dyDescent="0.2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2373.7200000000003</v>
      </c>
      <c r="H57" s="11">
        <f t="shared" si="0"/>
        <v>1423.0451400000002</v>
      </c>
      <c r="I57" s="10"/>
      <c r="J57" s="10"/>
      <c r="K57" s="5"/>
    </row>
    <row r="58" spans="1:11" s="2" customFormat="1" x14ac:dyDescent="0.2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2373.7200000000003</v>
      </c>
      <c r="H58" s="11">
        <f t="shared" si="0"/>
        <v>1423.0451400000002</v>
      </c>
      <c r="I58" s="10"/>
      <c r="J58" s="10"/>
      <c r="K58" s="5"/>
    </row>
    <row r="59" spans="1:11" s="2" customFormat="1" x14ac:dyDescent="0.2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2373.7200000000003</v>
      </c>
      <c r="H59" s="11">
        <f t="shared" si="0"/>
        <v>1423.0451400000002</v>
      </c>
      <c r="I59" s="10"/>
      <c r="J59" s="10"/>
      <c r="K59" s="5"/>
    </row>
    <row r="60" spans="1:11" s="2" customFormat="1" x14ac:dyDescent="0.2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2609.2800000000002</v>
      </c>
      <c r="H68" s="11">
        <f t="shared" si="0"/>
        <v>1564.2633600000001</v>
      </c>
      <c r="I68" s="10"/>
      <c r="J68" s="10"/>
      <c r="K68" s="5"/>
    </row>
    <row r="69" spans="1:11" s="2" customFormat="1" x14ac:dyDescent="0.2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2609.2800000000002</v>
      </c>
      <c r="H69" s="11">
        <f t="shared" si="0"/>
        <v>1564.2633600000001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2600.2200000000003</v>
      </c>
      <c r="H70" s="11">
        <f t="shared" si="0"/>
        <v>1558.8318900000002</v>
      </c>
      <c r="I70" s="10"/>
      <c r="J70" s="10"/>
      <c r="K70" s="5"/>
    </row>
    <row r="71" spans="1:11" s="2" customFormat="1" x14ac:dyDescent="0.2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">
      <c r="B72" s="5"/>
      <c r="C72" s="13"/>
      <c r="F72" s="34"/>
      <c r="G72" s="1"/>
      <c r="H72" s="7"/>
      <c r="I72" s="10"/>
      <c r="J72" s="10"/>
    </row>
    <row r="73" spans="1:11" s="2" customFormat="1" ht="13.5" thickBot="1" x14ac:dyDescent="0.25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">
      <c r="C75" s="31" t="s">
        <v>52</v>
      </c>
      <c r="E75" s="1"/>
      <c r="G75" s="15">
        <f>SUM(G14:G73)</f>
        <v>53780.159999999996</v>
      </c>
      <c r="H75" s="15">
        <f>SUM(H14:H73)</f>
        <v>32241.205920000015</v>
      </c>
      <c r="I75" s="10"/>
      <c r="J75" s="9" t="s">
        <v>52</v>
      </c>
    </row>
    <row r="76" spans="1:11" ht="13.5" thickBot="1" x14ac:dyDescent="0.25">
      <c r="C76" s="31" t="s">
        <v>91</v>
      </c>
      <c r="G76" s="44"/>
      <c r="H76" s="44"/>
    </row>
    <row r="77" spans="1:11" x14ac:dyDescent="0.2">
      <c r="C77" s="31" t="s">
        <v>52</v>
      </c>
      <c r="G77" s="15"/>
      <c r="H77" s="15"/>
    </row>
    <row r="78" spans="1:11" x14ac:dyDescent="0.2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"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B83" s="75" t="s">
        <v>94</v>
      </c>
      <c r="C83" s="31" t="s">
        <v>52</v>
      </c>
      <c r="G83" s="15"/>
      <c r="H83" s="15"/>
    </row>
    <row r="84" spans="2:8" x14ac:dyDescent="0.2">
      <c r="B84" s="76">
        <v>1703520.19</v>
      </c>
      <c r="C84" s="31" t="s">
        <v>95</v>
      </c>
      <c r="G84" s="15"/>
      <c r="H84" s="15"/>
    </row>
    <row r="85" spans="2:8" x14ac:dyDescent="0.2">
      <c r="B85" s="76">
        <f>8102.62*11</f>
        <v>89128.819999999992</v>
      </c>
      <c r="C85" s="31" t="s">
        <v>96</v>
      </c>
      <c r="G85" s="15"/>
      <c r="H85" s="15"/>
    </row>
    <row r="86" spans="2:8" x14ac:dyDescent="0.2">
      <c r="B86" s="76">
        <v>333000</v>
      </c>
      <c r="C86" s="31" t="s">
        <v>104</v>
      </c>
      <c r="G86" s="15"/>
      <c r="H86" s="15"/>
    </row>
    <row r="87" spans="2:8" x14ac:dyDescent="0.2">
      <c r="B87" s="76"/>
      <c r="C87" s="31" t="s">
        <v>52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ht="13.5" thickBot="1" x14ac:dyDescent="0.25">
      <c r="B90" s="77"/>
      <c r="C90" s="31" t="s">
        <v>52</v>
      </c>
      <c r="G90" s="15"/>
      <c r="H90" s="15"/>
    </row>
    <row r="91" spans="2:8" x14ac:dyDescent="0.2">
      <c r="B91" s="76"/>
      <c r="C91" s="31" t="s">
        <v>52</v>
      </c>
      <c r="G91" s="15"/>
      <c r="H91" s="15"/>
    </row>
    <row r="92" spans="2:8" x14ac:dyDescent="0.2">
      <c r="B92" s="76">
        <f>SUM(B84:B90)</f>
        <v>2125649.0099999998</v>
      </c>
      <c r="C92" s="32" t="s">
        <v>97</v>
      </c>
      <c r="G92" s="15"/>
      <c r="H92" s="15"/>
    </row>
    <row r="93" spans="2:8" ht="13.5" thickBot="1" x14ac:dyDescent="0.25">
      <c r="B93" s="77">
        <v>0.39600000000000002</v>
      </c>
      <c r="C93" s="74" t="s">
        <v>98</v>
      </c>
      <c r="G93" s="15"/>
      <c r="H93" s="15"/>
    </row>
    <row r="94" spans="2:8" x14ac:dyDescent="0.2">
      <c r="B94" s="76"/>
      <c r="C94" s="32" t="s">
        <v>100</v>
      </c>
      <c r="G94" s="15"/>
      <c r="H94" s="15"/>
    </row>
    <row r="95" spans="2:8" x14ac:dyDescent="0.2">
      <c r="B95" s="76">
        <f>B92*B93</f>
        <v>841757.00795999996</v>
      </c>
      <c r="C95" s="32" t="s">
        <v>99</v>
      </c>
      <c r="G95" s="15"/>
      <c r="H95" s="15"/>
    </row>
    <row r="96" spans="2:8" x14ac:dyDescent="0.2">
      <c r="B96" s="76"/>
      <c r="G96" s="15"/>
      <c r="H96" s="15"/>
    </row>
    <row r="97" spans="2:8" x14ac:dyDescent="0.2">
      <c r="B97" s="76">
        <v>-475166.71</v>
      </c>
      <c r="C97" s="32" t="s">
        <v>101</v>
      </c>
      <c r="G97" s="15"/>
      <c r="H97" s="15"/>
    </row>
    <row r="98" spans="2:8" x14ac:dyDescent="0.2">
      <c r="B98" s="76"/>
      <c r="G98" s="15"/>
      <c r="H98" s="15"/>
    </row>
    <row r="99" spans="2:8" x14ac:dyDescent="0.2">
      <c r="B99" s="76">
        <f>-21*1677</f>
        <v>-35217</v>
      </c>
      <c r="C99" s="32" t="s">
        <v>102</v>
      </c>
      <c r="G99" s="15"/>
      <c r="H99" s="15"/>
    </row>
    <row r="100" spans="2:8" x14ac:dyDescent="0.2">
      <c r="B100" s="76"/>
      <c r="C100" s="32" t="s">
        <v>103</v>
      </c>
      <c r="G100" s="15"/>
      <c r="H100" s="15"/>
    </row>
    <row r="101" spans="2:8" x14ac:dyDescent="0.2">
      <c r="B101" s="76"/>
      <c r="G101" s="15"/>
      <c r="H101" s="15"/>
    </row>
    <row r="102" spans="2:8" x14ac:dyDescent="0.2">
      <c r="B102" s="76">
        <f>-333000*0.28</f>
        <v>-93240.000000000015</v>
      </c>
      <c r="C102" s="32" t="s">
        <v>105</v>
      </c>
      <c r="G102" s="15"/>
      <c r="H102" s="15"/>
    </row>
    <row r="103" spans="2:8" ht="13.5" thickBot="1" x14ac:dyDescent="0.25">
      <c r="B103" s="77"/>
      <c r="C103" s="32" t="s">
        <v>106</v>
      </c>
      <c r="G103" s="15"/>
      <c r="H103" s="15"/>
    </row>
    <row r="104" spans="2:8" x14ac:dyDescent="0.2">
      <c r="B104" s="76"/>
      <c r="G104" s="15"/>
      <c r="H104" s="15"/>
    </row>
    <row r="105" spans="2:8" x14ac:dyDescent="0.2">
      <c r="B105" s="76">
        <f>SUM(B95:B102)</f>
        <v>238133.29795999994</v>
      </c>
      <c r="C105" s="32" t="s">
        <v>107</v>
      </c>
      <c r="G105" s="15"/>
      <c r="H105" s="15"/>
    </row>
    <row r="106" spans="2:8" ht="13.5" thickBot="1" x14ac:dyDescent="0.25">
      <c r="B106" s="77"/>
      <c r="C106" s="32" t="s">
        <v>108</v>
      </c>
      <c r="G106" s="15"/>
      <c r="H106" s="15"/>
    </row>
    <row r="107" spans="2:8" x14ac:dyDescent="0.2">
      <c r="B107" s="76"/>
      <c r="C107" s="32" t="s">
        <v>109</v>
      </c>
    </row>
    <row r="108" spans="2:8" x14ac:dyDescent="0.2">
      <c r="B108" s="76"/>
    </row>
    <row r="109" spans="2:8" x14ac:dyDescent="0.2">
      <c r="B109" s="76">
        <f>+B$105/4</f>
        <v>59533.324489999985</v>
      </c>
      <c r="C109" s="32" t="s">
        <v>111</v>
      </c>
    </row>
    <row r="110" spans="2:8" x14ac:dyDescent="0.2">
      <c r="B110" s="76">
        <f>+B$105/4</f>
        <v>59533.324489999985</v>
      </c>
      <c r="C110" s="32" t="s">
        <v>112</v>
      </c>
    </row>
    <row r="111" spans="2:8" x14ac:dyDescent="0.2">
      <c r="B111" s="76">
        <f>+B$105/4</f>
        <v>59533.324489999985</v>
      </c>
      <c r="C111" s="32" t="s">
        <v>113</v>
      </c>
    </row>
    <row r="112" spans="2:8" x14ac:dyDescent="0.2">
      <c r="B112" s="76">
        <f>+B$105/4</f>
        <v>59533.324489999985</v>
      </c>
      <c r="C112" s="32" t="s">
        <v>110</v>
      </c>
    </row>
    <row r="113" spans="2:9" x14ac:dyDescent="0.2">
      <c r="B113" s="76" t="s">
        <v>52</v>
      </c>
    </row>
    <row r="114" spans="2:9" x14ac:dyDescent="0.2">
      <c r="B114" s="76"/>
    </row>
    <row r="118" spans="2:9" x14ac:dyDescent="0.2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2023-09-20T00:40:24Z</dcterms:modified>
</cp:coreProperties>
</file>