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90B61C-2A02-457F-979D-5A82DE7C570C}" xr6:coauthVersionLast="47" xr6:coauthVersionMax="47" xr10:uidLastSave="{00000000-0000-0000-0000-000000000000}"/>
  <bookViews>
    <workbookView xWindow="-120" yWindow="-120" windowWidth="38640" windowHeight="15720" tabRatio="601"/>
  </bookViews>
  <sheets>
    <sheet name="mm assets" sheetId="1" r:id="rId1"/>
    <sheet name="net" sheetId="3" r:id="rId2"/>
    <sheet name="unvested" sheetId="2" r:id="rId3"/>
  </sheets>
  <definedNames>
    <definedName name="_xlnm.Print_Titles" localSheetId="0">'mm assets'!$1:$3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H5" i="1"/>
  <c r="J5" i="1"/>
  <c r="K5" i="1"/>
  <c r="G8" i="1"/>
  <c r="H8" i="1"/>
  <c r="J8" i="1"/>
  <c r="K8" i="1"/>
  <c r="G9" i="1"/>
  <c r="H9" i="1"/>
  <c r="J9" i="1"/>
  <c r="K9" i="1"/>
  <c r="G10" i="1"/>
  <c r="H10" i="1"/>
  <c r="J10" i="1"/>
  <c r="K10" i="1"/>
  <c r="G11" i="1"/>
  <c r="H11" i="1"/>
  <c r="J11" i="1"/>
  <c r="K11" i="1"/>
  <c r="G12" i="1"/>
  <c r="H12" i="1"/>
  <c r="J12" i="1"/>
  <c r="K12" i="1"/>
  <c r="G13" i="1"/>
  <c r="H13" i="1"/>
  <c r="J13" i="1"/>
  <c r="K13" i="1"/>
  <c r="G14" i="1"/>
  <c r="H14" i="1"/>
  <c r="J14" i="1"/>
  <c r="K14" i="1"/>
  <c r="G15" i="1"/>
  <c r="H15" i="1"/>
  <c r="J15" i="1"/>
  <c r="K15" i="1"/>
  <c r="G16" i="1"/>
  <c r="H16" i="1"/>
  <c r="J16" i="1"/>
  <c r="K16" i="1"/>
  <c r="G17" i="1"/>
  <c r="H17" i="1"/>
  <c r="J17" i="1"/>
  <c r="K17" i="1"/>
  <c r="G18" i="1"/>
  <c r="H18" i="1"/>
  <c r="J18" i="1"/>
  <c r="K18" i="1"/>
  <c r="K19" i="1"/>
  <c r="G20" i="1"/>
  <c r="H20" i="1"/>
  <c r="J20" i="1"/>
  <c r="K20" i="1"/>
  <c r="G21" i="1"/>
  <c r="H21" i="1"/>
  <c r="J21" i="1"/>
  <c r="K21" i="1"/>
  <c r="G22" i="1"/>
  <c r="H22" i="1"/>
  <c r="J22" i="1"/>
  <c r="K22" i="1"/>
  <c r="G23" i="1"/>
  <c r="H23" i="1"/>
  <c r="J23" i="1"/>
  <c r="K23" i="1"/>
  <c r="G24" i="1"/>
  <c r="H24" i="1"/>
  <c r="J24" i="1"/>
  <c r="K24" i="1"/>
  <c r="J26" i="1"/>
  <c r="K26" i="1"/>
  <c r="M26" i="1"/>
  <c r="O26" i="1"/>
  <c r="G28" i="1"/>
  <c r="H28" i="1"/>
  <c r="J28" i="1"/>
  <c r="K28" i="1"/>
  <c r="G30" i="1"/>
  <c r="H30" i="1"/>
  <c r="J30" i="1"/>
  <c r="K30" i="1"/>
  <c r="O30" i="1"/>
  <c r="G31" i="1"/>
  <c r="H31" i="1"/>
  <c r="J31" i="1"/>
  <c r="K31" i="1"/>
  <c r="G32" i="1"/>
  <c r="H32" i="1"/>
  <c r="J32" i="1"/>
  <c r="K32" i="1"/>
  <c r="G33" i="1"/>
  <c r="H33" i="1"/>
  <c r="J33" i="1"/>
  <c r="K33" i="1"/>
  <c r="G34" i="1"/>
  <c r="H34" i="1"/>
  <c r="J34" i="1"/>
  <c r="K34" i="1"/>
  <c r="G35" i="1"/>
  <c r="H35" i="1"/>
  <c r="J35" i="1"/>
  <c r="K35" i="1"/>
  <c r="G37" i="1"/>
  <c r="H37" i="1"/>
  <c r="J37" i="1"/>
  <c r="K37" i="1"/>
  <c r="G39" i="1"/>
  <c r="H39" i="1"/>
  <c r="J39" i="1"/>
  <c r="K39" i="1"/>
  <c r="G41" i="1"/>
  <c r="H41" i="1"/>
  <c r="J41" i="1"/>
  <c r="K41" i="1"/>
  <c r="G42" i="1"/>
  <c r="H42" i="1"/>
  <c r="J42" i="1"/>
  <c r="K42" i="1"/>
  <c r="G43" i="1"/>
  <c r="H43" i="1"/>
  <c r="J43" i="1"/>
  <c r="K43" i="1"/>
  <c r="M43" i="1"/>
  <c r="G44" i="1"/>
  <c r="H44" i="1"/>
  <c r="J44" i="1"/>
  <c r="K44" i="1"/>
  <c r="M44" i="1"/>
  <c r="G45" i="1"/>
  <c r="H45" i="1"/>
  <c r="J45" i="1"/>
  <c r="K45" i="1"/>
  <c r="M45" i="1"/>
  <c r="G46" i="1"/>
  <c r="H46" i="1"/>
  <c r="J46" i="1"/>
  <c r="K46" i="1"/>
  <c r="M46" i="1"/>
  <c r="G47" i="1"/>
  <c r="H47" i="1"/>
  <c r="J47" i="1"/>
  <c r="K47" i="1"/>
  <c r="M47" i="1"/>
  <c r="G48" i="1"/>
  <c r="H48" i="1"/>
  <c r="J48" i="1"/>
  <c r="K48" i="1"/>
  <c r="M48" i="1"/>
  <c r="G49" i="1"/>
  <c r="H49" i="1"/>
  <c r="J49" i="1"/>
  <c r="K49" i="1"/>
  <c r="M49" i="1"/>
  <c r="G50" i="1"/>
  <c r="H50" i="1"/>
  <c r="J50" i="1"/>
  <c r="K50" i="1"/>
  <c r="M50" i="1"/>
  <c r="G51" i="1"/>
  <c r="H51" i="1"/>
  <c r="J51" i="1"/>
  <c r="K51" i="1"/>
  <c r="M51" i="1"/>
  <c r="G52" i="1"/>
  <c r="H52" i="1"/>
  <c r="J52" i="1"/>
  <c r="K52" i="1"/>
  <c r="M52" i="1"/>
  <c r="G53" i="1"/>
  <c r="H53" i="1"/>
  <c r="J53" i="1"/>
  <c r="K53" i="1"/>
  <c r="M53" i="1"/>
  <c r="G54" i="1"/>
  <c r="H54" i="1"/>
  <c r="J54" i="1"/>
  <c r="K54" i="1"/>
  <c r="M54" i="1"/>
  <c r="G55" i="1"/>
  <c r="H55" i="1"/>
  <c r="J55" i="1"/>
  <c r="K55" i="1"/>
  <c r="M55" i="1"/>
  <c r="G56" i="1"/>
  <c r="H56" i="1"/>
  <c r="J56" i="1"/>
  <c r="K56" i="1"/>
  <c r="M56" i="1"/>
  <c r="J57" i="1"/>
  <c r="K57" i="1"/>
  <c r="M57" i="1"/>
  <c r="N57" i="1"/>
  <c r="O57" i="1"/>
  <c r="G58" i="1"/>
  <c r="H58" i="1"/>
  <c r="J58" i="1"/>
  <c r="K58" i="1"/>
  <c r="G59" i="1"/>
  <c r="H59" i="1"/>
  <c r="J59" i="1"/>
  <c r="K59" i="1"/>
  <c r="G61" i="1"/>
  <c r="H61" i="1"/>
  <c r="J61" i="1"/>
  <c r="K61" i="1"/>
  <c r="G63" i="1"/>
  <c r="H63" i="1"/>
  <c r="J63" i="1"/>
  <c r="K63" i="1"/>
  <c r="G65" i="1"/>
  <c r="H65" i="1"/>
  <c r="J65" i="1"/>
  <c r="K65" i="1"/>
  <c r="G66" i="1"/>
  <c r="H66" i="1"/>
  <c r="J66" i="1"/>
  <c r="K66" i="1"/>
  <c r="G68" i="1"/>
  <c r="H68" i="1"/>
  <c r="J68" i="1"/>
  <c r="K68" i="1"/>
  <c r="G69" i="1"/>
  <c r="H69" i="1"/>
  <c r="J69" i="1"/>
  <c r="K69" i="1"/>
  <c r="M69" i="1"/>
  <c r="N69" i="1"/>
  <c r="G70" i="1"/>
  <c r="H70" i="1"/>
  <c r="J70" i="1"/>
  <c r="K70" i="1"/>
  <c r="M70" i="1"/>
  <c r="N70" i="1"/>
  <c r="G71" i="1"/>
  <c r="H71" i="1"/>
  <c r="J71" i="1"/>
  <c r="K71" i="1"/>
  <c r="G72" i="1"/>
  <c r="H72" i="1"/>
  <c r="J72" i="1"/>
  <c r="K72" i="1"/>
  <c r="M72" i="1"/>
  <c r="N72" i="1"/>
  <c r="J74" i="1"/>
  <c r="K74" i="1"/>
  <c r="M74" i="1"/>
  <c r="N74" i="1"/>
  <c r="J75" i="1"/>
  <c r="K75" i="1"/>
  <c r="M76" i="1"/>
  <c r="N76" i="1"/>
  <c r="G79" i="1"/>
  <c r="H79" i="1"/>
  <c r="J79" i="1"/>
  <c r="K79" i="1"/>
  <c r="G82" i="1"/>
  <c r="H82" i="1"/>
  <c r="J82" i="1"/>
  <c r="K82" i="1"/>
  <c r="E83" i="1"/>
  <c r="F83" i="1"/>
  <c r="G83" i="1"/>
  <c r="H83" i="1"/>
  <c r="J83" i="1"/>
  <c r="K83" i="1"/>
  <c r="G84" i="1"/>
  <c r="H84" i="1"/>
  <c r="J84" i="1"/>
  <c r="K84" i="1"/>
  <c r="G86" i="1"/>
  <c r="H86" i="1"/>
  <c r="J86" i="1"/>
  <c r="K86" i="1"/>
  <c r="E87" i="1"/>
  <c r="F87" i="1"/>
  <c r="G87" i="1"/>
  <c r="H87" i="1"/>
  <c r="J87" i="1"/>
  <c r="K87" i="1"/>
  <c r="G88" i="1"/>
  <c r="H88" i="1"/>
  <c r="J88" i="1"/>
  <c r="K88" i="1"/>
  <c r="E90" i="1"/>
  <c r="F90" i="1"/>
  <c r="G90" i="1"/>
  <c r="H90" i="1"/>
  <c r="J90" i="1"/>
  <c r="K90" i="1"/>
  <c r="G91" i="1"/>
  <c r="H91" i="1"/>
  <c r="J91" i="1"/>
  <c r="K91" i="1"/>
  <c r="G94" i="1"/>
  <c r="H94" i="1"/>
  <c r="J94" i="1"/>
  <c r="K94" i="1"/>
  <c r="M94" i="1"/>
  <c r="B5" i="3"/>
  <c r="B7" i="3"/>
  <c r="B9" i="3"/>
  <c r="B11" i="3"/>
  <c r="B13" i="3"/>
  <c r="B15" i="3"/>
  <c r="B17" i="3"/>
  <c r="B19" i="3"/>
  <c r="B21" i="3"/>
  <c r="B23" i="3"/>
  <c r="B25" i="3"/>
  <c r="B27" i="3"/>
  <c r="B29" i="3"/>
  <c r="B31" i="3"/>
  <c r="B41" i="3"/>
  <c r="B42" i="3"/>
  <c r="B47" i="3"/>
  <c r="B50" i="3"/>
  <c r="B51" i="3"/>
  <c r="B52" i="3"/>
  <c r="B53" i="3"/>
  <c r="B54" i="3"/>
  <c r="D8" i="2"/>
  <c r="G8" i="2"/>
  <c r="H8" i="2"/>
  <c r="J8" i="2"/>
  <c r="K8" i="2"/>
  <c r="E11" i="2"/>
  <c r="F11" i="2"/>
  <c r="G11" i="2"/>
  <c r="H11" i="2"/>
  <c r="J11" i="2"/>
  <c r="K11" i="2"/>
  <c r="D14" i="2"/>
  <c r="E14" i="2"/>
  <c r="F14" i="2"/>
  <c r="G14" i="2"/>
  <c r="H14" i="2"/>
  <c r="J14" i="2"/>
  <c r="K14" i="2"/>
  <c r="D15" i="2"/>
  <c r="E15" i="2"/>
  <c r="F15" i="2"/>
  <c r="G15" i="2"/>
  <c r="H15" i="2"/>
  <c r="J15" i="2"/>
  <c r="K15" i="2"/>
  <c r="D16" i="2"/>
  <c r="E16" i="2"/>
  <c r="F16" i="2"/>
  <c r="G16" i="2"/>
  <c r="H16" i="2"/>
  <c r="J16" i="2"/>
  <c r="K16" i="2"/>
  <c r="E19" i="2"/>
  <c r="F19" i="2"/>
  <c r="G19" i="2"/>
  <c r="H19" i="2"/>
  <c r="J19" i="2"/>
  <c r="K19" i="2"/>
  <c r="E20" i="2"/>
  <c r="F20" i="2"/>
  <c r="G20" i="2"/>
  <c r="H20" i="2"/>
  <c r="J20" i="2"/>
  <c r="K20" i="2"/>
  <c r="E21" i="2"/>
  <c r="F21" i="2"/>
  <c r="G21" i="2"/>
  <c r="H21" i="2"/>
  <c r="J21" i="2"/>
  <c r="K21" i="2"/>
  <c r="E22" i="2"/>
  <c r="F22" i="2"/>
  <c r="G22" i="2"/>
  <c r="H22" i="2"/>
  <c r="J22" i="2"/>
  <c r="K22" i="2"/>
  <c r="E23" i="2"/>
  <c r="F23" i="2"/>
  <c r="G23" i="2"/>
  <c r="H23" i="2"/>
  <c r="J23" i="2"/>
  <c r="K23" i="2"/>
  <c r="E24" i="2"/>
  <c r="F24" i="2"/>
  <c r="G24" i="2"/>
  <c r="H24" i="2"/>
  <c r="J24" i="2"/>
  <c r="K24" i="2"/>
  <c r="E25" i="2"/>
  <c r="F25" i="2"/>
  <c r="G25" i="2"/>
  <c r="H25" i="2"/>
  <c r="J25" i="2"/>
  <c r="K25" i="2"/>
  <c r="D28" i="2"/>
  <c r="E28" i="2"/>
  <c r="F28" i="2"/>
  <c r="G28" i="2"/>
  <c r="H28" i="2"/>
  <c r="J28" i="2"/>
  <c r="K28" i="2"/>
  <c r="D31" i="2"/>
  <c r="E31" i="2"/>
  <c r="F31" i="2"/>
  <c r="G31" i="2"/>
  <c r="H31" i="2"/>
  <c r="J31" i="2"/>
  <c r="K31" i="2"/>
  <c r="E34" i="2"/>
  <c r="F34" i="2"/>
  <c r="E37" i="2"/>
  <c r="F37" i="2"/>
  <c r="E38" i="2"/>
  <c r="F38" i="2"/>
  <c r="E39" i="2"/>
  <c r="F39" i="2"/>
  <c r="E40" i="2"/>
  <c r="F40" i="2"/>
  <c r="E43" i="2"/>
  <c r="F43" i="2"/>
  <c r="G43" i="2"/>
  <c r="H43" i="2"/>
  <c r="J43" i="2"/>
  <c r="K43" i="2"/>
  <c r="E44" i="2"/>
  <c r="F44" i="2"/>
  <c r="G44" i="2"/>
  <c r="H44" i="2"/>
  <c r="J44" i="2"/>
  <c r="K44" i="2"/>
  <c r="E45" i="2"/>
  <c r="F45" i="2"/>
  <c r="G45" i="2"/>
  <c r="H45" i="2"/>
  <c r="J45" i="2"/>
  <c r="K45" i="2"/>
  <c r="E46" i="2"/>
  <c r="F46" i="2"/>
  <c r="G46" i="2"/>
  <c r="H46" i="2"/>
  <c r="J46" i="2"/>
  <c r="K46" i="2"/>
  <c r="E47" i="2"/>
  <c r="F47" i="2"/>
  <c r="G47" i="2"/>
  <c r="H47" i="2"/>
  <c r="J47" i="2"/>
  <c r="K47" i="2"/>
  <c r="E48" i="2"/>
  <c r="F48" i="2"/>
  <c r="G48" i="2"/>
  <c r="H48" i="2"/>
  <c r="J48" i="2"/>
  <c r="K48" i="2"/>
  <c r="E49" i="2"/>
  <c r="F49" i="2"/>
  <c r="G49" i="2"/>
  <c r="H49" i="2"/>
  <c r="J49" i="2"/>
  <c r="K49" i="2"/>
  <c r="E50" i="2"/>
  <c r="F50" i="2"/>
  <c r="G50" i="2"/>
  <c r="H50" i="2"/>
  <c r="J50" i="2"/>
  <c r="K50" i="2"/>
  <c r="C51" i="2"/>
  <c r="E51" i="2"/>
  <c r="F51" i="2"/>
  <c r="G51" i="2"/>
  <c r="H51" i="2"/>
  <c r="J51" i="2"/>
  <c r="K51" i="2"/>
  <c r="C54" i="2"/>
  <c r="D54" i="2"/>
  <c r="G54" i="2"/>
  <c r="H54" i="2"/>
  <c r="J54" i="2"/>
  <c r="K54" i="2"/>
</calcChain>
</file>

<file path=xl/sharedStrings.xml><?xml version="1.0" encoding="utf-8"?>
<sst xmlns="http://schemas.openxmlformats.org/spreadsheetml/2006/main" count="877" uniqueCount="157">
  <si>
    <t>Brokerage</t>
  </si>
  <si>
    <t>IRA</t>
  </si>
  <si>
    <t>Rollover</t>
  </si>
  <si>
    <t>Merrill Lynch</t>
  </si>
  <si>
    <t>401K</t>
  </si>
  <si>
    <t>ESOP</t>
  </si>
  <si>
    <t>ENE Drip</t>
  </si>
  <si>
    <t>Options</t>
  </si>
  <si>
    <t>ENE Phantom</t>
  </si>
  <si>
    <t>Stock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</si>
  <si>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</si>
  <si>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</si>
  <si>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</si>
  <si>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</si>
  <si>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</si>
  <si>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</si>
  <si>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</si>
  <si>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</si>
  <si>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</si>
  <si>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</si>
  <si>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</si>
  <si>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</si>
  <si>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Am. Century Growth</t>
  </si>
  <si>
    <t>Am. Century Vista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</si>
  <si>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</si>
  <si>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</si>
  <si>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</si>
  <si>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</si>
  <si>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</si>
  <si>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</si>
  <si>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</si>
  <si>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</si>
  <si>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</si>
  <si>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</si>
  <si>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</si>
  <si>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</si>
  <si>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</si>
  <si>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</si>
  <si>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</si>
  <si>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</si>
  <si>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</si>
  <si>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</si>
  <si>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ENE Stock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</si>
  <si>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</si>
  <si>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</si>
  <si>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</si>
  <si>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</si>
  <si>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</si>
  <si>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</si>
  <si>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</si>
  <si>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</si>
  <si>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Stock 1999  premium</t>
  </si>
  <si>
    <t>short</t>
  </si>
  <si>
    <t>equity</t>
  </si>
  <si>
    <t>Taxes Payable</t>
  </si>
  <si>
    <t>ELN</t>
  </si>
  <si>
    <t>ENE (100%) 144377</t>
  </si>
  <si>
    <t>total</t>
  </si>
  <si>
    <t>ENE (0%) 2000 LTIP  151699</t>
  </si>
  <si>
    <t>PRE TAX</t>
  </si>
  <si>
    <t>AFTER TAX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</si>
  <si>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</si>
  <si>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</si>
  <si>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</si>
  <si>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</si>
  <si>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</si>
  <si>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</si>
  <si>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</si>
  <si>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</si>
  <si>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</si>
  <si>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</si>
  <si>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</si>
  <si>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</si>
  <si>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143254                    </t>
  </si>
  <si>
    <t xml:space="preserve">ENE                                            </t>
  </si>
  <si>
    <t xml:space="preserve">ENE    jan 02 50 calls                 </t>
  </si>
  <si>
    <t xml:space="preserve">ENE    jan 02 60 calls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</si>
  <si>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</si>
  <si>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</si>
  <si>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</si>
  <si>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</si>
  <si>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</si>
  <si>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</si>
  <si>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</si>
  <si>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</si>
  <si>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</si>
  <si>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</si>
  <si>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</si>
  <si>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</si>
  <si>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</si>
  <si>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</si>
  <si>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</si>
  <si>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</si>
  <si>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>ENE  12/29/07  160388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</si>
  <si>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</si>
  <si>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</si>
  <si>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</si>
  <si>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</si>
  <si>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</si>
  <si>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Income Taxes due 2002</t>
  </si>
  <si>
    <t>Income Taxes due 2003</t>
  </si>
  <si>
    <t xml:space="preserve">ENE    jan 02 40 calls                 </t>
  </si>
  <si>
    <t xml:space="preserve">ENE    jan 02 35 calls                 </t>
  </si>
  <si>
    <t>ENE    jan 02 35 calls</t>
  </si>
  <si>
    <t>ENE  8/1/06  179507</t>
  </si>
  <si>
    <t xml:space="preserve">ENE    apr 02 35 calls                 </t>
  </si>
  <si>
    <t xml:space="preserve">ENE    jan 02 25 calls                 </t>
  </si>
  <si>
    <t>ENE 106974     97ECT   1/24/02</t>
  </si>
  <si>
    <t>Municipal Bonds</t>
  </si>
  <si>
    <t>Paine Webber</t>
  </si>
  <si>
    <t>taxes payable</t>
  </si>
  <si>
    <t>TD WATERHOUSE IRA</t>
  </si>
  <si>
    <t>Enron Cash Balance Plan</t>
  </si>
  <si>
    <t xml:space="preserve">Checking </t>
  </si>
  <si>
    <t>Total</t>
  </si>
  <si>
    <t>HDI    may 02 40 puts</t>
  </si>
  <si>
    <t>HDI    feb 02 55 calls</t>
  </si>
  <si>
    <t>Merrill Lynch IRA Rollover</t>
  </si>
  <si>
    <t>UBS Paine Webber</t>
  </si>
  <si>
    <t>SWBOT checking</t>
  </si>
  <si>
    <t>UBS Paine Webber - Carol Neal</t>
  </si>
  <si>
    <t>UGMA - Brett Neal</t>
  </si>
  <si>
    <t>UGMA - Colton Neal</t>
  </si>
  <si>
    <t xml:space="preserve"> Value</t>
  </si>
  <si>
    <t>13603 Pebblebrook</t>
  </si>
  <si>
    <t xml:space="preserve">VANGUARD </t>
  </si>
  <si>
    <t>Muni Bond Limited Term</t>
  </si>
  <si>
    <t>Loan Payable - Ford Credit</t>
  </si>
  <si>
    <t>Liabilities</t>
  </si>
  <si>
    <t>Assets</t>
  </si>
  <si>
    <t>Willis, TX property</t>
  </si>
  <si>
    <t>less real estate</t>
  </si>
  <si>
    <t>total from mm!K93</t>
  </si>
  <si>
    <t>total  (b48-b51)</t>
  </si>
  <si>
    <t>minus liabilities</t>
  </si>
  <si>
    <t>fxd income/cash</t>
  </si>
  <si>
    <t>TRW</t>
  </si>
  <si>
    <t>PG</t>
  </si>
  <si>
    <t>Mass Mutual Life Insurance</t>
  </si>
  <si>
    <t>Reliastar Life Insurance</t>
  </si>
  <si>
    <t>cash value 2175870 (250)</t>
  </si>
  <si>
    <t>cash value 2376176 (100)</t>
  </si>
  <si>
    <t>equity value 7869659  (150)</t>
  </si>
  <si>
    <t>cash value 7606954  (100)</t>
  </si>
  <si>
    <t>IBM</t>
  </si>
  <si>
    <t>INTC</t>
  </si>
  <si>
    <t>difference  $0</t>
  </si>
  <si>
    <t>BRL</t>
  </si>
  <si>
    <t>CPN</t>
  </si>
  <si>
    <t>CPN    jul 02 20 calls</t>
  </si>
  <si>
    <t>CPN    apr 02 12.50 puts</t>
  </si>
  <si>
    <t>Cypresswood</t>
  </si>
  <si>
    <t>LEN</t>
  </si>
  <si>
    <t>SLB</t>
  </si>
  <si>
    <t>HD</t>
  </si>
  <si>
    <t>T</t>
  </si>
  <si>
    <t>PSFT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</si>
</sst>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81" formatCode="#,##0.000_);\(#,##0.000\)"/>
  </numFmts>
  <fonts count="5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1" fillId="0" borderId="0" xfId="0" applyFont="1" applyAlignment="1">
      <alignment horizontal="left"/>
    </xf>
    <xf numFmtId="37" fontId="1" fillId="0" borderId="1" xfId="0" applyNumberFormat="1" applyFont="1" applyBorder="1"/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0" fontId="4" fillId="0" borderId="0" xfId="0" applyFon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5" fontId="1" fillId="0" borderId="0" xfId="0" applyNumberFormat="1" applyFont="1" applyBorder="1" applyAlignment="1">
      <alignment horizontal="center"/>
    </xf>
    <xf numFmtId="5" fontId="1" fillId="0" borderId="1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7" fontId="3" fillId="0" borderId="0" xfId="0" applyNumberFormat="1" applyFont="1"/>
    <xf numFmtId="0" fontId="3" fillId="0" borderId="0" xfId="0" applyFont="1"/>
    <xf numFmtId="3" fontId="3" fillId="0" borderId="1" xfId="0" applyNumberFormat="1" applyFont="1" applyBorder="1" applyAlignment="1">
      <alignment horizontal="center"/>
    </xf>
    <xf numFmtId="17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7" fontId="0" fillId="0" borderId="1" xfId="0" applyNumberForma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6" fontId="0" fillId="0" borderId="0" xfId="0" applyNumberFormat="1"/>
    <xf numFmtId="6" fontId="2" fillId="0" borderId="0" xfId="0" applyNumberFormat="1" applyFont="1" applyAlignment="1">
      <alignment horizontal="center"/>
    </xf>
    <xf numFmtId="6" fontId="0" fillId="0" borderId="1" xfId="0" applyNumberFormat="1" applyBorder="1"/>
    <xf numFmtId="0" fontId="2" fillId="0" borderId="1" xfId="0" applyFont="1" applyBorder="1"/>
    <xf numFmtId="0" fontId="2" fillId="0" borderId="0" xfId="0" applyFont="1" applyBorder="1"/>
    <xf numFmtId="6" fontId="1" fillId="0" borderId="0" xfId="0" applyNumberFormat="1" applyFont="1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71"/>
  <sheetViews>
    <sheetView tabSelected="1" zoomScale="85" zoomScaleNormal="85" workbookViewId="0">
      <pane xSplit="2" ySplit="3" topLeftCell="I40" activePane="bottomRight" state="frozen"/>
      <selection pane="topRight" activeCell="C1" sqref="C1"/>
      <selection pane="bottomLeft" activeCell="A4" sqref="A4"/>
      <selection pane="bottomRight" activeCell="N63" sqref="N63"/>
    </sheetView>
  </sheetViews>
  <sheetFormatPr defaultRowHeight="12.75" x14ac:dyDescent="0.2"/>
  <cols>
    <col min="1" max="1" width="25.85546875" style="2" bestFit="1" customWidth="1"/>
    <col min="2" max="2" width="28.42578125" style="2" bestFit="1" customWidth="1"/>
    <col min="3" max="3" width="14.7109375" style="12" bestFit="1" customWidth="1"/>
    <col min="4" max="4" width="11.42578125" style="12" bestFit="1" customWidth="1"/>
    <col min="5" max="6" width="10.28515625" style="4" bestFit="1" customWidth="1"/>
    <col min="7" max="8" width="18.28515625" style="6" bestFit="1" customWidth="1"/>
    <col min="9" max="9" width="8.7109375" style="4" bestFit="1" customWidth="1"/>
    <col min="10" max="10" width="14.28515625" style="6" bestFit="1" customWidth="1"/>
    <col min="11" max="11" width="14.7109375" style="6" bestFit="1" customWidth="1"/>
    <col min="12" max="12" width="2.85546875" style="3" bestFit="1" customWidth="1"/>
    <col min="13" max="13" width="14.28515625" style="43" bestFit="1" customWidth="1"/>
    <col min="14" max="14" width="13" style="43" bestFit="1" customWidth="1"/>
    <col min="15" max="15" width="13.7109375" style="4" bestFit="1" customWidth="1"/>
    <col min="16" max="16" width="13.7109375" style="2" bestFit="1" customWidth="1"/>
    <col min="17" max="16384" width="9.140625" style="2"/>
  </cols>
  <sheetData>
    <row r="1" spans="1:15" x14ac:dyDescent="0.2">
      <c r="D1" s="12" t="s">
        <v>38</v>
      </c>
      <c r="G1" s="10" t="s">
        <v>59</v>
      </c>
      <c r="H1" s="10" t="s">
        <v>60</v>
      </c>
    </row>
    <row r="2" spans="1:15" x14ac:dyDescent="0.2">
      <c r="A2" s="7"/>
      <c r="C2" s="21"/>
      <c r="D2" s="21" t="s">
        <v>41</v>
      </c>
      <c r="E2" s="9" t="s">
        <v>28</v>
      </c>
      <c r="F2" s="9" t="s">
        <v>28</v>
      </c>
      <c r="G2" s="10" t="s">
        <v>29</v>
      </c>
      <c r="H2" s="10" t="s">
        <v>29</v>
      </c>
      <c r="I2" s="9" t="s">
        <v>31</v>
      </c>
      <c r="J2" s="10"/>
      <c r="K2" s="10" t="s">
        <v>36</v>
      </c>
      <c r="L2" s="36"/>
      <c r="O2" s="43" t="s">
        <v>38</v>
      </c>
    </row>
    <row r="3" spans="1:15" x14ac:dyDescent="0.2">
      <c r="A3" s="7"/>
      <c r="B3" s="9" t="s">
        <v>39</v>
      </c>
      <c r="C3" s="21" t="s">
        <v>27</v>
      </c>
      <c r="D3" s="21" t="s">
        <v>27</v>
      </c>
      <c r="E3" s="11">
        <v>37273</v>
      </c>
      <c r="F3" s="11">
        <v>37272</v>
      </c>
      <c r="G3" s="10" t="s">
        <v>30</v>
      </c>
      <c r="H3" s="10" t="s">
        <v>30</v>
      </c>
      <c r="I3" s="9" t="s">
        <v>32</v>
      </c>
      <c r="J3" s="10" t="s">
        <v>33</v>
      </c>
      <c r="K3" s="10" t="s">
        <v>37</v>
      </c>
      <c r="L3" s="36"/>
    </row>
    <row r="4" spans="1:15" x14ac:dyDescent="0.2">
      <c r="A4" s="7"/>
      <c r="B4" s="9"/>
      <c r="C4" s="21"/>
      <c r="D4" s="21"/>
      <c r="E4" s="11"/>
      <c r="F4" s="11"/>
      <c r="G4" s="10"/>
      <c r="H4" s="10"/>
      <c r="I4" s="9"/>
      <c r="J4" s="10"/>
      <c r="K4" s="10"/>
      <c r="L4" s="36"/>
    </row>
    <row r="5" spans="1:15" x14ac:dyDescent="0.2">
      <c r="A5" s="7" t="s">
        <v>62</v>
      </c>
      <c r="B5" s="2" t="s">
        <v>64</v>
      </c>
      <c r="C5" s="43">
        <v>2399814</v>
      </c>
      <c r="D5" s="12" t="s">
        <v>38</v>
      </c>
      <c r="E5" s="1">
        <v>1</v>
      </c>
      <c r="F5" s="1">
        <v>1</v>
      </c>
      <c r="G5" s="6">
        <f>C5*(E5-F5)</f>
        <v>0</v>
      </c>
      <c r="H5" s="6">
        <f>C5*(E5-F5)</f>
        <v>0</v>
      </c>
      <c r="J5" s="6">
        <f>C5*E5</f>
        <v>2399814</v>
      </c>
      <c r="K5" s="6">
        <f>J5</f>
        <v>2399814</v>
      </c>
      <c r="L5" s="3">
        <v>1</v>
      </c>
    </row>
    <row r="6" spans="1:15" x14ac:dyDescent="0.2">
      <c r="A6" s="7" t="s">
        <v>0</v>
      </c>
      <c r="E6" s="12" t="s">
        <v>38</v>
      </c>
      <c r="F6" s="12" t="s">
        <v>38</v>
      </c>
      <c r="G6" s="1" t="s">
        <v>38</v>
      </c>
      <c r="H6" s="6" t="s">
        <v>38</v>
      </c>
      <c r="J6" s="6" t="s">
        <v>38</v>
      </c>
      <c r="K6" s="6" t="s">
        <v>38</v>
      </c>
    </row>
    <row r="7" spans="1:15" x14ac:dyDescent="0.2">
      <c r="A7" s="28" t="s">
        <v>38</v>
      </c>
      <c r="B7" s="9" t="s">
        <v>52</v>
      </c>
      <c r="C7" s="12" t="s">
        <v>38</v>
      </c>
      <c r="D7" s="42" t="s">
        <v>38</v>
      </c>
      <c r="E7" s="12" t="s">
        <v>38</v>
      </c>
      <c r="F7" s="12" t="s">
        <v>38</v>
      </c>
      <c r="G7" s="12" t="s">
        <v>38</v>
      </c>
      <c r="H7" s="6" t="s">
        <v>38</v>
      </c>
      <c r="J7" s="6" t="s">
        <v>38</v>
      </c>
      <c r="K7" s="6" t="s">
        <v>38</v>
      </c>
      <c r="O7" s="4" t="s">
        <v>38</v>
      </c>
    </row>
    <row r="8" spans="1:15" x14ac:dyDescent="0.2">
      <c r="A8" s="28" t="s">
        <v>38</v>
      </c>
      <c r="B8" s="34" t="s">
        <v>147</v>
      </c>
      <c r="C8" s="12">
        <v>-3000</v>
      </c>
      <c r="D8" s="12" t="s">
        <v>38</v>
      </c>
      <c r="E8" s="1">
        <v>78.5</v>
      </c>
      <c r="F8" s="1">
        <v>78.27</v>
      </c>
      <c r="G8" s="6">
        <f t="shared" ref="G8:G18" si="0">C8*(E8-F8)</f>
        <v>-690.00000000001194</v>
      </c>
      <c r="H8" s="6">
        <f t="shared" ref="H8:H18" si="1">C8*(E8-F8)</f>
        <v>-690.00000000001194</v>
      </c>
      <c r="J8" s="6">
        <f t="shared" ref="J8:J18" si="2">G8</f>
        <v>-690.00000000001194</v>
      </c>
      <c r="K8" s="6">
        <f t="shared" ref="K8:K24" si="3">J8</f>
        <v>-690.00000000001194</v>
      </c>
      <c r="L8" s="3">
        <v>1</v>
      </c>
      <c r="M8" s="43" t="s">
        <v>38</v>
      </c>
    </row>
    <row r="9" spans="1:15" x14ac:dyDescent="0.2">
      <c r="A9" s="28" t="s">
        <v>38</v>
      </c>
      <c r="B9" s="34" t="s">
        <v>148</v>
      </c>
      <c r="C9" s="12">
        <v>-5000</v>
      </c>
      <c r="D9" s="12" t="s">
        <v>38</v>
      </c>
      <c r="E9" s="1">
        <v>13.95</v>
      </c>
      <c r="F9" s="1">
        <v>14.94</v>
      </c>
      <c r="G9" s="6">
        <f t="shared" si="0"/>
        <v>4950.0000000000009</v>
      </c>
      <c r="H9" s="6">
        <f t="shared" si="1"/>
        <v>4950.0000000000009</v>
      </c>
      <c r="J9" s="6">
        <f t="shared" si="2"/>
        <v>4950.0000000000009</v>
      </c>
      <c r="K9" s="6">
        <f t="shared" si="3"/>
        <v>4950.0000000000009</v>
      </c>
      <c r="L9" s="3">
        <v>1</v>
      </c>
      <c r="M9" s="43" t="s">
        <v>38</v>
      </c>
    </row>
    <row r="10" spans="1:15" x14ac:dyDescent="0.2">
      <c r="A10" s="28" t="s">
        <v>38</v>
      </c>
      <c r="B10" s="34" t="s">
        <v>154</v>
      </c>
      <c r="C10" s="12">
        <v>-3000</v>
      </c>
      <c r="D10" s="12" t="s">
        <v>38</v>
      </c>
      <c r="E10" s="1">
        <v>48</v>
      </c>
      <c r="F10" s="1">
        <v>49</v>
      </c>
      <c r="G10" s="6">
        <f>C10*(E10-F10)</f>
        <v>3000</v>
      </c>
      <c r="H10" s="6">
        <f>C10*(E10-F10)</f>
        <v>3000</v>
      </c>
      <c r="J10" s="6">
        <f>G10</f>
        <v>3000</v>
      </c>
      <c r="K10" s="6">
        <f t="shared" si="3"/>
        <v>3000</v>
      </c>
      <c r="L10" s="3">
        <v>1</v>
      </c>
      <c r="M10" s="43" t="s">
        <v>38</v>
      </c>
    </row>
    <row r="11" spans="1:15" x14ac:dyDescent="0.2">
      <c r="A11" s="28" t="s">
        <v>38</v>
      </c>
      <c r="B11" s="34" t="s">
        <v>144</v>
      </c>
      <c r="C11" s="12">
        <v>-7000</v>
      </c>
      <c r="D11" s="12" t="s">
        <v>38</v>
      </c>
      <c r="E11" s="1">
        <v>119.9</v>
      </c>
      <c r="F11" s="1">
        <v>117.25</v>
      </c>
      <c r="G11" s="6">
        <f t="shared" si="0"/>
        <v>-18550.00000000004</v>
      </c>
      <c r="H11" s="6">
        <f t="shared" si="1"/>
        <v>-18550.00000000004</v>
      </c>
      <c r="J11" s="6">
        <f t="shared" si="2"/>
        <v>-18550.00000000004</v>
      </c>
      <c r="K11" s="6">
        <f t="shared" si="3"/>
        <v>-18550.00000000004</v>
      </c>
      <c r="L11" s="3">
        <v>1</v>
      </c>
      <c r="M11" s="43" t="s">
        <v>38</v>
      </c>
    </row>
    <row r="12" spans="1:15" x14ac:dyDescent="0.2">
      <c r="A12" s="28" t="s">
        <v>38</v>
      </c>
      <c r="B12" s="34" t="s">
        <v>145</v>
      </c>
      <c r="C12" s="12">
        <v>-10000</v>
      </c>
      <c r="D12" s="12" t="s">
        <v>38</v>
      </c>
      <c r="E12" s="1">
        <v>34.53</v>
      </c>
      <c r="F12" s="1">
        <v>33.71</v>
      </c>
      <c r="G12" s="6">
        <f t="shared" si="0"/>
        <v>-8200.0000000000036</v>
      </c>
      <c r="H12" s="6">
        <f t="shared" si="1"/>
        <v>-8200.0000000000036</v>
      </c>
      <c r="J12" s="6">
        <f t="shared" si="2"/>
        <v>-8200.0000000000036</v>
      </c>
      <c r="K12" s="6">
        <f t="shared" si="3"/>
        <v>-8200.0000000000036</v>
      </c>
      <c r="L12" s="3">
        <v>1</v>
      </c>
      <c r="M12" s="43" t="s">
        <v>38</v>
      </c>
    </row>
    <row r="13" spans="1:15" x14ac:dyDescent="0.2">
      <c r="A13" s="28" t="s">
        <v>38</v>
      </c>
      <c r="B13" s="34" t="s">
        <v>152</v>
      </c>
      <c r="C13" s="12">
        <v>-5000</v>
      </c>
      <c r="D13" s="12" t="s">
        <v>38</v>
      </c>
      <c r="E13" s="1">
        <v>49.7</v>
      </c>
      <c r="F13" s="1">
        <v>47.95</v>
      </c>
      <c r="G13" s="6">
        <f>C13*(E13-F13)</f>
        <v>-8750</v>
      </c>
      <c r="H13" s="6">
        <f>C13*(E13-F13)</f>
        <v>-8750</v>
      </c>
      <c r="J13" s="6">
        <f>G13</f>
        <v>-8750</v>
      </c>
      <c r="K13" s="6">
        <f t="shared" si="3"/>
        <v>-8750</v>
      </c>
      <c r="L13" s="3">
        <v>1</v>
      </c>
      <c r="M13" s="43" t="s">
        <v>38</v>
      </c>
    </row>
    <row r="14" spans="1:15" x14ac:dyDescent="0.2">
      <c r="A14" s="28" t="s">
        <v>38</v>
      </c>
      <c r="B14" s="34" t="s">
        <v>137</v>
      </c>
      <c r="C14" s="12">
        <v>-17000</v>
      </c>
      <c r="D14" s="12" t="s">
        <v>38</v>
      </c>
      <c r="E14" s="1">
        <v>79.69</v>
      </c>
      <c r="F14" s="1">
        <v>79.489999999999995</v>
      </c>
      <c r="G14" s="6">
        <f t="shared" si="0"/>
        <v>-3400.0000000000482</v>
      </c>
      <c r="H14" s="6">
        <f t="shared" si="1"/>
        <v>-3400.0000000000482</v>
      </c>
      <c r="J14" s="6">
        <f t="shared" si="2"/>
        <v>-3400.0000000000482</v>
      </c>
      <c r="K14" s="6">
        <f t="shared" si="3"/>
        <v>-3400.0000000000482</v>
      </c>
      <c r="L14" s="3">
        <v>1</v>
      </c>
      <c r="M14" s="43" t="s">
        <v>38</v>
      </c>
    </row>
    <row r="15" spans="1:15" x14ac:dyDescent="0.2">
      <c r="A15" s="28" t="s">
        <v>38</v>
      </c>
      <c r="B15" s="34" t="s">
        <v>156</v>
      </c>
      <c r="C15" s="12">
        <v>-5000</v>
      </c>
      <c r="D15" s="12" t="s">
        <v>38</v>
      </c>
      <c r="E15" s="1">
        <v>37.82</v>
      </c>
      <c r="F15" s="1">
        <v>36.75</v>
      </c>
      <c r="G15" s="6">
        <f>C15*(E15-F15)</f>
        <v>-5350.0000000000018</v>
      </c>
      <c r="H15" s="6">
        <f>C15*(E15-F15)</f>
        <v>-5350.0000000000018</v>
      </c>
      <c r="J15" s="6">
        <f>G15</f>
        <v>-5350.0000000000018</v>
      </c>
      <c r="K15" s="6">
        <f t="shared" si="3"/>
        <v>-5350.0000000000018</v>
      </c>
      <c r="L15" s="3">
        <v>2</v>
      </c>
      <c r="M15" s="43" t="s">
        <v>38</v>
      </c>
    </row>
    <row r="16" spans="1:15" x14ac:dyDescent="0.2">
      <c r="A16" s="28" t="s">
        <v>38</v>
      </c>
      <c r="B16" s="34" t="s">
        <v>153</v>
      </c>
      <c r="C16" s="12">
        <v>-5000</v>
      </c>
      <c r="D16" s="12" t="s">
        <v>38</v>
      </c>
      <c r="E16" s="1">
        <v>50</v>
      </c>
      <c r="F16" s="1">
        <v>49.8</v>
      </c>
      <c r="G16" s="6">
        <f>C16*(E16-F16)</f>
        <v>-1000.0000000000142</v>
      </c>
      <c r="H16" s="6">
        <f>C16*(E16-F16)</f>
        <v>-1000.0000000000142</v>
      </c>
      <c r="J16" s="6">
        <f>G16</f>
        <v>-1000.0000000000142</v>
      </c>
      <c r="K16" s="6">
        <f t="shared" si="3"/>
        <v>-1000.0000000000142</v>
      </c>
      <c r="L16" s="3">
        <v>1</v>
      </c>
      <c r="M16" s="43" t="s">
        <v>38</v>
      </c>
    </row>
    <row r="17" spans="1:15" x14ac:dyDescent="0.2">
      <c r="A17" s="28"/>
      <c r="B17" s="34" t="s">
        <v>155</v>
      </c>
      <c r="C17" s="12">
        <v>-1000</v>
      </c>
      <c r="D17" s="12" t="s">
        <v>38</v>
      </c>
      <c r="E17" s="1">
        <v>18.37</v>
      </c>
      <c r="F17" s="1">
        <v>18.47</v>
      </c>
      <c r="G17" s="6">
        <f>C17*(E17-F17)</f>
        <v>99.999999999997868</v>
      </c>
      <c r="H17" s="6">
        <f>C17*(E17-F17)</f>
        <v>99.999999999997868</v>
      </c>
      <c r="J17" s="6">
        <f>G17</f>
        <v>99.999999999997868</v>
      </c>
      <c r="K17" s="6">
        <f t="shared" si="3"/>
        <v>99.999999999997868</v>
      </c>
      <c r="L17" s="3">
        <v>2</v>
      </c>
      <c r="M17" s="43" t="s">
        <v>38</v>
      </c>
    </row>
    <row r="18" spans="1:15" x14ac:dyDescent="0.2">
      <c r="A18" s="28" t="s">
        <v>38</v>
      </c>
      <c r="B18" s="34" t="s">
        <v>136</v>
      </c>
      <c r="C18" s="12">
        <v>-10000</v>
      </c>
      <c r="D18" s="12" t="s">
        <v>38</v>
      </c>
      <c r="E18" s="1">
        <v>36.29</v>
      </c>
      <c r="F18" s="1">
        <v>34.82</v>
      </c>
      <c r="G18" s="6">
        <f t="shared" si="0"/>
        <v>-14699.999999999989</v>
      </c>
      <c r="H18" s="6">
        <f t="shared" si="1"/>
        <v>-14699.999999999989</v>
      </c>
      <c r="J18" s="6">
        <f t="shared" si="2"/>
        <v>-14699.999999999989</v>
      </c>
      <c r="K18" s="6">
        <f t="shared" si="3"/>
        <v>-14699.999999999989</v>
      </c>
      <c r="L18" s="3">
        <v>1</v>
      </c>
      <c r="M18" s="43" t="s">
        <v>38</v>
      </c>
    </row>
    <row r="19" spans="1:15" x14ac:dyDescent="0.2">
      <c r="A19" s="28"/>
      <c r="B19" s="9" t="s">
        <v>50</v>
      </c>
      <c r="C19" s="12" t="s">
        <v>38</v>
      </c>
      <c r="E19" s="5" t="s">
        <v>38</v>
      </c>
      <c r="F19" s="5" t="s">
        <v>38</v>
      </c>
      <c r="G19" s="5" t="s">
        <v>38</v>
      </c>
      <c r="H19" s="6" t="s">
        <v>38</v>
      </c>
      <c r="J19" s="6" t="s">
        <v>38</v>
      </c>
      <c r="K19" s="6" t="str">
        <f t="shared" si="3"/>
        <v xml:space="preserve"> </v>
      </c>
    </row>
    <row r="20" spans="1:15" x14ac:dyDescent="0.2">
      <c r="A20" s="28" t="s">
        <v>38</v>
      </c>
      <c r="B20" s="2" t="s">
        <v>103</v>
      </c>
      <c r="C20" s="12">
        <v>-19000</v>
      </c>
      <c r="E20" s="1">
        <v>0.05</v>
      </c>
      <c r="F20" s="1">
        <v>0.05</v>
      </c>
      <c r="G20" s="6">
        <f>(E20-F20)*C20</f>
        <v>0</v>
      </c>
      <c r="H20" s="6">
        <f>C20*(E20-F20)</f>
        <v>0</v>
      </c>
      <c r="J20" s="6">
        <f>G20</f>
        <v>0</v>
      </c>
      <c r="K20" s="6">
        <f t="shared" si="3"/>
        <v>0</v>
      </c>
      <c r="L20" s="3">
        <v>1</v>
      </c>
      <c r="M20" s="43" t="s">
        <v>38</v>
      </c>
      <c r="N20" s="43" t="s">
        <v>38</v>
      </c>
    </row>
    <row r="21" spans="1:15" x14ac:dyDescent="0.2">
      <c r="A21" s="28" t="s">
        <v>38</v>
      </c>
      <c r="B21" s="2" t="s">
        <v>149</v>
      </c>
      <c r="C21" s="12">
        <v>-2000</v>
      </c>
      <c r="E21" s="1">
        <v>0.9</v>
      </c>
      <c r="F21" s="1">
        <v>1.1499999999999999</v>
      </c>
      <c r="G21" s="6">
        <f>(E21-F21)*C21</f>
        <v>499.99999999999977</v>
      </c>
      <c r="H21" s="6">
        <f>C21*(E21-F21)</f>
        <v>499.99999999999977</v>
      </c>
      <c r="J21" s="6">
        <f>G21</f>
        <v>499.99999999999977</v>
      </c>
      <c r="K21" s="6">
        <f t="shared" si="3"/>
        <v>499.99999999999977</v>
      </c>
      <c r="L21" s="3">
        <v>1</v>
      </c>
      <c r="M21" s="43" t="s">
        <v>38</v>
      </c>
      <c r="N21" s="43" t="s">
        <v>38</v>
      </c>
    </row>
    <row r="22" spans="1:15" x14ac:dyDescent="0.2">
      <c r="A22" s="28" t="s">
        <v>38</v>
      </c>
      <c r="B22" s="2" t="s">
        <v>150</v>
      </c>
      <c r="C22" s="12">
        <v>2000</v>
      </c>
      <c r="E22" s="1">
        <v>1.45</v>
      </c>
      <c r="F22" s="1">
        <v>1.25</v>
      </c>
      <c r="G22" s="6">
        <f>(E22-F22)*C22</f>
        <v>399.99999999999989</v>
      </c>
      <c r="H22" s="6">
        <f>C22*(E22-F22)</f>
        <v>399.99999999999989</v>
      </c>
      <c r="J22" s="6">
        <f>G22</f>
        <v>399.99999999999989</v>
      </c>
      <c r="K22" s="6">
        <f t="shared" si="3"/>
        <v>399.99999999999989</v>
      </c>
      <c r="L22" s="3">
        <v>1</v>
      </c>
      <c r="M22" s="43" t="s">
        <v>38</v>
      </c>
      <c r="N22" s="43" t="s">
        <v>38</v>
      </c>
    </row>
    <row r="23" spans="1:15" x14ac:dyDescent="0.2">
      <c r="A23" s="28" t="s">
        <v>38</v>
      </c>
      <c r="B23" s="2" t="s">
        <v>116</v>
      </c>
      <c r="C23" s="12">
        <v>-1000</v>
      </c>
      <c r="E23" s="1">
        <v>2.0499999999999998</v>
      </c>
      <c r="F23" s="1">
        <v>1.85</v>
      </c>
      <c r="G23" s="6">
        <f>(E23-F23)*C23</f>
        <v>-199.99999999999974</v>
      </c>
      <c r="H23" s="6">
        <f>C23*(E23-F23)</f>
        <v>-199.99999999999974</v>
      </c>
      <c r="J23" s="6">
        <f>G23</f>
        <v>-199.99999999999974</v>
      </c>
      <c r="K23" s="6">
        <f t="shared" si="3"/>
        <v>-199.99999999999974</v>
      </c>
      <c r="L23" s="3">
        <v>1</v>
      </c>
      <c r="M23" s="43" t="s">
        <v>38</v>
      </c>
      <c r="N23" s="43" t="s">
        <v>38</v>
      </c>
    </row>
    <row r="24" spans="1:15" x14ac:dyDescent="0.2">
      <c r="A24" s="28" t="s">
        <v>38</v>
      </c>
      <c r="B24" s="2" t="s">
        <v>115</v>
      </c>
      <c r="C24" s="12">
        <v>1000</v>
      </c>
      <c r="E24" s="1">
        <v>0.8</v>
      </c>
      <c r="F24" s="1">
        <v>0.8</v>
      </c>
      <c r="G24" s="6">
        <f>(E24-F24)*C24</f>
        <v>0</v>
      </c>
      <c r="H24" s="6">
        <f>C24*(E24-F24)</f>
        <v>0</v>
      </c>
      <c r="J24" s="6">
        <f>G24</f>
        <v>0</v>
      </c>
      <c r="K24" s="6">
        <f t="shared" si="3"/>
        <v>0</v>
      </c>
      <c r="L24" s="3">
        <v>1</v>
      </c>
      <c r="M24" s="43" t="s">
        <v>38</v>
      </c>
      <c r="N24" s="43" t="s">
        <v>38</v>
      </c>
    </row>
    <row r="25" spans="1:15" x14ac:dyDescent="0.2">
      <c r="A25" s="28"/>
      <c r="E25" s="1" t="s">
        <v>38</v>
      </c>
      <c r="F25" s="1" t="s">
        <v>38</v>
      </c>
      <c r="M25" s="43" t="s">
        <v>38</v>
      </c>
    </row>
    <row r="26" spans="1:15" x14ac:dyDescent="0.2">
      <c r="A26" s="7"/>
      <c r="B26" s="2" t="s">
        <v>49</v>
      </c>
      <c r="C26" s="12">
        <v>0</v>
      </c>
      <c r="D26" s="12" t="s">
        <v>38</v>
      </c>
      <c r="E26" s="25" t="s">
        <v>38</v>
      </c>
      <c r="F26" s="25" t="s">
        <v>38</v>
      </c>
      <c r="G26" s="6" t="s">
        <v>38</v>
      </c>
      <c r="J26" s="6">
        <f>+C26</f>
        <v>0</v>
      </c>
      <c r="K26" s="6">
        <f>J26</f>
        <v>0</v>
      </c>
      <c r="L26" s="3">
        <v>1</v>
      </c>
      <c r="M26" s="43">
        <f>SUM(K5:K26)</f>
        <v>2347924</v>
      </c>
      <c r="N26" s="43">
        <v>2347924</v>
      </c>
      <c r="O26" s="39">
        <f>M26-N26</f>
        <v>0</v>
      </c>
    </row>
    <row r="27" spans="1:15" x14ac:dyDescent="0.2">
      <c r="A27" s="7"/>
      <c r="E27" s="25"/>
      <c r="F27" s="25"/>
      <c r="G27" s="14" t="s">
        <v>38</v>
      </c>
      <c r="H27" s="14" t="s">
        <v>38</v>
      </c>
      <c r="M27" s="43" t="s">
        <v>38</v>
      </c>
    </row>
    <row r="28" spans="1:15" x14ac:dyDescent="0.2">
      <c r="A28" s="7" t="s">
        <v>111</v>
      </c>
      <c r="B28" s="2" t="s">
        <v>63</v>
      </c>
      <c r="C28" s="12">
        <v>4068.97</v>
      </c>
      <c r="D28" s="12" t="s">
        <v>38</v>
      </c>
      <c r="E28" s="1">
        <v>1</v>
      </c>
      <c r="F28" s="1">
        <v>1</v>
      </c>
      <c r="G28" s="6">
        <f>C28*(E28-F28)</f>
        <v>0</v>
      </c>
      <c r="H28" s="6">
        <f>C28*(E28-F28)</f>
        <v>0</v>
      </c>
      <c r="J28" s="6">
        <f>C28*E28</f>
        <v>4068.97</v>
      </c>
      <c r="K28" s="6">
        <f>J28</f>
        <v>4068.97</v>
      </c>
      <c r="L28" s="3">
        <v>1</v>
      </c>
      <c r="M28" s="43" t="s">
        <v>38</v>
      </c>
      <c r="N28" s="43" t="s">
        <v>38</v>
      </c>
      <c r="O28" s="4">
        <v>0.38600000000000001</v>
      </c>
    </row>
    <row r="29" spans="1:15" x14ac:dyDescent="0.2">
      <c r="A29" s="7"/>
      <c r="D29" s="12" t="s">
        <v>38</v>
      </c>
      <c r="E29" s="25"/>
      <c r="F29" s="25"/>
      <c r="G29" s="14" t="s">
        <v>38</v>
      </c>
      <c r="H29" s="14" t="s">
        <v>38</v>
      </c>
      <c r="N29" s="43" t="s">
        <v>38</v>
      </c>
    </row>
    <row r="30" spans="1:15" x14ac:dyDescent="0.2">
      <c r="A30" s="7" t="s">
        <v>1</v>
      </c>
      <c r="B30" s="34" t="s">
        <v>20</v>
      </c>
      <c r="C30" s="12">
        <v>900</v>
      </c>
      <c r="E30" s="1">
        <v>17.22</v>
      </c>
      <c r="F30" s="1">
        <v>16.579999999999998</v>
      </c>
      <c r="G30" s="6">
        <f t="shared" ref="G30:G35" si="4">C30*(E30-F30)</f>
        <v>576.00000000000045</v>
      </c>
      <c r="H30" s="6">
        <f t="shared" ref="H30:H35" si="5">C30*(E30-F30)</f>
        <v>576.00000000000045</v>
      </c>
      <c r="I30" s="1"/>
      <c r="J30" s="6">
        <f t="shared" ref="J30:J35" si="6">C30*E30</f>
        <v>15497.999999999998</v>
      </c>
      <c r="K30" s="6">
        <f t="shared" ref="K30:K35" si="7">J30</f>
        <v>15497.999999999998</v>
      </c>
      <c r="L30" s="3">
        <v>2</v>
      </c>
      <c r="M30" s="43" t="s">
        <v>38</v>
      </c>
      <c r="O30" s="39">
        <f>O26*O28</f>
        <v>0</v>
      </c>
    </row>
    <row r="31" spans="1:15" x14ac:dyDescent="0.2">
      <c r="A31" s="7" t="s">
        <v>2</v>
      </c>
      <c r="B31" s="34" t="s">
        <v>21</v>
      </c>
      <c r="C31" s="12">
        <v>100</v>
      </c>
      <c r="E31" s="1">
        <v>17.399999999999999</v>
      </c>
      <c r="F31" s="1">
        <v>17.170000000000002</v>
      </c>
      <c r="G31" s="6">
        <f t="shared" si="4"/>
        <v>22.999999999999687</v>
      </c>
      <c r="H31" s="6">
        <f t="shared" si="5"/>
        <v>22.999999999999687</v>
      </c>
      <c r="I31" s="1"/>
      <c r="J31" s="6">
        <f t="shared" si="6"/>
        <v>1739.9999999999998</v>
      </c>
      <c r="K31" s="6">
        <f t="shared" si="7"/>
        <v>1739.9999999999998</v>
      </c>
      <c r="L31" s="3">
        <v>2</v>
      </c>
      <c r="M31" s="43" t="s">
        <v>38</v>
      </c>
    </row>
    <row r="32" spans="1:15" x14ac:dyDescent="0.2">
      <c r="A32" s="7" t="s">
        <v>3</v>
      </c>
      <c r="B32" s="34" t="s">
        <v>55</v>
      </c>
      <c r="C32" s="12">
        <v>83</v>
      </c>
      <c r="D32" s="12" t="s">
        <v>38</v>
      </c>
      <c r="E32" s="1">
        <v>44.8</v>
      </c>
      <c r="F32" s="1">
        <v>44.45</v>
      </c>
      <c r="G32" s="6">
        <f t="shared" si="4"/>
        <v>29.049999999999528</v>
      </c>
      <c r="H32" s="6">
        <f t="shared" si="5"/>
        <v>29.049999999999528</v>
      </c>
      <c r="I32" s="1"/>
      <c r="J32" s="6">
        <f t="shared" si="6"/>
        <v>3718.3999999999996</v>
      </c>
      <c r="K32" s="6">
        <f t="shared" si="7"/>
        <v>3718.3999999999996</v>
      </c>
      <c r="L32" s="3">
        <v>2</v>
      </c>
      <c r="M32" s="43" t="s">
        <v>38</v>
      </c>
    </row>
    <row r="33" spans="1:14" x14ac:dyDescent="0.2">
      <c r="A33" s="7"/>
      <c r="B33" s="34" t="s">
        <v>40</v>
      </c>
      <c r="C33" s="12">
        <v>169</v>
      </c>
      <c r="E33" s="1">
        <v>14.2</v>
      </c>
      <c r="F33" s="1">
        <v>14.1</v>
      </c>
      <c r="G33" s="6">
        <f t="shared" si="4"/>
        <v>16.899999999999942</v>
      </c>
      <c r="H33" s="6">
        <f t="shared" si="5"/>
        <v>16.899999999999942</v>
      </c>
      <c r="I33" s="1"/>
      <c r="J33" s="6">
        <f t="shared" si="6"/>
        <v>2399.7999999999997</v>
      </c>
      <c r="K33" s="6">
        <f t="shared" si="7"/>
        <v>2399.7999999999997</v>
      </c>
      <c r="L33" s="3">
        <v>2</v>
      </c>
      <c r="M33" s="43" t="s">
        <v>38</v>
      </c>
    </row>
    <row r="34" spans="1:14" x14ac:dyDescent="0.2">
      <c r="A34" s="7"/>
      <c r="B34" s="34" t="s">
        <v>34</v>
      </c>
      <c r="C34" s="12">
        <v>2205.89</v>
      </c>
      <c r="D34" s="12" t="s">
        <v>38</v>
      </c>
      <c r="E34" s="1">
        <v>1</v>
      </c>
      <c r="F34" s="1">
        <v>1</v>
      </c>
      <c r="G34" s="6">
        <f t="shared" si="4"/>
        <v>0</v>
      </c>
      <c r="H34" s="6">
        <f t="shared" si="5"/>
        <v>0</v>
      </c>
      <c r="I34" s="1"/>
      <c r="J34" s="6">
        <f t="shared" si="6"/>
        <v>2205.89</v>
      </c>
      <c r="K34" s="6">
        <f t="shared" si="7"/>
        <v>2205.89</v>
      </c>
      <c r="L34" s="3">
        <v>1</v>
      </c>
      <c r="M34" s="43" t="s">
        <v>38</v>
      </c>
    </row>
    <row r="35" spans="1:14" x14ac:dyDescent="0.2">
      <c r="A35" s="7"/>
      <c r="B35" s="34" t="s">
        <v>83</v>
      </c>
      <c r="C35" s="12">
        <v>826.11</v>
      </c>
      <c r="D35" s="12" t="s">
        <v>38</v>
      </c>
      <c r="E35" s="1">
        <v>1</v>
      </c>
      <c r="F35" s="1">
        <v>1</v>
      </c>
      <c r="G35" s="6">
        <f t="shared" si="4"/>
        <v>0</v>
      </c>
      <c r="H35" s="6">
        <f t="shared" si="5"/>
        <v>0</v>
      </c>
      <c r="I35" s="1"/>
      <c r="J35" s="6">
        <f t="shared" si="6"/>
        <v>826.11</v>
      </c>
      <c r="K35" s="6">
        <f t="shared" si="7"/>
        <v>826.11</v>
      </c>
      <c r="L35" s="3">
        <v>1</v>
      </c>
      <c r="M35" s="43" t="s">
        <v>38</v>
      </c>
    </row>
    <row r="36" spans="1:14" x14ac:dyDescent="0.2">
      <c r="B36" s="34" t="s">
        <v>38</v>
      </c>
      <c r="C36" s="12" t="s">
        <v>38</v>
      </c>
      <c r="D36" s="12" t="s">
        <v>38</v>
      </c>
      <c r="E36" s="2"/>
      <c r="F36" s="2"/>
      <c r="G36" s="14"/>
      <c r="H36" s="14"/>
      <c r="I36" s="2"/>
      <c r="K36" s="14"/>
      <c r="M36" s="43" t="s">
        <v>38</v>
      </c>
    </row>
    <row r="37" spans="1:14" x14ac:dyDescent="0.2">
      <c r="A37" s="7" t="s">
        <v>4</v>
      </c>
      <c r="B37" s="2" t="s">
        <v>61</v>
      </c>
      <c r="C37" s="12">
        <v>136341.46</v>
      </c>
      <c r="E37" s="1">
        <v>1</v>
      </c>
      <c r="F37" s="1">
        <v>1</v>
      </c>
      <c r="G37" s="6">
        <f>C37*(E37-F37)</f>
        <v>0</v>
      </c>
      <c r="H37" s="6">
        <f>C37*(E37-F37)</f>
        <v>0</v>
      </c>
      <c r="I37" s="3"/>
      <c r="J37" s="6">
        <f>C37*E37</f>
        <v>136341.46</v>
      </c>
      <c r="K37" s="6">
        <f>J37</f>
        <v>136341.46</v>
      </c>
      <c r="L37" s="3">
        <v>1</v>
      </c>
      <c r="M37" s="43" t="s">
        <v>38</v>
      </c>
    </row>
    <row r="38" spans="1:14" x14ac:dyDescent="0.2">
      <c r="A38" s="23" t="s">
        <v>38</v>
      </c>
      <c r="B38" s="2" t="s">
        <v>38</v>
      </c>
      <c r="C38" s="40" t="s">
        <v>38</v>
      </c>
      <c r="E38" s="1" t="s">
        <v>38</v>
      </c>
      <c r="F38" s="1" t="s">
        <v>38</v>
      </c>
      <c r="G38" s="2" t="s">
        <v>38</v>
      </c>
      <c r="H38" s="6" t="s">
        <v>38</v>
      </c>
      <c r="I38" s="3"/>
      <c r="J38" s="6" t="s">
        <v>38</v>
      </c>
      <c r="K38" s="14" t="s">
        <v>38</v>
      </c>
      <c r="M38" s="43" t="s">
        <v>38</v>
      </c>
    </row>
    <row r="39" spans="1:14" x14ac:dyDescent="0.2">
      <c r="A39" s="7" t="s">
        <v>112</v>
      </c>
      <c r="B39" s="2" t="s">
        <v>19</v>
      </c>
      <c r="C39" s="12">
        <v>51648.45</v>
      </c>
      <c r="E39" s="1">
        <v>1</v>
      </c>
      <c r="F39" s="1">
        <v>1</v>
      </c>
      <c r="G39" s="6">
        <f>C39*(E39-F39)</f>
        <v>0</v>
      </c>
      <c r="H39" s="6">
        <f>C39*(E39-F39)</f>
        <v>0</v>
      </c>
      <c r="I39" s="3"/>
      <c r="J39" s="6">
        <f>C39*E39</f>
        <v>51648.45</v>
      </c>
      <c r="K39" s="6">
        <f>J39</f>
        <v>51648.45</v>
      </c>
      <c r="L39" s="3">
        <v>1</v>
      </c>
      <c r="M39" s="43" t="s">
        <v>38</v>
      </c>
    </row>
    <row r="40" spans="1:14" x14ac:dyDescent="0.2">
      <c r="A40" s="7"/>
      <c r="E40" s="1"/>
      <c r="F40" s="1"/>
      <c r="I40" s="3"/>
    </row>
    <row r="41" spans="1:14" x14ac:dyDescent="0.2">
      <c r="A41" s="7" t="s">
        <v>109</v>
      </c>
      <c r="B41" s="2" t="s">
        <v>19</v>
      </c>
      <c r="C41" s="43">
        <v>0</v>
      </c>
      <c r="D41" s="12" t="s">
        <v>38</v>
      </c>
      <c r="E41" s="1">
        <v>1</v>
      </c>
      <c r="F41" s="1">
        <v>1</v>
      </c>
      <c r="G41" s="6">
        <f>C41*(E41-F41)</f>
        <v>0</v>
      </c>
      <c r="H41" s="6">
        <f t="shared" ref="H41:H56" si="8">C41*(E41-F41)</f>
        <v>0</v>
      </c>
      <c r="I41" s="1"/>
      <c r="J41" s="6">
        <f>C41*E41</f>
        <v>0</v>
      </c>
      <c r="K41" s="6">
        <f t="shared" ref="K41:K59" si="9">J41</f>
        <v>0</v>
      </c>
      <c r="L41" s="3">
        <v>1</v>
      </c>
    </row>
    <row r="42" spans="1:14" x14ac:dyDescent="0.2">
      <c r="A42" s="7" t="s">
        <v>38</v>
      </c>
      <c r="B42" s="2" t="s">
        <v>108</v>
      </c>
      <c r="C42" s="43">
        <v>3173904.21</v>
      </c>
      <c r="D42" s="12" t="s">
        <v>38</v>
      </c>
      <c r="E42" s="1">
        <v>1</v>
      </c>
      <c r="F42" s="1">
        <v>1</v>
      </c>
      <c r="G42" s="6">
        <f>C42*(E42-F42)</f>
        <v>0</v>
      </c>
      <c r="H42" s="6">
        <f t="shared" si="8"/>
        <v>0</v>
      </c>
      <c r="I42" s="1"/>
      <c r="J42" s="6">
        <f>C42*E42</f>
        <v>3173904.21</v>
      </c>
      <c r="K42" s="6">
        <f t="shared" si="9"/>
        <v>3173904.21</v>
      </c>
      <c r="L42" s="3">
        <v>1</v>
      </c>
    </row>
    <row r="43" spans="1:14" x14ac:dyDescent="0.2">
      <c r="A43" s="28" t="s">
        <v>38</v>
      </c>
      <c r="B43" s="2" t="s">
        <v>106</v>
      </c>
      <c r="C43" s="12">
        <v>-5000</v>
      </c>
      <c r="D43" s="12" t="s">
        <v>38</v>
      </c>
      <c r="E43" s="1">
        <v>0.05</v>
      </c>
      <c r="F43" s="1">
        <v>0.05</v>
      </c>
      <c r="G43" s="6">
        <f t="shared" ref="G43:G56" si="10">(E43-F43)*C43</f>
        <v>0</v>
      </c>
      <c r="H43" s="6">
        <f t="shared" si="8"/>
        <v>0</v>
      </c>
      <c r="J43" s="6">
        <f t="shared" ref="J43:J57" si="11">G43</f>
        <v>0</v>
      </c>
      <c r="K43" s="6">
        <f t="shared" si="9"/>
        <v>0</v>
      </c>
      <c r="L43" s="3">
        <v>1</v>
      </c>
      <c r="M43" s="43">
        <f t="shared" ref="M43:M56" si="12">C43*E43*-1</f>
        <v>250</v>
      </c>
    </row>
    <row r="44" spans="1:14" x14ac:dyDescent="0.2">
      <c r="A44" s="28" t="s">
        <v>38</v>
      </c>
      <c r="B44" s="2" t="s">
        <v>102</v>
      </c>
      <c r="C44" s="12">
        <v>-15000</v>
      </c>
      <c r="D44" s="12" t="s">
        <v>38</v>
      </c>
      <c r="E44" s="1">
        <v>0.05</v>
      </c>
      <c r="F44" s="1">
        <v>0.05</v>
      </c>
      <c r="G44" s="6">
        <f t="shared" si="10"/>
        <v>0</v>
      </c>
      <c r="H44" s="6">
        <f t="shared" si="8"/>
        <v>0</v>
      </c>
      <c r="J44" s="6">
        <f t="shared" si="11"/>
        <v>0</v>
      </c>
      <c r="K44" s="6">
        <f t="shared" si="9"/>
        <v>0</v>
      </c>
      <c r="L44" s="3">
        <v>1</v>
      </c>
      <c r="M44" s="43">
        <f t="shared" si="12"/>
        <v>750</v>
      </c>
    </row>
    <row r="45" spans="1:14" x14ac:dyDescent="0.2">
      <c r="A45" s="28" t="s">
        <v>38</v>
      </c>
      <c r="B45" s="2" t="s">
        <v>101</v>
      </c>
      <c r="C45" s="12">
        <v>-7500</v>
      </c>
      <c r="D45" s="12" t="s">
        <v>38</v>
      </c>
      <c r="E45" s="1">
        <v>0.05</v>
      </c>
      <c r="F45" s="1">
        <v>0.05</v>
      </c>
      <c r="G45" s="6">
        <f t="shared" si="10"/>
        <v>0</v>
      </c>
      <c r="H45" s="6">
        <f t="shared" si="8"/>
        <v>0</v>
      </c>
      <c r="J45" s="6">
        <f t="shared" si="11"/>
        <v>0</v>
      </c>
      <c r="K45" s="6">
        <f t="shared" si="9"/>
        <v>0</v>
      </c>
      <c r="L45" s="3">
        <v>1</v>
      </c>
      <c r="M45" s="43">
        <f t="shared" si="12"/>
        <v>375</v>
      </c>
    </row>
    <row r="46" spans="1:14" x14ac:dyDescent="0.2">
      <c r="A46" s="28" t="s">
        <v>38</v>
      </c>
      <c r="B46" s="2" t="s">
        <v>75</v>
      </c>
      <c r="C46" s="12">
        <v>-5000</v>
      </c>
      <c r="D46" s="12" t="s">
        <v>38</v>
      </c>
      <c r="E46" s="1">
        <v>0.05</v>
      </c>
      <c r="F46" s="1">
        <v>0.05</v>
      </c>
      <c r="G46" s="6">
        <f t="shared" si="10"/>
        <v>0</v>
      </c>
      <c r="H46" s="6">
        <f t="shared" si="8"/>
        <v>0</v>
      </c>
      <c r="J46" s="6">
        <f t="shared" si="11"/>
        <v>0</v>
      </c>
      <c r="K46" s="6">
        <f t="shared" si="9"/>
        <v>0</v>
      </c>
      <c r="L46" s="3">
        <v>1</v>
      </c>
      <c r="M46" s="43">
        <f t="shared" si="12"/>
        <v>250</v>
      </c>
    </row>
    <row r="47" spans="1:14" x14ac:dyDescent="0.2">
      <c r="A47" s="28" t="s">
        <v>38</v>
      </c>
      <c r="B47" s="2" t="s">
        <v>76</v>
      </c>
      <c r="C47" s="12">
        <v>-15000</v>
      </c>
      <c r="D47" s="12" t="s">
        <v>38</v>
      </c>
      <c r="E47" s="1">
        <v>0.05</v>
      </c>
      <c r="F47" s="1">
        <v>0.05</v>
      </c>
      <c r="G47" s="6">
        <f t="shared" si="10"/>
        <v>0</v>
      </c>
      <c r="H47" s="6">
        <f t="shared" si="8"/>
        <v>0</v>
      </c>
      <c r="J47" s="6">
        <f t="shared" si="11"/>
        <v>0</v>
      </c>
      <c r="K47" s="6">
        <f t="shared" si="9"/>
        <v>0</v>
      </c>
      <c r="L47" s="3">
        <v>1</v>
      </c>
      <c r="M47" s="43">
        <f t="shared" si="12"/>
        <v>750</v>
      </c>
      <c r="N47" s="43" t="s">
        <v>38</v>
      </c>
    </row>
    <row r="48" spans="1:14" x14ac:dyDescent="0.2">
      <c r="A48" s="28" t="s">
        <v>38</v>
      </c>
      <c r="B48" s="2" t="s">
        <v>105</v>
      </c>
      <c r="C48" s="12">
        <v>-2500</v>
      </c>
      <c r="D48" s="12" t="s">
        <v>38</v>
      </c>
      <c r="E48" s="1">
        <v>0.05</v>
      </c>
      <c r="F48" s="1">
        <v>0.05</v>
      </c>
      <c r="G48" s="6">
        <f t="shared" si="10"/>
        <v>0</v>
      </c>
      <c r="H48" s="6">
        <f t="shared" si="8"/>
        <v>0</v>
      </c>
      <c r="J48" s="6">
        <f t="shared" si="11"/>
        <v>0</v>
      </c>
      <c r="K48" s="6">
        <f t="shared" si="9"/>
        <v>0</v>
      </c>
      <c r="L48" s="3">
        <v>1</v>
      </c>
      <c r="M48" s="43">
        <f t="shared" si="12"/>
        <v>125</v>
      </c>
      <c r="N48" s="43" t="s">
        <v>38</v>
      </c>
    </row>
    <row r="49" spans="1:18" x14ac:dyDescent="0.2">
      <c r="A49" s="28" t="s">
        <v>38</v>
      </c>
      <c r="B49" s="2" t="s">
        <v>92</v>
      </c>
      <c r="C49" s="12">
        <v>-5000</v>
      </c>
      <c r="D49" s="12" t="s">
        <v>38</v>
      </c>
      <c r="E49" s="1">
        <v>0.05</v>
      </c>
      <c r="F49" s="1">
        <v>0.05</v>
      </c>
      <c r="G49" s="6">
        <f t="shared" si="10"/>
        <v>0</v>
      </c>
      <c r="H49" s="6">
        <f t="shared" si="8"/>
        <v>0</v>
      </c>
      <c r="J49" s="6">
        <f t="shared" si="11"/>
        <v>0</v>
      </c>
      <c r="K49" s="6">
        <f t="shared" si="9"/>
        <v>0</v>
      </c>
      <c r="L49" s="3">
        <v>1</v>
      </c>
      <c r="M49" s="43">
        <f t="shared" si="12"/>
        <v>250</v>
      </c>
    </row>
    <row r="50" spans="1:18" x14ac:dyDescent="0.2">
      <c r="A50" s="28" t="s">
        <v>38</v>
      </c>
      <c r="B50" s="2" t="s">
        <v>77</v>
      </c>
      <c r="C50" s="12">
        <v>-15000</v>
      </c>
      <c r="D50" s="12" t="s">
        <v>38</v>
      </c>
      <c r="E50" s="1">
        <v>0.05</v>
      </c>
      <c r="F50" s="1">
        <v>0.05</v>
      </c>
      <c r="G50" s="6">
        <f t="shared" si="10"/>
        <v>0</v>
      </c>
      <c r="H50" s="6">
        <f t="shared" si="8"/>
        <v>0</v>
      </c>
      <c r="J50" s="6">
        <f t="shared" si="11"/>
        <v>0</v>
      </c>
      <c r="K50" s="6">
        <f t="shared" si="9"/>
        <v>0</v>
      </c>
      <c r="L50" s="3">
        <v>1</v>
      </c>
      <c r="M50" s="43">
        <f t="shared" si="12"/>
        <v>750</v>
      </c>
      <c r="O50" s="4" t="s">
        <v>38</v>
      </c>
    </row>
    <row r="51" spans="1:18" x14ac:dyDescent="0.2">
      <c r="A51" s="28" t="s">
        <v>38</v>
      </c>
      <c r="B51" s="2" t="s">
        <v>88</v>
      </c>
      <c r="C51" s="12">
        <v>-15000</v>
      </c>
      <c r="D51" s="12" t="s">
        <v>38</v>
      </c>
      <c r="E51" s="1">
        <v>0.05</v>
      </c>
      <c r="F51" s="1">
        <v>0.05</v>
      </c>
      <c r="G51" s="6">
        <f t="shared" si="10"/>
        <v>0</v>
      </c>
      <c r="H51" s="6">
        <f t="shared" si="8"/>
        <v>0</v>
      </c>
      <c r="J51" s="6">
        <f t="shared" si="11"/>
        <v>0</v>
      </c>
      <c r="K51" s="6">
        <f t="shared" si="9"/>
        <v>0</v>
      </c>
      <c r="L51" s="3">
        <v>1</v>
      </c>
      <c r="M51" s="43">
        <f t="shared" si="12"/>
        <v>750</v>
      </c>
      <c r="O51" s="4" t="s">
        <v>38</v>
      </c>
    </row>
    <row r="52" spans="1:18" x14ac:dyDescent="0.2">
      <c r="A52" s="28" t="s">
        <v>38</v>
      </c>
      <c r="B52" s="2" t="s">
        <v>78</v>
      </c>
      <c r="C52" s="12">
        <v>-10000</v>
      </c>
      <c r="D52" s="12" t="s">
        <v>38</v>
      </c>
      <c r="E52" s="1">
        <v>0.05</v>
      </c>
      <c r="F52" s="1">
        <v>0.05</v>
      </c>
      <c r="G52" s="6">
        <f t="shared" si="10"/>
        <v>0</v>
      </c>
      <c r="H52" s="6">
        <f t="shared" si="8"/>
        <v>0</v>
      </c>
      <c r="J52" s="6">
        <f t="shared" si="11"/>
        <v>0</v>
      </c>
      <c r="K52" s="6">
        <f t="shared" si="9"/>
        <v>0</v>
      </c>
      <c r="L52" s="3">
        <v>1</v>
      </c>
      <c r="M52" s="43">
        <f t="shared" si="12"/>
        <v>500</v>
      </c>
      <c r="O52" s="6" t="s">
        <v>38</v>
      </c>
    </row>
    <row r="53" spans="1:18" x14ac:dyDescent="0.2">
      <c r="A53" s="28" t="s">
        <v>38</v>
      </c>
      <c r="B53" s="2" t="s">
        <v>79</v>
      </c>
      <c r="C53" s="12">
        <v>-10000</v>
      </c>
      <c r="D53" s="12" t="s">
        <v>38</v>
      </c>
      <c r="E53" s="1">
        <v>0.05</v>
      </c>
      <c r="F53" s="1">
        <v>0.05</v>
      </c>
      <c r="G53" s="6">
        <f t="shared" si="10"/>
        <v>0</v>
      </c>
      <c r="H53" s="6">
        <f t="shared" si="8"/>
        <v>0</v>
      </c>
      <c r="J53" s="6">
        <f t="shared" si="11"/>
        <v>0</v>
      </c>
      <c r="K53" s="6">
        <f t="shared" si="9"/>
        <v>0</v>
      </c>
      <c r="L53" s="3">
        <v>1</v>
      </c>
      <c r="M53" s="43">
        <f t="shared" si="12"/>
        <v>500</v>
      </c>
      <c r="O53" s="6" t="s">
        <v>38</v>
      </c>
    </row>
    <row r="54" spans="1:18" x14ac:dyDescent="0.2">
      <c r="A54" s="28" t="s">
        <v>38</v>
      </c>
      <c r="B54" s="2" t="s">
        <v>80</v>
      </c>
      <c r="C54" s="12">
        <v>-10000</v>
      </c>
      <c r="D54" s="12" t="s">
        <v>38</v>
      </c>
      <c r="E54" s="1">
        <v>0.05</v>
      </c>
      <c r="F54" s="1">
        <v>0.05</v>
      </c>
      <c r="G54" s="6">
        <f t="shared" si="10"/>
        <v>0</v>
      </c>
      <c r="H54" s="6">
        <f t="shared" si="8"/>
        <v>0</v>
      </c>
      <c r="J54" s="6">
        <f t="shared" si="11"/>
        <v>0</v>
      </c>
      <c r="K54" s="6">
        <f t="shared" si="9"/>
        <v>0</v>
      </c>
      <c r="L54" s="3">
        <v>1</v>
      </c>
      <c r="M54" s="43">
        <f t="shared" si="12"/>
        <v>500</v>
      </c>
      <c r="O54" s="6" t="s">
        <v>38</v>
      </c>
      <c r="P54" s="2" t="s">
        <v>38</v>
      </c>
    </row>
    <row r="55" spans="1:18" x14ac:dyDescent="0.2">
      <c r="A55" s="28" t="s">
        <v>38</v>
      </c>
      <c r="B55" s="2" t="s">
        <v>81</v>
      </c>
      <c r="C55" s="12">
        <v>-10000</v>
      </c>
      <c r="D55" s="12" t="s">
        <v>38</v>
      </c>
      <c r="E55" s="1">
        <v>0.05</v>
      </c>
      <c r="F55" s="1">
        <v>0.05</v>
      </c>
      <c r="G55" s="6">
        <f t="shared" si="10"/>
        <v>0</v>
      </c>
      <c r="H55" s="6">
        <f t="shared" si="8"/>
        <v>0</v>
      </c>
      <c r="J55" s="6">
        <f t="shared" si="11"/>
        <v>0</v>
      </c>
      <c r="K55" s="6">
        <f t="shared" si="9"/>
        <v>0</v>
      </c>
      <c r="L55" s="3">
        <v>1</v>
      </c>
      <c r="M55" s="45">
        <f t="shared" si="12"/>
        <v>500</v>
      </c>
      <c r="O55" s="43" t="s">
        <v>38</v>
      </c>
    </row>
    <row r="56" spans="1:18" ht="13.5" thickBot="1" x14ac:dyDescent="0.25">
      <c r="A56" s="28" t="s">
        <v>38</v>
      </c>
      <c r="B56" s="2" t="s">
        <v>82</v>
      </c>
      <c r="C56" s="12">
        <v>-5000</v>
      </c>
      <c r="D56" s="12" t="s">
        <v>38</v>
      </c>
      <c r="E56" s="1">
        <v>0.05</v>
      </c>
      <c r="F56" s="1">
        <v>0.05</v>
      </c>
      <c r="G56" s="6">
        <f t="shared" si="10"/>
        <v>0</v>
      </c>
      <c r="H56" s="6">
        <f t="shared" si="8"/>
        <v>0</v>
      </c>
      <c r="J56" s="6">
        <f t="shared" si="11"/>
        <v>0</v>
      </c>
      <c r="K56" s="6">
        <f t="shared" si="9"/>
        <v>0</v>
      </c>
      <c r="L56" s="3">
        <v>1</v>
      </c>
      <c r="M56" s="46">
        <f t="shared" si="12"/>
        <v>250</v>
      </c>
      <c r="N56" s="43">
        <v>0</v>
      </c>
      <c r="O56" s="43">
        <v>3173904.21</v>
      </c>
    </row>
    <row r="57" spans="1:18" x14ac:dyDescent="0.2">
      <c r="A57" s="7" t="s">
        <v>38</v>
      </c>
      <c r="C57" s="27" t="s">
        <v>38</v>
      </c>
      <c r="D57" s="12" t="s">
        <v>38</v>
      </c>
      <c r="E57" s="1"/>
      <c r="F57" s="1"/>
      <c r="G57" s="6" t="s">
        <v>38</v>
      </c>
      <c r="H57" s="6" t="s">
        <v>38</v>
      </c>
      <c r="I57" s="1"/>
      <c r="J57" s="6" t="str">
        <f t="shared" si="11"/>
        <v xml:space="preserve"> </v>
      </c>
      <c r="K57" s="6" t="str">
        <f t="shared" si="9"/>
        <v xml:space="preserve"> </v>
      </c>
      <c r="M57" s="43">
        <f>SUM(M43:M56)</f>
        <v>6500</v>
      </c>
      <c r="N57" s="43">
        <f>SUM(H41:H56)</f>
        <v>0</v>
      </c>
      <c r="O57" s="43">
        <f>SUM(K41:K56)</f>
        <v>3173904.21</v>
      </c>
      <c r="P57" s="2" t="s">
        <v>38</v>
      </c>
      <c r="R57" s="43" t="s">
        <v>38</v>
      </c>
    </row>
    <row r="58" spans="1:18" x14ac:dyDescent="0.2">
      <c r="A58" s="7" t="s">
        <v>109</v>
      </c>
      <c r="B58" s="2" t="s">
        <v>44</v>
      </c>
      <c r="C58" s="12">
        <v>387</v>
      </c>
      <c r="D58" s="12" t="s">
        <v>38</v>
      </c>
      <c r="E58" s="15">
        <v>38.75</v>
      </c>
      <c r="F58" s="15">
        <v>37.67</v>
      </c>
      <c r="G58" s="6">
        <f>C58*(E58-F58)</f>
        <v>417.95999999999935</v>
      </c>
      <c r="H58" s="6">
        <f>C58*(E58-F58)</f>
        <v>417.95999999999935</v>
      </c>
      <c r="I58" s="1"/>
      <c r="J58" s="6">
        <f>C58*E58</f>
        <v>14996.25</v>
      </c>
      <c r="K58" s="6">
        <f t="shared" si="9"/>
        <v>14996.25</v>
      </c>
      <c r="L58" s="3">
        <v>2</v>
      </c>
      <c r="M58" s="43" t="s">
        <v>38</v>
      </c>
    </row>
    <row r="59" spans="1:18" x14ac:dyDescent="0.2">
      <c r="A59" s="7" t="s">
        <v>38</v>
      </c>
      <c r="B59" s="2" t="s">
        <v>19</v>
      </c>
      <c r="C59" s="12">
        <v>201.83</v>
      </c>
      <c r="D59" s="12" t="s">
        <v>38</v>
      </c>
      <c r="E59" s="1">
        <v>1</v>
      </c>
      <c r="F59" s="1">
        <v>1</v>
      </c>
      <c r="G59" s="6">
        <f>C59*(E59-F59)</f>
        <v>0</v>
      </c>
      <c r="H59" s="6">
        <f>C59*(E59-F59)</f>
        <v>0</v>
      </c>
      <c r="I59" s="1"/>
      <c r="J59" s="6">
        <f>C59*E59</f>
        <v>201.83</v>
      </c>
      <c r="K59" s="6">
        <f t="shared" si="9"/>
        <v>201.83</v>
      </c>
      <c r="L59" s="3">
        <v>1</v>
      </c>
    </row>
    <row r="60" spans="1:18" x14ac:dyDescent="0.2">
      <c r="A60" s="7" t="s">
        <v>38</v>
      </c>
      <c r="B60" s="4" t="s">
        <v>38</v>
      </c>
      <c r="C60" s="12" t="s">
        <v>38</v>
      </c>
      <c r="D60" s="12" t="s">
        <v>38</v>
      </c>
      <c r="E60" s="1" t="s">
        <v>38</v>
      </c>
      <c r="F60" s="1" t="s">
        <v>38</v>
      </c>
      <c r="H60" s="6" t="s">
        <v>38</v>
      </c>
      <c r="I60" s="3"/>
      <c r="K60" s="14"/>
      <c r="O60" s="43" t="s">
        <v>38</v>
      </c>
    </row>
    <row r="61" spans="1:18" x14ac:dyDescent="0.2">
      <c r="A61" s="7" t="s">
        <v>125</v>
      </c>
      <c r="B61" s="2" t="s">
        <v>126</v>
      </c>
      <c r="C61" s="12">
        <v>19931.455999999998</v>
      </c>
      <c r="D61" s="12" t="s">
        <v>38</v>
      </c>
      <c r="E61" s="1">
        <v>10.97</v>
      </c>
      <c r="F61" s="1">
        <v>10.98</v>
      </c>
      <c r="G61" s="6">
        <f>C61*(E61-F61)</f>
        <v>-199.31455999999574</v>
      </c>
      <c r="H61" s="6">
        <f>C61*(E61-F61)</f>
        <v>-199.31455999999574</v>
      </c>
      <c r="I61" s="1" t="s">
        <v>38</v>
      </c>
      <c r="J61" s="6">
        <f>C61*E61</f>
        <v>218648.07232000001</v>
      </c>
      <c r="K61" s="6">
        <f>J61</f>
        <v>218648.07232000001</v>
      </c>
      <c r="L61" s="3">
        <v>1</v>
      </c>
    </row>
    <row r="62" spans="1:18" x14ac:dyDescent="0.2">
      <c r="A62" s="7"/>
      <c r="E62" s="2"/>
      <c r="F62" s="2"/>
      <c r="G62" s="14"/>
      <c r="H62" s="6" t="s">
        <v>38</v>
      </c>
      <c r="I62" s="2" t="s">
        <v>38</v>
      </c>
      <c r="K62" s="6" t="s">
        <v>38</v>
      </c>
      <c r="M62" s="43" t="s">
        <v>38</v>
      </c>
    </row>
    <row r="63" spans="1:18" x14ac:dyDescent="0.2">
      <c r="A63" s="7" t="s">
        <v>10</v>
      </c>
      <c r="B63" s="2" t="s">
        <v>113</v>
      </c>
      <c r="C63" s="12">
        <v>20000</v>
      </c>
      <c r="E63" s="1">
        <v>1</v>
      </c>
      <c r="F63" s="1">
        <v>1</v>
      </c>
      <c r="G63" s="6">
        <f>C63*(E63-F63)</f>
        <v>0</v>
      </c>
      <c r="H63" s="6">
        <f>C63*(E63-F63)</f>
        <v>0</v>
      </c>
      <c r="I63" s="1"/>
      <c r="J63" s="6">
        <f>C63*E63</f>
        <v>20000</v>
      </c>
      <c r="K63" s="6">
        <f>J63</f>
        <v>20000</v>
      </c>
      <c r="L63" s="3">
        <v>1</v>
      </c>
    </row>
    <row r="64" spans="1:18" x14ac:dyDescent="0.2">
      <c r="E64" s="2"/>
      <c r="F64" s="2"/>
      <c r="G64" s="14"/>
      <c r="H64" s="6" t="s">
        <v>38</v>
      </c>
      <c r="I64" s="2"/>
      <c r="J64" s="6" t="s">
        <v>38</v>
      </c>
    </row>
    <row r="65" spans="1:15" x14ac:dyDescent="0.2">
      <c r="A65" s="7" t="s">
        <v>139</v>
      </c>
      <c r="B65" s="2" t="s">
        <v>140</v>
      </c>
      <c r="C65" s="12">
        <v>3829.12</v>
      </c>
      <c r="E65" s="1">
        <v>1</v>
      </c>
      <c r="F65" s="1">
        <v>1</v>
      </c>
      <c r="G65" s="6">
        <f>C65*(E65-F65)</f>
        <v>0</v>
      </c>
      <c r="H65" s="6">
        <f>C65*(E65-F65)</f>
        <v>0</v>
      </c>
      <c r="I65" s="1"/>
      <c r="J65" s="6">
        <f>C65*E65</f>
        <v>3829.12</v>
      </c>
      <c r="K65" s="6">
        <f>J65</f>
        <v>3829.12</v>
      </c>
      <c r="L65" s="3">
        <v>1</v>
      </c>
    </row>
    <row r="66" spans="1:15" x14ac:dyDescent="0.2">
      <c r="A66" s="7"/>
      <c r="B66" s="2" t="s">
        <v>141</v>
      </c>
      <c r="C66" s="12">
        <v>4769.42</v>
      </c>
      <c r="E66" s="1">
        <v>1</v>
      </c>
      <c r="F66" s="1">
        <v>1</v>
      </c>
      <c r="G66" s="6">
        <f>C66*(E66-F66)</f>
        <v>0</v>
      </c>
      <c r="H66" s="6">
        <f>C66*(E66-F66)</f>
        <v>0</v>
      </c>
      <c r="I66" s="1"/>
      <c r="J66" s="6">
        <f>C66*E66</f>
        <v>4769.42</v>
      </c>
      <c r="K66" s="6">
        <f>J66</f>
        <v>4769.42</v>
      </c>
      <c r="L66" s="3">
        <v>1</v>
      </c>
    </row>
    <row r="67" spans="1:15" x14ac:dyDescent="0.2">
      <c r="E67" s="2"/>
      <c r="F67" s="2"/>
      <c r="G67" s="14"/>
      <c r="H67" s="6" t="s">
        <v>38</v>
      </c>
      <c r="I67" s="2"/>
      <c r="K67" s="6" t="s">
        <v>38</v>
      </c>
    </row>
    <row r="68" spans="1:15" x14ac:dyDescent="0.2">
      <c r="A68" s="7" t="s">
        <v>138</v>
      </c>
      <c r="B68" s="2" t="s">
        <v>143</v>
      </c>
      <c r="C68" s="12">
        <v>9759</v>
      </c>
      <c r="E68" s="1">
        <v>1</v>
      </c>
      <c r="F68" s="1">
        <v>1</v>
      </c>
      <c r="G68" s="6">
        <f>C68*(E68-F68)</f>
        <v>0</v>
      </c>
      <c r="H68" s="6">
        <f>C68*(E68-F68)</f>
        <v>0</v>
      </c>
      <c r="I68" s="1"/>
      <c r="J68" s="6">
        <f>C68*E68</f>
        <v>9759</v>
      </c>
      <c r="K68" s="6">
        <f>J68</f>
        <v>9759</v>
      </c>
      <c r="L68" s="3">
        <v>1</v>
      </c>
      <c r="M68" s="43" t="s">
        <v>53</v>
      </c>
    </row>
    <row r="69" spans="1:15" x14ac:dyDescent="0.2">
      <c r="A69" s="7"/>
      <c r="B69" s="2" t="s">
        <v>24</v>
      </c>
      <c r="C69" s="12">
        <v>3718</v>
      </c>
      <c r="E69" s="1">
        <v>1</v>
      </c>
      <c r="F69" s="1">
        <v>1</v>
      </c>
      <c r="G69" s="6">
        <f>C69*(E69-F69)</f>
        <v>0</v>
      </c>
      <c r="H69" s="6">
        <f>C69*(E69-F69)</f>
        <v>0</v>
      </c>
      <c r="I69" s="1"/>
      <c r="J69" s="6">
        <f>C69*E69</f>
        <v>3718</v>
      </c>
      <c r="K69" s="6">
        <f>J69</f>
        <v>3718</v>
      </c>
      <c r="L69" s="3">
        <v>1</v>
      </c>
      <c r="M69" s="43">
        <f>(C8*E8)+(C9*E9)+(C10*E10)+(C11*E11)+(C12*E12)+(C13*E13)+(C14*E14)+(C15*E15)+(C16*E16)+(C17*E17)+(C18*E18)</f>
        <v>-4057450</v>
      </c>
      <c r="N69" s="24">
        <f>M69/M76</f>
        <v>-0.72427745883656147</v>
      </c>
      <c r="O69" s="4" t="s">
        <v>52</v>
      </c>
    </row>
    <row r="70" spans="1:15" x14ac:dyDescent="0.2">
      <c r="A70" s="7"/>
      <c r="B70" s="2" t="s">
        <v>25</v>
      </c>
      <c r="C70" s="12">
        <v>943</v>
      </c>
      <c r="E70" s="1">
        <v>1</v>
      </c>
      <c r="F70" s="1">
        <v>1</v>
      </c>
      <c r="G70" s="6">
        <f>C70*(E70-F70)</f>
        <v>0</v>
      </c>
      <c r="H70" s="6">
        <f>C70*(E70-F70)</f>
        <v>0</v>
      </c>
      <c r="I70" s="1"/>
      <c r="J70" s="6">
        <f>C70*E70</f>
        <v>943</v>
      </c>
      <c r="K70" s="6">
        <f>J70</f>
        <v>943</v>
      </c>
      <c r="L70" s="3">
        <v>1</v>
      </c>
      <c r="M70" s="43">
        <f>SUMIF(L5:L77,2,K5:K77)</f>
        <v>36793.292726741995</v>
      </c>
      <c r="N70" s="24">
        <f>M70/M76</f>
        <v>6.5678079972284155E-3</v>
      </c>
      <c r="O70" s="4" t="s">
        <v>18</v>
      </c>
    </row>
    <row r="71" spans="1:15" x14ac:dyDescent="0.2">
      <c r="A71" s="7"/>
      <c r="B71" s="2" t="s">
        <v>26</v>
      </c>
      <c r="C71" s="12">
        <v>1235</v>
      </c>
      <c r="E71" s="1">
        <v>1</v>
      </c>
      <c r="F71" s="1">
        <v>1</v>
      </c>
      <c r="G71" s="6">
        <f>C71*(E71-F71)</f>
        <v>0</v>
      </c>
      <c r="H71" s="6">
        <f>C71*(E71-F71)</f>
        <v>0</v>
      </c>
      <c r="I71" s="1"/>
      <c r="J71" s="6">
        <f>C71*E71</f>
        <v>1235</v>
      </c>
      <c r="K71" s="6">
        <f>J71</f>
        <v>1235</v>
      </c>
      <c r="L71" s="3">
        <v>1</v>
      </c>
      <c r="M71" s="43" t="s">
        <v>135</v>
      </c>
      <c r="N71" s="24"/>
      <c r="O71" s="6" t="s">
        <v>38</v>
      </c>
    </row>
    <row r="72" spans="1:15" x14ac:dyDescent="0.2">
      <c r="A72" s="7"/>
      <c r="B72" s="2" t="s">
        <v>142</v>
      </c>
      <c r="C72" s="12">
        <v>2336.7069999999999</v>
      </c>
      <c r="D72" s="12" t="s">
        <v>38</v>
      </c>
      <c r="E72" s="1">
        <v>1.5795060000000001</v>
      </c>
      <c r="F72" s="1">
        <v>1.5795060000000001</v>
      </c>
      <c r="G72" s="6">
        <f>C72*(E72-F72)</f>
        <v>0</v>
      </c>
      <c r="H72" s="6">
        <f>C72*(E72-F72)</f>
        <v>0</v>
      </c>
      <c r="I72" s="1"/>
      <c r="J72" s="6">
        <f>C72*E72</f>
        <v>3690.8427267420002</v>
      </c>
      <c r="K72" s="6">
        <f>J72</f>
        <v>3690.8427267420002</v>
      </c>
      <c r="L72" s="3">
        <v>2</v>
      </c>
      <c r="M72" s="43">
        <f>SUMIF(L5:L77,1,K5:K77)</f>
        <v>5985272.5323200002</v>
      </c>
      <c r="N72" s="24">
        <f>M72/M76</f>
        <v>1.0684045349056677</v>
      </c>
    </row>
    <row r="73" spans="1:15" x14ac:dyDescent="0.2">
      <c r="A73" s="7"/>
      <c r="E73" s="1"/>
      <c r="F73" s="1"/>
      <c r="I73" s="1"/>
      <c r="M73" s="43" t="s">
        <v>110</v>
      </c>
      <c r="N73" s="24"/>
    </row>
    <row r="74" spans="1:15" x14ac:dyDescent="0.2">
      <c r="A74" s="7" t="s">
        <v>54</v>
      </c>
      <c r="B74" s="2" t="s">
        <v>99</v>
      </c>
      <c r="C74" s="12">
        <v>-160000</v>
      </c>
      <c r="D74" s="12" t="s">
        <v>38</v>
      </c>
      <c r="E74" s="25" t="s">
        <v>38</v>
      </c>
      <c r="F74" s="25" t="s">
        <v>38</v>
      </c>
      <c r="G74" s="25" t="s">
        <v>38</v>
      </c>
      <c r="H74" s="25" t="s">
        <v>38</v>
      </c>
      <c r="J74" s="6">
        <f>+C74</f>
        <v>-160000</v>
      </c>
      <c r="K74" s="6">
        <f>J74</f>
        <v>-160000</v>
      </c>
      <c r="L74" s="3">
        <v>0</v>
      </c>
      <c r="M74" s="43">
        <f>SUM(K74:K75)</f>
        <v>-420000</v>
      </c>
      <c r="N74" s="24">
        <f>+M74/M76</f>
        <v>-7.4972342902896116E-2</v>
      </c>
    </row>
    <row r="75" spans="1:15" x14ac:dyDescent="0.2">
      <c r="A75" s="7" t="s">
        <v>38</v>
      </c>
      <c r="B75" s="2" t="s">
        <v>100</v>
      </c>
      <c r="C75" s="12">
        <v>-260000</v>
      </c>
      <c r="D75" s="12" t="s">
        <v>38</v>
      </c>
      <c r="E75" s="25" t="s">
        <v>38</v>
      </c>
      <c r="F75" s="25" t="s">
        <v>38</v>
      </c>
      <c r="G75" s="25" t="s">
        <v>38</v>
      </c>
      <c r="H75" s="25" t="s">
        <v>38</v>
      </c>
      <c r="J75" s="6">
        <f>+C75</f>
        <v>-260000</v>
      </c>
      <c r="K75" s="6">
        <f>J75</f>
        <v>-260000</v>
      </c>
      <c r="L75" s="3">
        <v>0</v>
      </c>
      <c r="M75" s="43" t="s">
        <v>57</v>
      </c>
      <c r="N75" s="24"/>
    </row>
    <row r="76" spans="1:15" x14ac:dyDescent="0.2">
      <c r="A76" s="7" t="s">
        <v>38</v>
      </c>
      <c r="L76" s="3">
        <v>0</v>
      </c>
      <c r="M76" s="43">
        <f>K79</f>
        <v>5602065.8250467423</v>
      </c>
      <c r="N76" s="24">
        <f>+M76/K79</f>
        <v>1</v>
      </c>
    </row>
    <row r="77" spans="1:15" ht="13.5" thickBot="1" x14ac:dyDescent="0.25">
      <c r="A77" s="7" t="s">
        <v>38</v>
      </c>
      <c r="B77" s="35" t="s">
        <v>38</v>
      </c>
      <c r="C77" s="22"/>
      <c r="D77" s="22" t="s">
        <v>38</v>
      </c>
      <c r="E77" s="17"/>
      <c r="F77" s="17"/>
      <c r="G77" s="18"/>
      <c r="H77" s="18"/>
      <c r="I77" s="17"/>
      <c r="J77" s="18"/>
      <c r="K77" s="18" t="s">
        <v>38</v>
      </c>
      <c r="L77" s="37"/>
      <c r="M77" s="46" t="s">
        <v>38</v>
      </c>
      <c r="N77" s="46"/>
    </row>
    <row r="78" spans="1:15" x14ac:dyDescent="0.2">
      <c r="A78" s="7"/>
      <c r="M78" s="43" t="s">
        <v>38</v>
      </c>
    </row>
    <row r="79" spans="1:15" x14ac:dyDescent="0.2">
      <c r="A79" s="7" t="s">
        <v>13</v>
      </c>
      <c r="C79" s="12" t="s">
        <v>38</v>
      </c>
      <c r="D79" s="12" t="s">
        <v>38</v>
      </c>
      <c r="G79" s="6">
        <f>SUM(G5:G77)</f>
        <v>-51026.404560000097</v>
      </c>
      <c r="H79" s="6">
        <f>SUM(H5:H77)</f>
        <v>-51026.404560000097</v>
      </c>
      <c r="J79" s="6">
        <f>SUM(J5:J77)</f>
        <v>5602065.8250467423</v>
      </c>
      <c r="K79" s="6">
        <f>SUM(K5:K77)</f>
        <v>5602065.8250467423</v>
      </c>
      <c r="M79" s="45" t="s">
        <v>38</v>
      </c>
      <c r="N79" s="47" t="s">
        <v>38</v>
      </c>
    </row>
    <row r="80" spans="1:15" ht="13.5" thickBot="1" x14ac:dyDescent="0.25">
      <c r="A80" s="7"/>
      <c r="B80" s="16"/>
      <c r="C80" s="22"/>
      <c r="D80" s="22"/>
      <c r="E80" s="17"/>
      <c r="F80" s="17"/>
      <c r="G80" s="18"/>
      <c r="H80" s="18"/>
      <c r="I80" s="17"/>
      <c r="J80" s="18"/>
      <c r="K80" s="18"/>
      <c r="L80" s="37"/>
      <c r="M80" s="46"/>
      <c r="N80" s="46"/>
    </row>
    <row r="81" spans="1:14" x14ac:dyDescent="0.2">
      <c r="A81" s="7"/>
    </row>
    <row r="82" spans="1:14" x14ac:dyDescent="0.2">
      <c r="A82" s="7" t="s">
        <v>14</v>
      </c>
      <c r="B82" s="2" t="s">
        <v>22</v>
      </c>
      <c r="C82" s="12">
        <v>1240.348</v>
      </c>
      <c r="D82" s="12" t="s">
        <v>38</v>
      </c>
      <c r="E82" s="1">
        <v>19.68</v>
      </c>
      <c r="F82" s="1">
        <v>19.39</v>
      </c>
      <c r="G82" s="6">
        <f>C82*(E82-F82)</f>
        <v>359.70091999999892</v>
      </c>
      <c r="H82" s="6">
        <f>C82*(E82-F82)</f>
        <v>359.70091999999892</v>
      </c>
      <c r="I82" s="1"/>
      <c r="J82" s="6">
        <f>C82*E82</f>
        <v>24410.048639999997</v>
      </c>
      <c r="K82" s="6">
        <f>J82</f>
        <v>24410.048639999997</v>
      </c>
      <c r="L82" s="3">
        <v>2</v>
      </c>
    </row>
    <row r="83" spans="1:14" x14ac:dyDescent="0.2">
      <c r="A83" s="7" t="s">
        <v>15</v>
      </c>
      <c r="B83" s="2" t="s">
        <v>43</v>
      </c>
      <c r="C83" s="12">
        <v>387</v>
      </c>
      <c r="D83" s="12" t="s">
        <v>38</v>
      </c>
      <c r="E83" s="1">
        <f>+E58</f>
        <v>38.75</v>
      </c>
      <c r="F83" s="1">
        <f>+F58</f>
        <v>37.67</v>
      </c>
      <c r="G83" s="6">
        <f>C83*(E83-F83)</f>
        <v>417.95999999999935</v>
      </c>
      <c r="H83" s="6">
        <f>C83*(E83-F83)</f>
        <v>417.95999999999935</v>
      </c>
      <c r="I83" s="1"/>
      <c r="J83" s="6">
        <f>C83*E83</f>
        <v>14996.25</v>
      </c>
      <c r="K83" s="6">
        <f>J83</f>
        <v>14996.25</v>
      </c>
      <c r="L83" s="3">
        <v>2</v>
      </c>
    </row>
    <row r="84" spans="1:14" x14ac:dyDescent="0.2">
      <c r="A84" s="7" t="s">
        <v>38</v>
      </c>
      <c r="B84" s="2" t="s">
        <v>19</v>
      </c>
      <c r="C84" s="12">
        <v>201.83</v>
      </c>
      <c r="D84" s="12" t="s">
        <v>38</v>
      </c>
      <c r="E84" s="1">
        <v>1</v>
      </c>
      <c r="F84" s="1">
        <v>1</v>
      </c>
      <c r="G84" s="6">
        <f>C84*(E84-F84)</f>
        <v>0</v>
      </c>
      <c r="H84" s="6">
        <f>C84*(E84-F84)</f>
        <v>0</v>
      </c>
      <c r="I84" s="1"/>
      <c r="J84" s="6">
        <f>C84*E84</f>
        <v>201.83</v>
      </c>
      <c r="K84" s="6">
        <f>J84</f>
        <v>201.83</v>
      </c>
      <c r="L84" s="3">
        <v>1</v>
      </c>
    </row>
    <row r="85" spans="1:14" x14ac:dyDescent="0.2">
      <c r="A85" s="7"/>
      <c r="E85" s="3"/>
      <c r="F85" s="3"/>
      <c r="H85" s="6" t="s">
        <v>38</v>
      </c>
      <c r="I85" s="3"/>
    </row>
    <row r="86" spans="1:14" x14ac:dyDescent="0.2">
      <c r="A86" s="7" t="s">
        <v>14</v>
      </c>
      <c r="B86" s="2" t="s">
        <v>23</v>
      </c>
      <c r="C86" s="12">
        <v>2027.146</v>
      </c>
      <c r="D86" s="12" t="s">
        <v>38</v>
      </c>
      <c r="E86" s="1">
        <v>11.08</v>
      </c>
      <c r="F86" s="1">
        <v>11.08</v>
      </c>
      <c r="G86" s="6">
        <f>C86*(E86-F86)</f>
        <v>0</v>
      </c>
      <c r="H86" s="6">
        <f>C86*(E86-F86)</f>
        <v>0</v>
      </c>
      <c r="I86" s="1"/>
      <c r="J86" s="6">
        <f>C86*E86</f>
        <v>22460.777679999999</v>
      </c>
      <c r="K86" s="6">
        <f>J86</f>
        <v>22460.777679999999</v>
      </c>
      <c r="L86" s="3">
        <v>2</v>
      </c>
    </row>
    <row r="87" spans="1:14" x14ac:dyDescent="0.2">
      <c r="A87" s="7" t="s">
        <v>16</v>
      </c>
      <c r="B87" s="2" t="s">
        <v>43</v>
      </c>
      <c r="C87" s="12">
        <v>387</v>
      </c>
      <c r="D87" s="12" t="s">
        <v>38</v>
      </c>
      <c r="E87" s="1">
        <f>+E58</f>
        <v>38.75</v>
      </c>
      <c r="F87" s="1">
        <f>+F58</f>
        <v>37.67</v>
      </c>
      <c r="G87" s="6">
        <f>C87*(E87-F87)</f>
        <v>417.95999999999935</v>
      </c>
      <c r="H87" s="6">
        <f>C87*(E87-F87)</f>
        <v>417.95999999999935</v>
      </c>
      <c r="I87" s="1"/>
      <c r="J87" s="6">
        <f>C87*E87</f>
        <v>14996.25</v>
      </c>
      <c r="K87" s="6">
        <f>J87</f>
        <v>14996.25</v>
      </c>
      <c r="L87" s="3">
        <v>2</v>
      </c>
    </row>
    <row r="88" spans="1:14" x14ac:dyDescent="0.2">
      <c r="A88" s="7" t="s">
        <v>38</v>
      </c>
      <c r="B88" s="2" t="s">
        <v>19</v>
      </c>
      <c r="C88" s="12">
        <v>201.83</v>
      </c>
      <c r="D88" s="12" t="s">
        <v>38</v>
      </c>
      <c r="E88" s="1">
        <v>1</v>
      </c>
      <c r="F88" s="1">
        <v>1</v>
      </c>
      <c r="G88" s="6">
        <f>C88*(E88-F88)</f>
        <v>0</v>
      </c>
      <c r="H88" s="6">
        <f>C88*(E88-F88)</f>
        <v>0</v>
      </c>
      <c r="I88" s="1"/>
      <c r="J88" s="6">
        <f>C88*E88</f>
        <v>201.83</v>
      </c>
      <c r="K88" s="6">
        <f>J88</f>
        <v>201.83</v>
      </c>
      <c r="L88" s="3">
        <v>1</v>
      </c>
      <c r="M88" s="43" t="s">
        <v>38</v>
      </c>
    </row>
    <row r="89" spans="1:14" x14ac:dyDescent="0.2">
      <c r="A89" s="7"/>
      <c r="E89" s="1"/>
      <c r="F89" s="1"/>
      <c r="H89" s="6" t="s">
        <v>38</v>
      </c>
      <c r="I89" s="1"/>
    </row>
    <row r="90" spans="1:14" x14ac:dyDescent="0.2">
      <c r="A90" s="7" t="s">
        <v>45</v>
      </c>
      <c r="B90" s="2" t="s">
        <v>43</v>
      </c>
      <c r="C90" s="12">
        <v>387</v>
      </c>
      <c r="D90" s="12" t="s">
        <v>38</v>
      </c>
      <c r="E90" s="1">
        <f>+E58</f>
        <v>38.75</v>
      </c>
      <c r="F90" s="1">
        <f>+F58</f>
        <v>37.67</v>
      </c>
      <c r="G90" s="6">
        <f>C90*(E90-F90)</f>
        <v>417.95999999999935</v>
      </c>
      <c r="H90" s="6">
        <f>C90*(E90-F90)</f>
        <v>417.95999999999935</v>
      </c>
      <c r="I90" s="1"/>
      <c r="J90" s="6">
        <f>C90*E90</f>
        <v>14996.25</v>
      </c>
      <c r="K90" s="6">
        <f>J90</f>
        <v>14996.25</v>
      </c>
      <c r="L90" s="3">
        <v>2</v>
      </c>
    </row>
    <row r="91" spans="1:14" x14ac:dyDescent="0.2">
      <c r="A91" s="7" t="s">
        <v>38</v>
      </c>
      <c r="B91" s="2" t="s">
        <v>19</v>
      </c>
      <c r="C91" s="12">
        <v>201.83</v>
      </c>
      <c r="D91" s="12" t="s">
        <v>38</v>
      </c>
      <c r="E91" s="1">
        <v>1</v>
      </c>
      <c r="F91" s="1">
        <v>1</v>
      </c>
      <c r="G91" s="6">
        <f>C91*(E91-F91)</f>
        <v>0</v>
      </c>
      <c r="H91" s="6">
        <f>C91*(E91-F91)</f>
        <v>0</v>
      </c>
      <c r="I91" s="1"/>
      <c r="J91" s="6">
        <f>C91*E91</f>
        <v>201.83</v>
      </c>
      <c r="K91" s="6">
        <f>J91</f>
        <v>201.83</v>
      </c>
      <c r="L91" s="3">
        <v>1</v>
      </c>
    </row>
    <row r="92" spans="1:14" ht="13.5" thickBot="1" x14ac:dyDescent="0.25">
      <c r="A92" s="7"/>
      <c r="B92" s="16"/>
      <c r="C92" s="22" t="s">
        <v>38</v>
      </c>
      <c r="D92" s="22"/>
      <c r="E92" s="17"/>
      <c r="F92" s="17"/>
      <c r="G92" s="18"/>
      <c r="H92" s="18"/>
      <c r="I92" s="17"/>
      <c r="J92" s="18"/>
      <c r="K92" s="33"/>
      <c r="L92" s="37"/>
      <c r="M92" s="46"/>
      <c r="N92" s="46"/>
    </row>
    <row r="93" spans="1:14" x14ac:dyDescent="0.2">
      <c r="A93" s="7"/>
      <c r="C93" s="12" t="s">
        <v>38</v>
      </c>
      <c r="M93" s="43" t="s">
        <v>38</v>
      </c>
    </row>
    <row r="94" spans="1:14" x14ac:dyDescent="0.2">
      <c r="A94" s="7" t="s">
        <v>13</v>
      </c>
      <c r="B94" s="27" t="s">
        <v>38</v>
      </c>
      <c r="C94" s="12" t="s">
        <v>38</v>
      </c>
      <c r="D94" s="12" t="s">
        <v>38</v>
      </c>
      <c r="G94" s="6">
        <f>SUM(G79:G92)</f>
        <v>-49412.823640000104</v>
      </c>
      <c r="H94" s="6">
        <f>SUM(H79:H92)</f>
        <v>-49412.823640000104</v>
      </c>
      <c r="J94" s="6">
        <f>SUM(J79:J92)</f>
        <v>5694530.8913667426</v>
      </c>
      <c r="K94" s="6">
        <f>SUM(K79:K92)</f>
        <v>5694530.8913667426</v>
      </c>
      <c r="M94" s="45" t="str">
        <f>M79</f>
        <v xml:space="preserve"> </v>
      </c>
      <c r="N94" s="47" t="s">
        <v>38</v>
      </c>
    </row>
    <row r="95" spans="1:14" ht="13.5" thickBot="1" x14ac:dyDescent="0.25">
      <c r="A95" s="7"/>
      <c r="B95" s="16"/>
      <c r="C95" s="22"/>
      <c r="D95" s="22"/>
      <c r="E95" s="17"/>
      <c r="F95" s="17"/>
      <c r="G95" s="18"/>
      <c r="H95" s="18"/>
      <c r="I95" s="17"/>
      <c r="J95" s="18"/>
      <c r="K95" s="18"/>
      <c r="L95" s="37"/>
      <c r="M95" s="46"/>
      <c r="N95" s="46"/>
    </row>
    <row r="96" spans="1:14" x14ac:dyDescent="0.2">
      <c r="A96" s="7"/>
    </row>
    <row r="97" spans="2:13" x14ac:dyDescent="0.2">
      <c r="B97" s="41" t="s">
        <v>38</v>
      </c>
      <c r="D97" s="12" t="s">
        <v>38</v>
      </c>
      <c r="E97" s="26" t="s">
        <v>38</v>
      </c>
      <c r="F97" s="26" t="s">
        <v>38</v>
      </c>
      <c r="G97" s="2"/>
      <c r="H97" s="2" t="s">
        <v>38</v>
      </c>
      <c r="I97" s="2"/>
      <c r="K97" s="14"/>
      <c r="L97" s="38"/>
      <c r="M97" s="44"/>
    </row>
    <row r="98" spans="2:13" x14ac:dyDescent="0.2">
      <c r="B98" s="41" t="s">
        <v>38</v>
      </c>
      <c r="D98" s="12" t="s">
        <v>38</v>
      </c>
      <c r="E98" s="26" t="s">
        <v>38</v>
      </c>
      <c r="F98" s="26" t="s">
        <v>38</v>
      </c>
      <c r="G98" s="2"/>
      <c r="H98" s="2" t="s">
        <v>38</v>
      </c>
      <c r="I98" s="2"/>
      <c r="K98" s="14" t="s">
        <v>38</v>
      </c>
      <c r="L98" s="38"/>
      <c r="M98" s="44"/>
    </row>
    <row r="99" spans="2:13" x14ac:dyDescent="0.2">
      <c r="B99" s="41" t="s">
        <v>38</v>
      </c>
      <c r="D99" s="12" t="s">
        <v>38</v>
      </c>
      <c r="E99" s="26" t="s">
        <v>38</v>
      </c>
      <c r="F99" s="26" t="s">
        <v>38</v>
      </c>
      <c r="G99" s="2"/>
      <c r="H99" s="2" t="s">
        <v>38</v>
      </c>
      <c r="I99" s="2"/>
      <c r="J99" s="6" t="s">
        <v>38</v>
      </c>
      <c r="K99" s="14"/>
      <c r="L99" s="38"/>
      <c r="M99" s="44"/>
    </row>
    <row r="100" spans="2:13" x14ac:dyDescent="0.2">
      <c r="B100" s="41" t="s">
        <v>38</v>
      </c>
      <c r="D100" s="12" t="s">
        <v>38</v>
      </c>
      <c r="E100" s="26" t="s">
        <v>38</v>
      </c>
      <c r="F100" s="26" t="s">
        <v>38</v>
      </c>
      <c r="G100" s="2"/>
      <c r="H100" s="2" t="s">
        <v>38</v>
      </c>
      <c r="I100" s="2"/>
      <c r="J100" s="6" t="s">
        <v>38</v>
      </c>
      <c r="K100" s="14"/>
      <c r="L100" s="38"/>
      <c r="M100" s="44"/>
    </row>
    <row r="101" spans="2:13" x14ac:dyDescent="0.2">
      <c r="B101" s="41" t="s">
        <v>38</v>
      </c>
      <c r="D101" s="12" t="s">
        <v>38</v>
      </c>
      <c r="E101" s="26" t="s">
        <v>38</v>
      </c>
      <c r="F101" s="26" t="s">
        <v>38</v>
      </c>
      <c r="G101" s="2"/>
      <c r="H101" s="2" t="s">
        <v>38</v>
      </c>
      <c r="I101" s="2"/>
      <c r="J101" s="6" t="s">
        <v>38</v>
      </c>
      <c r="K101" s="14" t="s">
        <v>38</v>
      </c>
      <c r="L101" s="38"/>
      <c r="M101" s="44"/>
    </row>
    <row r="102" spans="2:13" x14ac:dyDescent="0.2">
      <c r="B102" s="41" t="s">
        <v>38</v>
      </c>
      <c r="C102" s="12" t="s">
        <v>38</v>
      </c>
      <c r="D102" s="12" t="s">
        <v>38</v>
      </c>
      <c r="E102" s="26" t="s">
        <v>38</v>
      </c>
      <c r="F102" s="26" t="s">
        <v>38</v>
      </c>
      <c r="G102" s="2"/>
      <c r="H102" s="2" t="s">
        <v>38</v>
      </c>
      <c r="I102" s="2"/>
      <c r="J102" s="6" t="s">
        <v>38</v>
      </c>
      <c r="K102" s="14"/>
      <c r="L102" s="38"/>
      <c r="M102" s="44"/>
    </row>
    <row r="103" spans="2:13" x14ac:dyDescent="0.2">
      <c r="B103" s="41" t="s">
        <v>38</v>
      </c>
      <c r="D103" s="12" t="s">
        <v>38</v>
      </c>
      <c r="E103" s="26" t="s">
        <v>38</v>
      </c>
      <c r="F103" s="26" t="s">
        <v>38</v>
      </c>
      <c r="G103" s="2"/>
      <c r="H103" s="2" t="s">
        <v>38</v>
      </c>
      <c r="I103" s="2"/>
      <c r="K103" s="14"/>
      <c r="L103" s="38"/>
      <c r="M103" s="44"/>
    </row>
    <row r="104" spans="2:13" x14ac:dyDescent="0.2">
      <c r="B104" s="41" t="s">
        <v>38</v>
      </c>
      <c r="D104" s="12" t="s">
        <v>38</v>
      </c>
      <c r="E104" s="26" t="s">
        <v>38</v>
      </c>
      <c r="F104" s="26" t="s">
        <v>38</v>
      </c>
      <c r="G104" s="2"/>
      <c r="H104" s="2" t="s">
        <v>38</v>
      </c>
      <c r="I104" s="2"/>
      <c r="K104" s="14"/>
      <c r="L104" s="38"/>
      <c r="M104" s="44"/>
    </row>
    <row r="105" spans="2:13" x14ac:dyDescent="0.2">
      <c r="B105" s="41" t="s">
        <v>38</v>
      </c>
      <c r="D105" s="12" t="s">
        <v>38</v>
      </c>
      <c r="E105" s="26" t="s">
        <v>38</v>
      </c>
      <c r="F105" s="26" t="s">
        <v>38</v>
      </c>
      <c r="G105" s="2"/>
      <c r="H105" s="2" t="s">
        <v>38</v>
      </c>
      <c r="I105" s="2"/>
      <c r="K105" s="14"/>
      <c r="L105" s="38"/>
      <c r="M105" s="44"/>
    </row>
    <row r="106" spans="2:13" x14ac:dyDescent="0.2">
      <c r="B106" s="41" t="s">
        <v>38</v>
      </c>
      <c r="D106" s="12" t="s">
        <v>38</v>
      </c>
      <c r="E106" s="26" t="s">
        <v>38</v>
      </c>
      <c r="F106" s="26" t="s">
        <v>38</v>
      </c>
      <c r="G106" s="2"/>
      <c r="H106" s="2" t="s">
        <v>38</v>
      </c>
      <c r="I106" s="2"/>
      <c r="K106" s="14"/>
      <c r="L106" s="38"/>
      <c r="M106" s="44"/>
    </row>
    <row r="107" spans="2:13" x14ac:dyDescent="0.2">
      <c r="B107" s="41" t="s">
        <v>38</v>
      </c>
      <c r="D107" s="12" t="s">
        <v>38</v>
      </c>
      <c r="E107" s="26" t="s">
        <v>38</v>
      </c>
      <c r="F107" s="26" t="s">
        <v>38</v>
      </c>
      <c r="G107" s="2"/>
      <c r="H107" s="2" t="s">
        <v>38</v>
      </c>
      <c r="I107" s="2"/>
      <c r="K107" s="14"/>
      <c r="L107" s="38"/>
      <c r="M107" s="44"/>
    </row>
    <row r="108" spans="2:13" x14ac:dyDescent="0.2">
      <c r="B108" s="41" t="s">
        <v>38</v>
      </c>
      <c r="D108" s="12" t="s">
        <v>38</v>
      </c>
      <c r="E108" s="26" t="s">
        <v>38</v>
      </c>
      <c r="F108" s="26" t="s">
        <v>38</v>
      </c>
      <c r="G108" s="2"/>
      <c r="H108" s="2" t="s">
        <v>38</v>
      </c>
      <c r="I108" s="2"/>
      <c r="K108" s="14"/>
      <c r="L108" s="38"/>
      <c r="M108" s="44"/>
    </row>
    <row r="109" spans="2:13" x14ac:dyDescent="0.2">
      <c r="B109" s="41" t="s">
        <v>38</v>
      </c>
      <c r="D109" s="12" t="s">
        <v>38</v>
      </c>
      <c r="E109" s="26" t="s">
        <v>38</v>
      </c>
      <c r="F109" s="26" t="s">
        <v>38</v>
      </c>
      <c r="G109" s="2"/>
      <c r="H109" s="2" t="s">
        <v>38</v>
      </c>
      <c r="I109" s="2"/>
      <c r="K109" s="14"/>
      <c r="L109" s="38"/>
      <c r="M109" s="44"/>
    </row>
    <row r="110" spans="2:13" x14ac:dyDescent="0.2">
      <c r="B110" s="41" t="s">
        <v>38</v>
      </c>
      <c r="D110" s="12" t="s">
        <v>38</v>
      </c>
      <c r="E110" s="26" t="s">
        <v>38</v>
      </c>
      <c r="F110" s="26" t="s">
        <v>38</v>
      </c>
      <c r="G110" s="2"/>
      <c r="H110" s="2" t="s">
        <v>38</v>
      </c>
      <c r="I110" s="2"/>
      <c r="K110" s="14"/>
      <c r="L110" s="38"/>
      <c r="M110" s="44"/>
    </row>
    <row r="111" spans="2:13" x14ac:dyDescent="0.2">
      <c r="D111" s="12" t="s">
        <v>38</v>
      </c>
      <c r="E111" s="26" t="s">
        <v>38</v>
      </c>
      <c r="F111" s="26" t="s">
        <v>38</v>
      </c>
      <c r="G111" s="2"/>
      <c r="H111" s="2"/>
      <c r="I111" s="2"/>
      <c r="K111" s="14"/>
      <c r="L111" s="38"/>
      <c r="M111" s="44"/>
    </row>
    <row r="112" spans="2:13" x14ac:dyDescent="0.2">
      <c r="D112" s="12" t="s">
        <v>38</v>
      </c>
      <c r="E112" s="26" t="s">
        <v>38</v>
      </c>
      <c r="F112" s="26" t="s">
        <v>38</v>
      </c>
      <c r="G112" s="2"/>
      <c r="H112" s="2"/>
      <c r="I112" s="2"/>
      <c r="K112" s="14"/>
      <c r="L112" s="38"/>
      <c r="M112" s="44"/>
    </row>
    <row r="113" spans="3:13" x14ac:dyDescent="0.2">
      <c r="E113" s="2"/>
      <c r="F113" s="2"/>
      <c r="G113" s="2"/>
      <c r="H113" s="2"/>
      <c r="I113" s="2"/>
      <c r="K113" s="14"/>
      <c r="L113" s="38"/>
      <c r="M113" s="44"/>
    </row>
    <row r="114" spans="3:13" x14ac:dyDescent="0.2">
      <c r="E114" s="2"/>
      <c r="F114" s="2"/>
      <c r="G114" s="2"/>
      <c r="H114" s="2"/>
      <c r="I114" s="2"/>
      <c r="K114" s="14"/>
      <c r="L114" s="38"/>
      <c r="M114" s="44"/>
    </row>
    <row r="115" spans="3:13" x14ac:dyDescent="0.2">
      <c r="E115" s="2"/>
      <c r="F115" s="2"/>
      <c r="G115" s="2"/>
      <c r="H115" s="2"/>
      <c r="I115" s="2"/>
      <c r="K115" s="14"/>
      <c r="L115" s="38"/>
      <c r="M115" s="44"/>
    </row>
    <row r="116" spans="3:13" x14ac:dyDescent="0.2">
      <c r="E116" s="2"/>
      <c r="F116" s="2"/>
      <c r="G116" s="2" t="s">
        <v>38</v>
      </c>
      <c r="H116" s="2"/>
      <c r="I116" s="2"/>
      <c r="K116" s="14"/>
      <c r="L116" s="38"/>
      <c r="M116" s="44"/>
    </row>
    <row r="117" spans="3:13" x14ac:dyDescent="0.2">
      <c r="E117" s="2"/>
      <c r="F117" s="2"/>
      <c r="G117" s="2"/>
      <c r="H117" s="2"/>
      <c r="I117" s="2"/>
      <c r="K117" s="14"/>
      <c r="L117" s="38"/>
      <c r="M117" s="44"/>
    </row>
    <row r="118" spans="3:13" x14ac:dyDescent="0.2">
      <c r="E118" s="2"/>
      <c r="F118" s="2"/>
      <c r="G118" s="2"/>
      <c r="H118" s="2"/>
      <c r="I118" s="2"/>
      <c r="K118" s="14"/>
      <c r="L118" s="38"/>
      <c r="M118" s="44"/>
    </row>
    <row r="119" spans="3:13" x14ac:dyDescent="0.2">
      <c r="E119" s="2"/>
      <c r="F119" s="2"/>
      <c r="G119" s="2"/>
      <c r="H119" s="2"/>
      <c r="I119" s="2"/>
      <c r="K119" s="14"/>
      <c r="L119" s="38"/>
      <c r="M119" s="44"/>
    </row>
    <row r="120" spans="3:13" x14ac:dyDescent="0.2">
      <c r="E120" s="2"/>
      <c r="F120" s="2"/>
      <c r="G120" s="2"/>
      <c r="H120" s="2"/>
      <c r="I120" s="2"/>
      <c r="K120" s="14"/>
      <c r="L120" s="38"/>
      <c r="M120" s="44"/>
    </row>
    <row r="121" spans="3:13" x14ac:dyDescent="0.2">
      <c r="E121" s="2"/>
      <c r="F121" s="2"/>
      <c r="G121" s="2"/>
      <c r="H121" s="2"/>
      <c r="I121" s="2"/>
      <c r="K121" s="14"/>
      <c r="L121" s="38"/>
      <c r="M121" s="44"/>
    </row>
    <row r="122" spans="3:13" x14ac:dyDescent="0.2">
      <c r="E122" s="2"/>
      <c r="F122" s="2"/>
      <c r="G122" s="2"/>
      <c r="H122" s="2"/>
      <c r="I122" s="2"/>
      <c r="K122" s="14"/>
      <c r="L122" s="38"/>
      <c r="M122" s="44"/>
    </row>
    <row r="123" spans="3:13" x14ac:dyDescent="0.2">
      <c r="E123" s="2"/>
      <c r="F123" s="2"/>
      <c r="G123" s="2"/>
      <c r="H123" s="2"/>
      <c r="I123" s="2"/>
      <c r="K123" s="14"/>
      <c r="L123" s="38"/>
      <c r="M123" s="44"/>
    </row>
    <row r="124" spans="3:13" x14ac:dyDescent="0.2">
      <c r="E124" s="2"/>
      <c r="F124" s="2"/>
      <c r="G124" s="2"/>
      <c r="H124" s="2"/>
      <c r="I124" s="2"/>
      <c r="K124" s="14"/>
      <c r="L124" s="38"/>
      <c r="M124" s="44"/>
    </row>
    <row r="125" spans="3:13" x14ac:dyDescent="0.2">
      <c r="E125" s="2"/>
      <c r="F125" s="2"/>
      <c r="G125" s="2"/>
      <c r="H125" s="2"/>
      <c r="I125" s="2"/>
      <c r="K125" s="14"/>
      <c r="L125" s="38"/>
      <c r="M125" s="44"/>
    </row>
    <row r="126" spans="3:13" x14ac:dyDescent="0.2">
      <c r="E126" s="2"/>
      <c r="F126" s="2"/>
      <c r="G126" s="2"/>
      <c r="H126" s="2"/>
      <c r="I126" s="2"/>
      <c r="K126" s="14"/>
      <c r="L126" s="38"/>
      <c r="M126" s="44"/>
    </row>
    <row r="127" spans="3:13" x14ac:dyDescent="0.2">
      <c r="E127" s="2"/>
      <c r="F127" s="2"/>
      <c r="G127" s="2"/>
      <c r="H127" s="2"/>
      <c r="I127" s="2"/>
      <c r="K127" s="14"/>
      <c r="L127" s="38"/>
      <c r="M127" s="44"/>
    </row>
    <row r="128" spans="3:13" x14ac:dyDescent="0.2">
      <c r="C128" s="12" t="s">
        <v>38</v>
      </c>
      <c r="E128" s="2"/>
      <c r="F128" s="2"/>
      <c r="G128" s="2"/>
      <c r="H128" s="2"/>
      <c r="I128" s="2"/>
      <c r="K128" s="14"/>
      <c r="L128" s="38"/>
      <c r="M128" s="44"/>
    </row>
    <row r="129" spans="2:13" x14ac:dyDescent="0.2">
      <c r="E129" s="2"/>
      <c r="F129" s="2"/>
      <c r="G129" s="2"/>
      <c r="H129" s="2"/>
      <c r="I129" s="2"/>
      <c r="K129" s="14"/>
      <c r="L129" s="38"/>
      <c r="M129" s="44"/>
    </row>
    <row r="130" spans="2:13" x14ac:dyDescent="0.2">
      <c r="E130" s="2"/>
      <c r="F130" s="2"/>
      <c r="G130" s="2"/>
      <c r="H130" s="2"/>
      <c r="I130" s="2"/>
      <c r="K130" s="14"/>
      <c r="L130" s="38"/>
      <c r="M130" s="44"/>
    </row>
    <row r="131" spans="2:13" x14ac:dyDescent="0.2">
      <c r="E131" s="2"/>
      <c r="F131" s="2"/>
      <c r="G131" s="2"/>
      <c r="H131" s="2"/>
      <c r="I131" s="2"/>
      <c r="K131" s="14"/>
      <c r="L131" s="38"/>
      <c r="M131" s="44"/>
    </row>
    <row r="132" spans="2:13" x14ac:dyDescent="0.2">
      <c r="E132" s="2"/>
      <c r="F132" s="2"/>
      <c r="G132" s="2"/>
      <c r="H132" s="2"/>
      <c r="I132" s="2"/>
      <c r="K132" s="14"/>
      <c r="L132" s="38"/>
      <c r="M132" s="44"/>
    </row>
    <row r="133" spans="2:13" x14ac:dyDescent="0.2">
      <c r="E133" s="2"/>
      <c r="F133" s="2"/>
      <c r="G133" s="2"/>
      <c r="H133" s="2"/>
      <c r="I133" s="2"/>
      <c r="K133" s="14"/>
      <c r="L133" s="38"/>
      <c r="M133" s="44"/>
    </row>
    <row r="134" spans="2:13" x14ac:dyDescent="0.2">
      <c r="B134" s="2" t="s">
        <v>38</v>
      </c>
      <c r="E134" s="2"/>
      <c r="F134" s="2"/>
      <c r="G134" s="2"/>
      <c r="H134" s="2"/>
      <c r="I134" s="2"/>
      <c r="K134" s="14"/>
      <c r="L134" s="38"/>
      <c r="M134" s="44"/>
    </row>
    <row r="135" spans="2:13" x14ac:dyDescent="0.2">
      <c r="E135" s="2"/>
      <c r="F135" s="2"/>
      <c r="G135" s="2"/>
      <c r="H135" s="2"/>
      <c r="I135" s="2"/>
      <c r="K135" s="14"/>
      <c r="L135" s="38"/>
      <c r="M135" s="44"/>
    </row>
    <row r="136" spans="2:13" x14ac:dyDescent="0.2">
      <c r="E136" s="2"/>
      <c r="F136" s="2"/>
      <c r="G136" s="2"/>
      <c r="H136" s="2"/>
      <c r="I136" s="2"/>
      <c r="K136" s="14"/>
      <c r="L136" s="38"/>
      <c r="M136" s="44"/>
    </row>
    <row r="137" spans="2:13" x14ac:dyDescent="0.2">
      <c r="E137" s="2"/>
      <c r="F137" s="2"/>
      <c r="G137" s="2"/>
      <c r="H137" s="2"/>
      <c r="I137" s="2"/>
      <c r="K137" s="14"/>
      <c r="L137" s="38"/>
      <c r="M137" s="44"/>
    </row>
    <row r="138" spans="2:13" x14ac:dyDescent="0.2">
      <c r="E138" s="2"/>
      <c r="F138" s="2"/>
      <c r="G138" s="2"/>
      <c r="H138" s="2"/>
      <c r="I138" s="2"/>
      <c r="K138" s="14"/>
      <c r="L138" s="38"/>
      <c r="M138" s="44"/>
    </row>
    <row r="139" spans="2:13" x14ac:dyDescent="0.2">
      <c r="E139" s="2"/>
      <c r="F139" s="2"/>
      <c r="G139" s="2"/>
      <c r="H139" s="2"/>
      <c r="I139" s="2"/>
      <c r="K139" s="14"/>
      <c r="L139" s="38"/>
      <c r="M139" s="44"/>
    </row>
    <row r="140" spans="2:13" x14ac:dyDescent="0.2">
      <c r="E140" s="2"/>
      <c r="F140" s="2"/>
      <c r="G140" s="2"/>
      <c r="H140" s="2"/>
      <c r="I140" s="2"/>
      <c r="K140" s="14"/>
      <c r="L140" s="38"/>
      <c r="M140" s="44"/>
    </row>
    <row r="141" spans="2:13" x14ac:dyDescent="0.2">
      <c r="E141" s="2"/>
      <c r="F141" s="2"/>
      <c r="G141" s="2"/>
      <c r="H141" s="2"/>
      <c r="I141" s="2"/>
      <c r="K141" s="14"/>
      <c r="L141" s="38"/>
      <c r="M141" s="44"/>
    </row>
    <row r="142" spans="2:13" x14ac:dyDescent="0.2">
      <c r="E142" s="2"/>
      <c r="F142" s="2"/>
      <c r="G142" s="2"/>
      <c r="H142" s="2"/>
      <c r="I142" s="2"/>
      <c r="K142" s="14"/>
      <c r="L142" s="38"/>
      <c r="M142" s="44"/>
    </row>
    <row r="143" spans="2:13" x14ac:dyDescent="0.2">
      <c r="E143" s="2"/>
      <c r="F143" s="2"/>
      <c r="G143" s="2"/>
      <c r="H143" s="2"/>
      <c r="I143" s="2"/>
      <c r="K143" s="14"/>
      <c r="L143" s="38"/>
      <c r="M143" s="44"/>
    </row>
    <row r="144" spans="2:13" x14ac:dyDescent="0.2">
      <c r="E144" s="2"/>
      <c r="F144" s="2"/>
      <c r="G144" s="2"/>
      <c r="H144" s="2"/>
      <c r="I144" s="2"/>
      <c r="K144" s="14"/>
      <c r="L144" s="38"/>
      <c r="M144" s="44"/>
    </row>
    <row r="145" spans="5:13" x14ac:dyDescent="0.2">
      <c r="E145" s="2"/>
      <c r="F145" s="2"/>
      <c r="G145" s="2"/>
      <c r="H145" s="2"/>
      <c r="I145" s="2"/>
      <c r="K145" s="14"/>
      <c r="L145" s="38"/>
      <c r="M145" s="44"/>
    </row>
    <row r="146" spans="5:13" x14ac:dyDescent="0.2">
      <c r="E146" s="2"/>
      <c r="F146" s="2"/>
      <c r="G146" s="2"/>
      <c r="H146" s="2"/>
      <c r="I146" s="2"/>
      <c r="K146" s="14"/>
      <c r="L146" s="38"/>
      <c r="M146" s="44"/>
    </row>
    <row r="147" spans="5:13" x14ac:dyDescent="0.2">
      <c r="E147" s="2"/>
      <c r="F147" s="2"/>
      <c r="G147" s="2"/>
      <c r="H147" s="2"/>
      <c r="I147" s="2"/>
      <c r="K147" s="14"/>
      <c r="L147" s="38"/>
      <c r="M147" s="44"/>
    </row>
    <row r="148" spans="5:13" x14ac:dyDescent="0.2">
      <c r="E148" s="2"/>
      <c r="F148" s="2"/>
      <c r="G148" s="2"/>
      <c r="H148" s="2"/>
      <c r="I148" s="2"/>
      <c r="K148" s="14"/>
      <c r="L148" s="38"/>
      <c r="M148" s="44"/>
    </row>
    <row r="149" spans="5:13" x14ac:dyDescent="0.2">
      <c r="E149" s="2"/>
      <c r="F149" s="2"/>
      <c r="G149" s="2"/>
      <c r="H149" s="2"/>
      <c r="I149" s="2"/>
      <c r="K149" s="14"/>
      <c r="L149" s="38"/>
      <c r="M149" s="44"/>
    </row>
    <row r="150" spans="5:13" x14ac:dyDescent="0.2">
      <c r="E150" s="2"/>
      <c r="F150" s="2"/>
      <c r="G150" s="2"/>
      <c r="H150" s="2"/>
      <c r="I150" s="2"/>
      <c r="K150" s="14"/>
      <c r="L150" s="38"/>
      <c r="M150" s="44"/>
    </row>
    <row r="151" spans="5:13" x14ac:dyDescent="0.2">
      <c r="E151" s="2"/>
      <c r="F151" s="2"/>
      <c r="G151" s="2"/>
      <c r="H151" s="2"/>
      <c r="I151" s="2"/>
      <c r="K151" s="14"/>
      <c r="L151" s="38"/>
      <c r="M151" s="44"/>
    </row>
    <row r="152" spans="5:13" x14ac:dyDescent="0.2">
      <c r="E152" s="2"/>
      <c r="F152" s="2"/>
      <c r="G152" s="2"/>
      <c r="H152" s="2"/>
      <c r="I152" s="2"/>
      <c r="K152" s="14"/>
      <c r="L152" s="38"/>
      <c r="M152" s="44"/>
    </row>
    <row r="153" spans="5:13" x14ac:dyDescent="0.2">
      <c r="E153" s="2"/>
      <c r="F153" s="2"/>
      <c r="G153" s="2"/>
      <c r="H153" s="2"/>
      <c r="I153" s="2"/>
      <c r="K153" s="14"/>
      <c r="L153" s="38"/>
      <c r="M153" s="44"/>
    </row>
    <row r="154" spans="5:13" x14ac:dyDescent="0.2">
      <c r="E154" s="2"/>
      <c r="F154" s="2"/>
      <c r="G154" s="2"/>
      <c r="H154" s="2"/>
      <c r="I154" s="2"/>
      <c r="K154" s="14"/>
      <c r="L154" s="38"/>
      <c r="M154" s="44"/>
    </row>
    <row r="155" spans="5:13" x14ac:dyDescent="0.2">
      <c r="E155" s="2"/>
      <c r="F155" s="2"/>
      <c r="G155" s="2"/>
      <c r="H155" s="2"/>
      <c r="I155" s="2"/>
      <c r="K155" s="14"/>
      <c r="L155" s="38"/>
      <c r="M155" s="44"/>
    </row>
    <row r="156" spans="5:13" x14ac:dyDescent="0.2">
      <c r="E156" s="2"/>
      <c r="F156" s="2"/>
      <c r="G156" s="2"/>
      <c r="H156" s="2"/>
      <c r="I156" s="2"/>
      <c r="K156" s="14"/>
      <c r="L156" s="38"/>
      <c r="M156" s="44"/>
    </row>
    <row r="157" spans="5:13" x14ac:dyDescent="0.2">
      <c r="E157" s="2"/>
      <c r="F157" s="2"/>
      <c r="G157" s="2"/>
      <c r="H157" s="2"/>
      <c r="I157" s="2"/>
      <c r="K157" s="14"/>
      <c r="L157" s="38"/>
      <c r="M157" s="44"/>
    </row>
    <row r="158" spans="5:13" x14ac:dyDescent="0.2">
      <c r="E158" s="2"/>
      <c r="F158" s="2"/>
      <c r="G158" s="2"/>
      <c r="H158" s="2"/>
      <c r="I158" s="2"/>
      <c r="K158" s="14"/>
      <c r="L158" s="38"/>
      <c r="M158" s="44"/>
    </row>
    <row r="159" spans="5:13" x14ac:dyDescent="0.2">
      <c r="E159" s="2"/>
      <c r="F159" s="2"/>
      <c r="G159" s="2"/>
      <c r="H159" s="2"/>
      <c r="I159" s="2"/>
      <c r="K159" s="14"/>
      <c r="L159" s="38"/>
      <c r="M159" s="44"/>
    </row>
    <row r="160" spans="5:13" x14ac:dyDescent="0.2">
      <c r="E160" s="2"/>
      <c r="F160" s="2"/>
      <c r="G160" s="2"/>
      <c r="H160" s="2"/>
      <c r="I160" s="2"/>
      <c r="K160" s="14"/>
      <c r="L160" s="38"/>
      <c r="M160" s="44"/>
    </row>
    <row r="161" spans="5:13" x14ac:dyDescent="0.2">
      <c r="E161" s="2"/>
      <c r="F161" s="2"/>
      <c r="G161" s="2"/>
      <c r="H161" s="2"/>
      <c r="I161" s="2"/>
      <c r="K161" s="14"/>
      <c r="L161" s="38"/>
      <c r="M161" s="44"/>
    </row>
    <row r="162" spans="5:13" x14ac:dyDescent="0.2">
      <c r="E162" s="2"/>
      <c r="F162" s="2"/>
      <c r="G162" s="2"/>
      <c r="H162" s="2"/>
      <c r="I162" s="2"/>
      <c r="K162" s="14"/>
      <c r="L162" s="38"/>
      <c r="M162" s="44"/>
    </row>
    <row r="163" spans="5:13" x14ac:dyDescent="0.2">
      <c r="E163" s="2"/>
      <c r="F163" s="2"/>
      <c r="G163" s="2"/>
      <c r="H163" s="2"/>
      <c r="I163" s="2"/>
      <c r="K163" s="14"/>
      <c r="L163" s="38"/>
      <c r="M163" s="44"/>
    </row>
    <row r="164" spans="5:13" x14ac:dyDescent="0.2">
      <c r="E164" s="2"/>
      <c r="F164" s="2"/>
      <c r="G164" s="2"/>
      <c r="H164" s="2"/>
      <c r="I164" s="2"/>
      <c r="K164" s="14"/>
      <c r="L164" s="38"/>
      <c r="M164" s="44"/>
    </row>
    <row r="165" spans="5:13" x14ac:dyDescent="0.2">
      <c r="E165" s="2"/>
      <c r="F165" s="2"/>
      <c r="G165" s="2"/>
      <c r="H165" s="2"/>
      <c r="I165" s="2"/>
      <c r="K165" s="14"/>
      <c r="L165" s="38"/>
      <c r="M165" s="44"/>
    </row>
    <row r="166" spans="5:13" x14ac:dyDescent="0.2">
      <c r="E166" s="2"/>
      <c r="F166" s="2"/>
      <c r="G166" s="2"/>
      <c r="H166" s="2"/>
      <c r="I166" s="2"/>
      <c r="K166" s="14"/>
      <c r="L166" s="38"/>
      <c r="M166" s="44"/>
    </row>
    <row r="167" spans="5:13" x14ac:dyDescent="0.2">
      <c r="E167" s="2"/>
      <c r="F167" s="2"/>
      <c r="G167" s="2"/>
      <c r="H167" s="2"/>
      <c r="I167" s="2"/>
      <c r="K167" s="14"/>
      <c r="L167" s="38"/>
      <c r="M167" s="44"/>
    </row>
    <row r="168" spans="5:13" x14ac:dyDescent="0.2">
      <c r="E168" s="2"/>
      <c r="F168" s="2"/>
      <c r="G168" s="2"/>
      <c r="H168" s="2"/>
      <c r="I168" s="2"/>
      <c r="K168" s="14"/>
      <c r="L168" s="38"/>
      <c r="M168" s="44"/>
    </row>
    <row r="169" spans="5:13" x14ac:dyDescent="0.2">
      <c r="E169" s="2"/>
      <c r="F169" s="2"/>
      <c r="G169" s="2"/>
      <c r="H169" s="2"/>
      <c r="I169" s="2"/>
      <c r="K169" s="14"/>
      <c r="L169" s="38"/>
      <c r="M169" s="44"/>
    </row>
    <row r="170" spans="5:13" x14ac:dyDescent="0.2">
      <c r="E170" s="2"/>
      <c r="F170" s="2"/>
      <c r="G170" s="2"/>
      <c r="H170" s="2"/>
      <c r="I170" s="2"/>
      <c r="K170" s="14"/>
      <c r="L170" s="38"/>
      <c r="M170" s="44"/>
    </row>
    <row r="171" spans="5:13" x14ac:dyDescent="0.2">
      <c r="E171" s="2"/>
      <c r="F171" s="2"/>
      <c r="G171" s="2"/>
      <c r="H171" s="2"/>
      <c r="I171" s="2"/>
      <c r="L171" s="38"/>
      <c r="M171" s="44"/>
    </row>
  </sheetData>
  <phoneticPr fontId="0" type="noConversion"/>
  <printOptions horizontalCentered="1"/>
  <pageMargins left="0.75" right="0.75" top="0.75" bottom="0.75" header="0.5" footer="0.5"/>
  <pageSetup scale="49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topLeftCell="A33" workbookViewId="0">
      <selection activeCell="G22" sqref="G22"/>
    </sheetView>
  </sheetViews>
  <sheetFormatPr defaultRowHeight="12.75" x14ac:dyDescent="0.2"/>
  <cols>
    <col min="1" max="1" width="29.7109375" style="2" bestFit="1" customWidth="1"/>
    <col min="2" max="2" width="11.85546875" style="59" bestFit="1" customWidth="1"/>
  </cols>
  <sheetData>
    <row r="2" spans="1:2" x14ac:dyDescent="0.2">
      <c r="A2" s="58" t="s">
        <v>38</v>
      </c>
      <c r="B2" s="60" t="s">
        <v>38</v>
      </c>
    </row>
    <row r="3" spans="1:2" x14ac:dyDescent="0.2">
      <c r="A3" s="58" t="s">
        <v>129</v>
      </c>
      <c r="B3" s="60" t="s">
        <v>123</v>
      </c>
    </row>
    <row r="4" spans="1:2" x14ac:dyDescent="0.2">
      <c r="A4" s="7"/>
    </row>
    <row r="5" spans="1:2" x14ac:dyDescent="0.2">
      <c r="A5" s="7" t="s">
        <v>62</v>
      </c>
      <c r="B5" s="64">
        <f>SUM('mm assets'!K5:K26)</f>
        <v>2347924</v>
      </c>
    </row>
    <row r="6" spans="1:2" x14ac:dyDescent="0.2">
      <c r="A6" s="7"/>
    </row>
    <row r="7" spans="1:2" x14ac:dyDescent="0.2">
      <c r="A7" s="7" t="s">
        <v>111</v>
      </c>
      <c r="B7" s="64">
        <f>'mm assets'!K28</f>
        <v>4068.97</v>
      </c>
    </row>
    <row r="8" spans="1:2" x14ac:dyDescent="0.2">
      <c r="A8" s="7"/>
      <c r="B8" s="64" t="s">
        <v>38</v>
      </c>
    </row>
    <row r="9" spans="1:2" x14ac:dyDescent="0.2">
      <c r="A9" s="7" t="s">
        <v>117</v>
      </c>
      <c r="B9" s="64">
        <f>SUM('mm assets'!K30:K35)</f>
        <v>26388.199999999993</v>
      </c>
    </row>
    <row r="10" spans="1:2" x14ac:dyDescent="0.2">
      <c r="B10" s="64" t="s">
        <v>38</v>
      </c>
    </row>
    <row r="11" spans="1:2" x14ac:dyDescent="0.2">
      <c r="A11" s="7" t="s">
        <v>4</v>
      </c>
      <c r="B11" s="64">
        <f>'mm assets'!K37</f>
        <v>136341.46</v>
      </c>
    </row>
    <row r="12" spans="1:2" x14ac:dyDescent="0.2">
      <c r="A12" s="23" t="s">
        <v>38</v>
      </c>
      <c r="B12" s="64" t="s">
        <v>38</v>
      </c>
    </row>
    <row r="13" spans="1:2" x14ac:dyDescent="0.2">
      <c r="A13" s="7" t="s">
        <v>112</v>
      </c>
      <c r="B13" s="64">
        <f>'mm assets'!K39</f>
        <v>51648.45</v>
      </c>
    </row>
    <row r="14" spans="1:2" x14ac:dyDescent="0.2">
      <c r="A14" s="7"/>
      <c r="B14" s="64" t="s">
        <v>38</v>
      </c>
    </row>
    <row r="15" spans="1:2" x14ac:dyDescent="0.2">
      <c r="A15" s="7" t="s">
        <v>118</v>
      </c>
      <c r="B15" s="64">
        <f>SUM('mm assets'!K41:K56)</f>
        <v>3173904.21</v>
      </c>
    </row>
    <row r="16" spans="1:2" x14ac:dyDescent="0.2">
      <c r="A16" s="7" t="s">
        <v>38</v>
      </c>
      <c r="B16" s="64" t="s">
        <v>38</v>
      </c>
    </row>
    <row r="17" spans="1:2" x14ac:dyDescent="0.2">
      <c r="A17" s="7" t="s">
        <v>118</v>
      </c>
      <c r="B17" s="64">
        <f>SUM('mm assets'!K58:K59)</f>
        <v>15198.08</v>
      </c>
    </row>
    <row r="18" spans="1:2" x14ac:dyDescent="0.2">
      <c r="A18" s="7" t="s">
        <v>38</v>
      </c>
      <c r="B18" s="64" t="s">
        <v>38</v>
      </c>
    </row>
    <row r="19" spans="1:2" x14ac:dyDescent="0.2">
      <c r="A19" s="7" t="s">
        <v>120</v>
      </c>
      <c r="B19" s="64">
        <f>SUM('mm assets'!K90:K91)</f>
        <v>15198.08</v>
      </c>
    </row>
    <row r="20" spans="1:2" x14ac:dyDescent="0.2">
      <c r="A20" s="7"/>
      <c r="B20" s="64" t="s">
        <v>38</v>
      </c>
    </row>
    <row r="21" spans="1:2" x14ac:dyDescent="0.2">
      <c r="A21" s="7" t="s">
        <v>35</v>
      </c>
      <c r="B21" s="64">
        <f>'mm assets'!K61</f>
        <v>218648.07232000001</v>
      </c>
    </row>
    <row r="22" spans="1:2" x14ac:dyDescent="0.2">
      <c r="A22" s="7"/>
      <c r="B22" s="64" t="s">
        <v>38</v>
      </c>
    </row>
    <row r="23" spans="1:2" x14ac:dyDescent="0.2">
      <c r="A23" s="7" t="s">
        <v>119</v>
      </c>
      <c r="B23" s="64">
        <f>'mm assets'!K63</f>
        <v>20000</v>
      </c>
    </row>
    <row r="24" spans="1:2" x14ac:dyDescent="0.2">
      <c r="B24" s="64" t="s">
        <v>38</v>
      </c>
    </row>
    <row r="25" spans="1:2" x14ac:dyDescent="0.2">
      <c r="A25" s="7" t="s">
        <v>11</v>
      </c>
      <c r="B25" s="64">
        <f>SUM('mm assets'!K65:K66)</f>
        <v>8598.5400000000009</v>
      </c>
    </row>
    <row r="26" spans="1:2" x14ac:dyDescent="0.2">
      <c r="B26" s="64" t="s">
        <v>38</v>
      </c>
    </row>
    <row r="27" spans="1:2" x14ac:dyDescent="0.2">
      <c r="A27" s="7" t="s">
        <v>12</v>
      </c>
      <c r="B27" s="64">
        <f>SUM('mm assets'!K68:K72)</f>
        <v>19345.842726742001</v>
      </c>
    </row>
    <row r="28" spans="1:2" x14ac:dyDescent="0.2">
      <c r="A28" s="7"/>
      <c r="B28" s="64" t="s">
        <v>38</v>
      </c>
    </row>
    <row r="29" spans="1:2" x14ac:dyDescent="0.2">
      <c r="A29" s="7" t="s">
        <v>121</v>
      </c>
      <c r="B29" s="64">
        <f>SUM('mm assets'!K82:K84)</f>
        <v>39608.128639999995</v>
      </c>
    </row>
    <row r="30" spans="1:2" x14ac:dyDescent="0.2">
      <c r="A30" s="7"/>
      <c r="B30" s="64" t="s">
        <v>38</v>
      </c>
    </row>
    <row r="31" spans="1:2" x14ac:dyDescent="0.2">
      <c r="A31" s="7" t="s">
        <v>122</v>
      </c>
      <c r="B31" s="64">
        <f>SUM('mm assets'!K86:K88)</f>
        <v>37658.857680000001</v>
      </c>
    </row>
    <row r="32" spans="1:2" x14ac:dyDescent="0.2">
      <c r="A32" s="7"/>
      <c r="B32" s="64" t="s">
        <v>38</v>
      </c>
    </row>
    <row r="33" spans="1:3" x14ac:dyDescent="0.2">
      <c r="A33" s="7" t="s">
        <v>151</v>
      </c>
      <c r="B33" s="64">
        <v>10000</v>
      </c>
    </row>
    <row r="34" spans="1:3" x14ac:dyDescent="0.2">
      <c r="A34" s="7"/>
      <c r="B34" s="64"/>
    </row>
    <row r="35" spans="1:3" x14ac:dyDescent="0.2">
      <c r="A35" s="7" t="s">
        <v>124</v>
      </c>
      <c r="B35" s="64">
        <v>350000</v>
      </c>
      <c r="C35" t="s">
        <v>38</v>
      </c>
    </row>
    <row r="36" spans="1:3" x14ac:dyDescent="0.2">
      <c r="A36" s="7"/>
      <c r="B36" s="64" t="s">
        <v>38</v>
      </c>
    </row>
    <row r="37" spans="1:3" x14ac:dyDescent="0.2">
      <c r="A37" s="7" t="s">
        <v>130</v>
      </c>
      <c r="B37" s="64">
        <v>25000</v>
      </c>
    </row>
    <row r="38" spans="1:3" x14ac:dyDescent="0.2">
      <c r="A38" s="7"/>
      <c r="B38" s="64"/>
    </row>
    <row r="39" spans="1:3" x14ac:dyDescent="0.2">
      <c r="A39" s="58" t="s">
        <v>128</v>
      </c>
      <c r="B39" s="64" t="s">
        <v>38</v>
      </c>
    </row>
    <row r="40" spans="1:3" x14ac:dyDescent="0.2">
      <c r="A40" s="7" t="s">
        <v>54</v>
      </c>
      <c r="B40" s="64" t="s">
        <v>38</v>
      </c>
    </row>
    <row r="41" spans="1:3" x14ac:dyDescent="0.2">
      <c r="A41" s="7">
        <v>2002</v>
      </c>
      <c r="B41" s="64">
        <f>'mm assets'!K74</f>
        <v>-160000</v>
      </c>
    </row>
    <row r="42" spans="1:3" x14ac:dyDescent="0.2">
      <c r="A42" s="7">
        <v>2003</v>
      </c>
      <c r="B42" s="64">
        <f>'mm assets'!K75</f>
        <v>-260000</v>
      </c>
    </row>
    <row r="43" spans="1:3" x14ac:dyDescent="0.2">
      <c r="A43" s="7"/>
      <c r="B43" s="64"/>
    </row>
    <row r="44" spans="1:3" x14ac:dyDescent="0.2">
      <c r="A44" s="7" t="s">
        <v>127</v>
      </c>
      <c r="B44" s="64">
        <v>-21400</v>
      </c>
    </row>
    <row r="45" spans="1:3" ht="13.5" thickBot="1" x14ac:dyDescent="0.25">
      <c r="A45" s="62" t="s">
        <v>38</v>
      </c>
      <c r="B45" s="61"/>
    </row>
    <row r="46" spans="1:3" x14ac:dyDescent="0.2">
      <c r="A46" s="63" t="s">
        <v>38</v>
      </c>
    </row>
    <row r="47" spans="1:3" x14ac:dyDescent="0.2">
      <c r="A47" s="7" t="s">
        <v>13</v>
      </c>
      <c r="B47" s="59">
        <f>SUM(B5:B45)</f>
        <v>6058130.8913667435</v>
      </c>
    </row>
    <row r="48" spans="1:3" ht="13.5" thickBot="1" x14ac:dyDescent="0.25">
      <c r="A48" s="16"/>
      <c r="B48" s="61"/>
    </row>
    <row r="49" spans="1:2" x14ac:dyDescent="0.2">
      <c r="B49" s="65"/>
    </row>
    <row r="50" spans="1:2" x14ac:dyDescent="0.2">
      <c r="A50" s="2" t="s">
        <v>131</v>
      </c>
      <c r="B50" s="65">
        <f>SUM(B35:B37)</f>
        <v>375000</v>
      </c>
    </row>
    <row r="51" spans="1:2" x14ac:dyDescent="0.2">
      <c r="A51" s="2" t="s">
        <v>134</v>
      </c>
      <c r="B51" s="65">
        <f>B44</f>
        <v>-21400</v>
      </c>
    </row>
    <row r="52" spans="1:2" x14ac:dyDescent="0.2">
      <c r="A52" s="2" t="s">
        <v>133</v>
      </c>
      <c r="B52" s="65">
        <f>B47-B50-B51</f>
        <v>5704530.8913667435</v>
      </c>
    </row>
    <row r="53" spans="1:2" x14ac:dyDescent="0.2">
      <c r="A53" s="2" t="s">
        <v>132</v>
      </c>
      <c r="B53" s="64">
        <f>'mm assets'!K94</f>
        <v>5694530.8913667426</v>
      </c>
    </row>
    <row r="54" spans="1:2" x14ac:dyDescent="0.2">
      <c r="A54" s="2" t="s">
        <v>146</v>
      </c>
      <c r="B54" s="65">
        <f>B52-B53</f>
        <v>10000.000000000931</v>
      </c>
    </row>
    <row r="57" spans="1:2" x14ac:dyDescent="0.2">
      <c r="B57" s="59" t="s">
        <v>38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"/>
  <sheetViews>
    <sheetView workbookViewId="0">
      <pane xSplit="1" ySplit="3" topLeftCell="C33" activePane="bottomRight" state="frozen"/>
      <selection pane="topRight" activeCell="B1" sqref="B1"/>
      <selection pane="bottomLeft" activeCell="A4" sqref="A4"/>
      <selection pane="bottomRight" activeCell="E43" sqref="E43"/>
    </sheetView>
  </sheetViews>
  <sheetFormatPr defaultRowHeight="12.75" x14ac:dyDescent="0.2"/>
  <cols>
    <col min="1" max="1" width="20.140625" style="9" bestFit="1" customWidth="1"/>
    <col min="2" max="2" width="30.42578125" style="29" bestFit="1" customWidth="1"/>
    <col min="3" max="3" width="10.7109375" style="30" bestFit="1" customWidth="1"/>
    <col min="4" max="4" width="11.28515625" style="31" bestFit="1" customWidth="1"/>
    <col min="5" max="5" width="9.140625" style="29" bestFit="1"/>
    <col min="6" max="6" width="10.140625" style="29" bestFit="1" customWidth="1"/>
    <col min="7" max="8" width="18.42578125" style="32" bestFit="1" customWidth="1"/>
    <col min="9" max="9" width="8" bestFit="1" customWidth="1"/>
    <col min="10" max="11" width="11.7109375" bestFit="1" customWidth="1"/>
  </cols>
  <sheetData>
    <row r="1" spans="1:15" s="2" customFormat="1" x14ac:dyDescent="0.2">
      <c r="C1" s="12"/>
      <c r="D1" s="12" t="s">
        <v>38</v>
      </c>
      <c r="E1" s="4"/>
      <c r="F1" s="4"/>
      <c r="G1" s="10" t="s">
        <v>59</v>
      </c>
      <c r="H1" s="10" t="s">
        <v>60</v>
      </c>
      <c r="I1" s="4"/>
      <c r="J1" s="6"/>
      <c r="K1" s="6"/>
      <c r="L1" s="3"/>
      <c r="M1" s="43"/>
      <c r="N1" s="43"/>
      <c r="O1" s="4"/>
    </row>
    <row r="2" spans="1:15" s="2" customFormat="1" x14ac:dyDescent="0.2">
      <c r="A2" s="7"/>
      <c r="C2" s="21"/>
      <c r="D2" s="21" t="s">
        <v>41</v>
      </c>
      <c r="E2" s="9" t="s">
        <v>28</v>
      </c>
      <c r="F2" s="9" t="s">
        <v>28</v>
      </c>
      <c r="G2" s="10" t="s">
        <v>29</v>
      </c>
      <c r="H2" s="10" t="s">
        <v>29</v>
      </c>
      <c r="I2" s="9" t="s">
        <v>31</v>
      </c>
      <c r="J2" s="10"/>
      <c r="K2" s="10" t="s">
        <v>36</v>
      </c>
      <c r="L2" s="36"/>
      <c r="M2" s="43"/>
      <c r="N2" s="43"/>
      <c r="O2" s="43" t="s">
        <v>38</v>
      </c>
    </row>
    <row r="3" spans="1:15" s="2" customFormat="1" x14ac:dyDescent="0.2">
      <c r="A3" s="7"/>
      <c r="B3" s="9" t="s">
        <v>39</v>
      </c>
      <c r="C3" s="21" t="s">
        <v>27</v>
      </c>
      <c r="D3" s="21" t="s">
        <v>27</v>
      </c>
      <c r="E3" s="11">
        <v>37226</v>
      </c>
      <c r="F3" s="11">
        <v>37225</v>
      </c>
      <c r="G3" s="10" t="s">
        <v>30</v>
      </c>
      <c r="H3" s="10" t="s">
        <v>30</v>
      </c>
      <c r="I3" s="9" t="s">
        <v>32</v>
      </c>
      <c r="J3" s="10" t="s">
        <v>33</v>
      </c>
      <c r="K3" s="10" t="s">
        <v>37</v>
      </c>
      <c r="L3" s="36"/>
      <c r="M3" s="43"/>
      <c r="N3" s="43"/>
      <c r="O3" s="4"/>
    </row>
    <row r="6" spans="1:15" x14ac:dyDescent="0.2">
      <c r="B6" s="9" t="s">
        <v>38</v>
      </c>
      <c r="C6" s="8" t="s">
        <v>38</v>
      </c>
    </row>
    <row r="7" spans="1:15" x14ac:dyDescent="0.2">
      <c r="B7" s="9" t="s">
        <v>38</v>
      </c>
      <c r="C7" s="8" t="s">
        <v>38</v>
      </c>
    </row>
    <row r="8" spans="1:15" s="2" customFormat="1" x14ac:dyDescent="0.2">
      <c r="A8" s="7" t="s">
        <v>6</v>
      </c>
      <c r="B8" s="2" t="s">
        <v>74</v>
      </c>
      <c r="C8" s="12">
        <v>96.793000000000006</v>
      </c>
      <c r="D8" s="12">
        <f>C8*1</f>
        <v>96.793000000000006</v>
      </c>
      <c r="E8" s="1">
        <v>0.4</v>
      </c>
      <c r="F8" s="1">
        <v>0</v>
      </c>
      <c r="G8" s="6">
        <f>C8*(E8-F8)</f>
        <v>38.717200000000005</v>
      </c>
      <c r="H8" s="6">
        <f>C8*(E8-F8)</f>
        <v>38.717200000000005</v>
      </c>
      <c r="I8" s="1"/>
      <c r="J8" s="6">
        <f>C8*E8</f>
        <v>38.717200000000005</v>
      </c>
      <c r="K8" s="6">
        <f>J8</f>
        <v>38.717200000000005</v>
      </c>
      <c r="L8"/>
      <c r="M8" s="43" t="s">
        <v>38</v>
      </c>
      <c r="N8" s="43"/>
      <c r="O8" s="4"/>
    </row>
    <row r="9" spans="1:15" s="2" customFormat="1" x14ac:dyDescent="0.2">
      <c r="A9" s="7"/>
      <c r="C9" s="12" t="s">
        <v>38</v>
      </c>
      <c r="D9" s="12"/>
      <c r="E9" s="1" t="s">
        <v>38</v>
      </c>
      <c r="F9" s="1" t="s">
        <v>38</v>
      </c>
      <c r="G9" s="6"/>
      <c r="H9" s="6" t="s">
        <v>38</v>
      </c>
      <c r="I9" s="20" t="s">
        <v>38</v>
      </c>
      <c r="J9" s="6"/>
      <c r="K9" s="6"/>
      <c r="L9"/>
      <c r="M9" s="43" t="s">
        <v>38</v>
      </c>
      <c r="N9" s="43"/>
      <c r="O9" s="4"/>
    </row>
    <row r="10" spans="1:15" s="2" customFormat="1" x14ac:dyDescent="0.2">
      <c r="A10" s="7" t="s">
        <v>48</v>
      </c>
      <c r="B10" s="4" t="s">
        <v>18</v>
      </c>
      <c r="C10" s="12"/>
      <c r="D10" s="12" t="s">
        <v>38</v>
      </c>
      <c r="E10" s="1" t="s">
        <v>38</v>
      </c>
      <c r="F10" s="1" t="s">
        <v>38</v>
      </c>
      <c r="G10" s="6"/>
      <c r="H10" s="6" t="s">
        <v>38</v>
      </c>
      <c r="I10" s="20" t="s">
        <v>38</v>
      </c>
      <c r="J10" s="6"/>
      <c r="K10" s="6"/>
      <c r="L10"/>
      <c r="M10" s="43" t="s">
        <v>38</v>
      </c>
      <c r="N10" s="43"/>
      <c r="O10" s="4"/>
    </row>
    <row r="11" spans="1:15" s="2" customFormat="1" x14ac:dyDescent="0.2">
      <c r="A11" s="23" t="s">
        <v>38</v>
      </c>
      <c r="B11" s="2" t="s">
        <v>74</v>
      </c>
      <c r="C11" s="12">
        <v>8267</v>
      </c>
      <c r="D11" s="12">
        <v>8267</v>
      </c>
      <c r="E11" s="1">
        <f>E$8</f>
        <v>0.4</v>
      </c>
      <c r="F11" s="1">
        <f>F$8</f>
        <v>0</v>
      </c>
      <c r="G11" s="6">
        <f>C11*(E11-F11)</f>
        <v>3306.8</v>
      </c>
      <c r="H11" s="6">
        <f>C11*(E11-F11)*0.5895</f>
        <v>1949.3586000000003</v>
      </c>
      <c r="I11" s="20" t="s">
        <v>38</v>
      </c>
      <c r="J11" s="6">
        <f>C11*E11*0.9</f>
        <v>2976.1200000000003</v>
      </c>
      <c r="K11" s="6">
        <f>J11*0.614</f>
        <v>1827.3376800000001</v>
      </c>
      <c r="M11" s="43" t="s">
        <v>38</v>
      </c>
      <c r="N11" s="43" t="s">
        <v>38</v>
      </c>
      <c r="O11" s="4"/>
    </row>
    <row r="12" spans="1:15" s="2" customFormat="1" x14ac:dyDescent="0.2">
      <c r="A12" s="23"/>
      <c r="C12" s="12"/>
      <c r="D12" s="12"/>
      <c r="E12" s="1" t="s">
        <v>38</v>
      </c>
      <c r="F12" s="1" t="s">
        <v>38</v>
      </c>
      <c r="G12" s="6"/>
      <c r="H12" s="6" t="s">
        <v>38</v>
      </c>
      <c r="I12" s="20"/>
      <c r="J12" s="20"/>
      <c r="K12" s="6"/>
      <c r="L12"/>
      <c r="M12" s="43" t="s">
        <v>38</v>
      </c>
      <c r="N12" s="43"/>
      <c r="O12" s="4"/>
    </row>
    <row r="13" spans="1:15" s="2" customFormat="1" x14ac:dyDescent="0.2">
      <c r="A13" s="7" t="s">
        <v>5</v>
      </c>
      <c r="B13" s="4" t="s">
        <v>18</v>
      </c>
      <c r="C13" s="12"/>
      <c r="D13" s="12"/>
      <c r="E13" s="1" t="s">
        <v>38</v>
      </c>
      <c r="F13" s="1" t="s">
        <v>38</v>
      </c>
      <c r="G13" s="6"/>
      <c r="H13" s="6" t="s">
        <v>38</v>
      </c>
      <c r="I13" s="3"/>
      <c r="J13" s="6"/>
      <c r="K13" s="6"/>
      <c r="L13"/>
      <c r="M13" s="43" t="s">
        <v>38</v>
      </c>
      <c r="N13" s="43"/>
      <c r="O13" s="4"/>
    </row>
    <row r="14" spans="1:15" s="2" customFormat="1" x14ac:dyDescent="0.2">
      <c r="A14" s="7"/>
      <c r="B14" s="2" t="s">
        <v>71</v>
      </c>
      <c r="C14" s="12">
        <v>1307.5862</v>
      </c>
      <c r="D14" s="12">
        <f>C14*1</f>
        <v>1307.5862</v>
      </c>
      <c r="E14" s="1">
        <f t="shared" ref="E14:F16" si="0">E$8</f>
        <v>0.4</v>
      </c>
      <c r="F14" s="1">
        <f t="shared" si="0"/>
        <v>0</v>
      </c>
      <c r="G14" s="6">
        <f>C14*(E14-F14)</f>
        <v>523.03448000000003</v>
      </c>
      <c r="H14" s="6">
        <f>C14*(E14-F14)</f>
        <v>523.03448000000003</v>
      </c>
      <c r="I14" s="1"/>
      <c r="J14" s="6">
        <f>C14*E14</f>
        <v>523.03448000000003</v>
      </c>
      <c r="K14" s="6">
        <f>J14</f>
        <v>523.03448000000003</v>
      </c>
      <c r="L14"/>
      <c r="M14" s="43" t="s">
        <v>38</v>
      </c>
      <c r="N14" s="43"/>
      <c r="O14" s="4"/>
    </row>
    <row r="15" spans="1:15" s="2" customFormat="1" x14ac:dyDescent="0.2">
      <c r="A15" s="7"/>
      <c r="B15" s="2" t="s">
        <v>72</v>
      </c>
      <c r="C15" s="12">
        <v>178.0334</v>
      </c>
      <c r="D15" s="12">
        <f>C15*1</f>
        <v>178.0334</v>
      </c>
      <c r="E15" s="1">
        <f t="shared" si="0"/>
        <v>0.4</v>
      </c>
      <c r="F15" s="1">
        <f t="shared" si="0"/>
        <v>0</v>
      </c>
      <c r="G15" s="6">
        <f>C15*(E15-F15)</f>
        <v>71.213360000000009</v>
      </c>
      <c r="H15" s="6">
        <f>C15*(E15-F15)</f>
        <v>71.213360000000009</v>
      </c>
      <c r="I15" s="1"/>
      <c r="J15" s="6">
        <f>C15*E15</f>
        <v>71.213360000000009</v>
      </c>
      <c r="K15" s="6">
        <f>J15</f>
        <v>71.213360000000009</v>
      </c>
      <c r="L15"/>
      <c r="M15" s="43" t="s">
        <v>38</v>
      </c>
      <c r="N15" s="43"/>
      <c r="O15" s="4"/>
    </row>
    <row r="16" spans="1:15" s="2" customFormat="1" x14ac:dyDescent="0.2">
      <c r="A16" s="7"/>
      <c r="B16" s="2" t="s">
        <v>70</v>
      </c>
      <c r="C16" s="12">
        <v>402.85410000000002</v>
      </c>
      <c r="D16" s="12">
        <f>C16*1</f>
        <v>402.85410000000002</v>
      </c>
      <c r="E16" s="1">
        <f t="shared" si="0"/>
        <v>0.4</v>
      </c>
      <c r="F16" s="1">
        <f t="shared" si="0"/>
        <v>0</v>
      </c>
      <c r="G16" s="6">
        <f>C16*(E16-F16)</f>
        <v>161.14164000000002</v>
      </c>
      <c r="H16" s="6">
        <f>C16*(E16-F16)</f>
        <v>161.14164000000002</v>
      </c>
      <c r="I16" s="1"/>
      <c r="J16" s="6">
        <f>C16*E16</f>
        <v>161.14164000000002</v>
      </c>
      <c r="K16" s="6">
        <f>J16</f>
        <v>161.14164000000002</v>
      </c>
      <c r="L16"/>
      <c r="M16" s="43" t="s">
        <v>38</v>
      </c>
      <c r="N16" s="43"/>
      <c r="O16" s="4"/>
    </row>
    <row r="17" spans="1:16" s="2" customFormat="1" x14ac:dyDescent="0.2">
      <c r="A17" s="7"/>
      <c r="C17" s="12" t="s">
        <v>38</v>
      </c>
      <c r="D17" s="12"/>
      <c r="E17" s="1" t="s">
        <v>38</v>
      </c>
      <c r="F17" s="1" t="s">
        <v>38</v>
      </c>
      <c r="G17" s="6"/>
      <c r="H17" s="6" t="s">
        <v>38</v>
      </c>
      <c r="I17" s="1"/>
      <c r="J17" s="6"/>
      <c r="K17" s="6"/>
      <c r="L17"/>
      <c r="M17" s="43" t="s">
        <v>38</v>
      </c>
      <c r="N17" s="43"/>
      <c r="O17" s="4"/>
    </row>
    <row r="18" spans="1:16" s="2" customFormat="1" x14ac:dyDescent="0.2">
      <c r="A18" s="7" t="s">
        <v>42</v>
      </c>
      <c r="B18" s="1" t="s">
        <v>18</v>
      </c>
      <c r="C18" s="12" t="s">
        <v>38</v>
      </c>
      <c r="D18" s="12"/>
      <c r="E18" s="1" t="s">
        <v>38</v>
      </c>
      <c r="F18" s="1" t="s">
        <v>38</v>
      </c>
      <c r="G18" s="14"/>
      <c r="H18" s="6" t="s">
        <v>38</v>
      </c>
      <c r="J18" s="6"/>
      <c r="K18" s="6"/>
      <c r="L18"/>
      <c r="M18" s="43" t="s">
        <v>38</v>
      </c>
      <c r="N18" s="43"/>
      <c r="O18" s="4"/>
    </row>
    <row r="19" spans="1:16" s="2" customFormat="1" x14ac:dyDescent="0.2">
      <c r="A19" s="7" t="s">
        <v>7</v>
      </c>
      <c r="B19" s="2" t="s">
        <v>98</v>
      </c>
      <c r="C19" s="12">
        <v>3262</v>
      </c>
      <c r="D19" s="12" t="s">
        <v>38</v>
      </c>
      <c r="E19" s="1">
        <f t="shared" ref="E19:F25" si="1">E$8</f>
        <v>0.4</v>
      </c>
      <c r="F19" s="1">
        <f t="shared" si="1"/>
        <v>0</v>
      </c>
      <c r="G19" s="6">
        <f t="shared" ref="G19:G25" si="2">IF(E19&gt;I19,(E19-F19)*C19,0)</f>
        <v>0</v>
      </c>
      <c r="H19" s="6">
        <f t="shared" ref="H19:H25" si="3">IF(E19&gt;I19,(E19-F19)*C19*0.5895,0)</f>
        <v>0</v>
      </c>
      <c r="I19" s="1">
        <v>76.025000000000006</v>
      </c>
      <c r="J19" s="6">
        <f t="shared" ref="J19:J25" si="4">IF(C19*(E19-I19)&gt;0,C19*(E19-I19),0)</f>
        <v>0</v>
      </c>
      <c r="K19" s="6">
        <f t="shared" ref="K19:K25" si="5">J19*0.5995</f>
        <v>0</v>
      </c>
      <c r="L19"/>
      <c r="M19" s="43" t="s">
        <v>38</v>
      </c>
      <c r="N19" s="43"/>
      <c r="O19" s="4"/>
    </row>
    <row r="20" spans="1:16" s="2" customFormat="1" x14ac:dyDescent="0.2">
      <c r="A20" s="7"/>
      <c r="B20" s="2" t="s">
        <v>97</v>
      </c>
      <c r="C20" s="12">
        <v>1270</v>
      </c>
      <c r="D20" s="12" t="s">
        <v>38</v>
      </c>
      <c r="E20" s="1">
        <f t="shared" si="1"/>
        <v>0.4</v>
      </c>
      <c r="F20" s="1">
        <f t="shared" si="1"/>
        <v>0</v>
      </c>
      <c r="G20" s="6">
        <f t="shared" si="2"/>
        <v>0</v>
      </c>
      <c r="H20" s="6">
        <f t="shared" si="3"/>
        <v>0</v>
      </c>
      <c r="I20" s="1">
        <v>76</v>
      </c>
      <c r="J20" s="6">
        <f t="shared" si="4"/>
        <v>0</v>
      </c>
      <c r="K20" s="6">
        <f t="shared" si="5"/>
        <v>0</v>
      </c>
      <c r="L20"/>
      <c r="M20" s="43" t="s">
        <v>38</v>
      </c>
      <c r="N20" s="43" t="s">
        <v>38</v>
      </c>
      <c r="O20" s="4"/>
    </row>
    <row r="21" spans="1:16" s="2" customFormat="1" x14ac:dyDescent="0.2">
      <c r="A21" s="7" t="s">
        <v>38</v>
      </c>
      <c r="B21" s="2" t="s">
        <v>93</v>
      </c>
      <c r="C21" s="12">
        <v>381</v>
      </c>
      <c r="D21" s="12" t="s">
        <v>38</v>
      </c>
      <c r="E21" s="1">
        <f t="shared" si="1"/>
        <v>0.4</v>
      </c>
      <c r="F21" s="1">
        <f t="shared" si="1"/>
        <v>0</v>
      </c>
      <c r="G21" s="6">
        <f t="shared" si="2"/>
        <v>0</v>
      </c>
      <c r="H21" s="6">
        <f t="shared" si="3"/>
        <v>0</v>
      </c>
      <c r="I21" s="1">
        <v>83.125</v>
      </c>
      <c r="J21" s="6">
        <f t="shared" si="4"/>
        <v>0</v>
      </c>
      <c r="K21" s="6">
        <f t="shared" si="5"/>
        <v>0</v>
      </c>
      <c r="L21"/>
      <c r="M21" s="43" t="s">
        <v>38</v>
      </c>
      <c r="N21" s="43"/>
      <c r="O21" s="4"/>
    </row>
    <row r="22" spans="1:16" s="2" customFormat="1" x14ac:dyDescent="0.2">
      <c r="A22" s="7" t="s">
        <v>38</v>
      </c>
      <c r="B22" s="2" t="s">
        <v>86</v>
      </c>
      <c r="C22" s="12">
        <v>694</v>
      </c>
      <c r="D22" s="12" t="s">
        <v>38</v>
      </c>
      <c r="E22" s="1">
        <f t="shared" si="1"/>
        <v>0.4</v>
      </c>
      <c r="F22" s="1">
        <f t="shared" si="1"/>
        <v>0</v>
      </c>
      <c r="G22" s="6">
        <f t="shared" si="2"/>
        <v>0</v>
      </c>
      <c r="H22" s="6">
        <f t="shared" si="3"/>
        <v>0</v>
      </c>
      <c r="I22" s="1">
        <v>62.41</v>
      </c>
      <c r="J22" s="6">
        <f t="shared" si="4"/>
        <v>0</v>
      </c>
      <c r="K22" s="6">
        <f t="shared" si="5"/>
        <v>0</v>
      </c>
      <c r="L22"/>
      <c r="M22" s="43" t="s">
        <v>38</v>
      </c>
      <c r="N22" s="43"/>
      <c r="O22" s="4"/>
    </row>
    <row r="23" spans="1:16" s="2" customFormat="1" x14ac:dyDescent="0.2">
      <c r="A23" s="7" t="s">
        <v>38</v>
      </c>
      <c r="B23" s="2" t="s">
        <v>91</v>
      </c>
      <c r="C23" s="12">
        <v>348</v>
      </c>
      <c r="D23" s="12" t="s">
        <v>38</v>
      </c>
      <c r="E23" s="1">
        <f t="shared" si="1"/>
        <v>0.4</v>
      </c>
      <c r="F23" s="1">
        <f t="shared" si="1"/>
        <v>0</v>
      </c>
      <c r="G23" s="6">
        <f t="shared" si="2"/>
        <v>0</v>
      </c>
      <c r="H23" s="6">
        <f t="shared" si="3"/>
        <v>0</v>
      </c>
      <c r="I23" s="1">
        <v>53.04</v>
      </c>
      <c r="J23" s="6">
        <f t="shared" si="4"/>
        <v>0</v>
      </c>
      <c r="K23" s="6">
        <f t="shared" si="5"/>
        <v>0</v>
      </c>
      <c r="L23"/>
      <c r="M23" s="43" t="s">
        <v>38</v>
      </c>
      <c r="N23" s="43"/>
      <c r="O23" s="4"/>
    </row>
    <row r="24" spans="1:16" s="2" customFormat="1" x14ac:dyDescent="0.2">
      <c r="A24" s="7" t="s">
        <v>38</v>
      </c>
      <c r="B24" s="2" t="s">
        <v>95</v>
      </c>
      <c r="C24" s="12">
        <v>417</v>
      </c>
      <c r="D24" s="12" t="s">
        <v>38</v>
      </c>
      <c r="E24" s="1">
        <f t="shared" si="1"/>
        <v>0.4</v>
      </c>
      <c r="F24" s="1">
        <f t="shared" si="1"/>
        <v>0</v>
      </c>
      <c r="G24" s="6">
        <f t="shared" si="2"/>
        <v>0</v>
      </c>
      <c r="H24" s="6">
        <f t="shared" si="3"/>
        <v>0</v>
      </c>
      <c r="I24" s="1">
        <v>48.3</v>
      </c>
      <c r="J24" s="6">
        <f t="shared" si="4"/>
        <v>0</v>
      </c>
      <c r="K24" s="6">
        <f t="shared" si="5"/>
        <v>0</v>
      </c>
      <c r="L24"/>
      <c r="M24" s="43" t="s">
        <v>38</v>
      </c>
      <c r="N24" s="43"/>
      <c r="O24" s="4"/>
    </row>
    <row r="25" spans="1:16" s="2" customFormat="1" x14ac:dyDescent="0.2">
      <c r="A25" s="7" t="s">
        <v>38</v>
      </c>
      <c r="B25" s="2" t="s">
        <v>104</v>
      </c>
      <c r="C25" s="12">
        <v>610</v>
      </c>
      <c r="D25" s="12" t="s">
        <v>38</v>
      </c>
      <c r="E25" s="1">
        <f t="shared" si="1"/>
        <v>0.4</v>
      </c>
      <c r="F25" s="1">
        <f t="shared" si="1"/>
        <v>0</v>
      </c>
      <c r="G25" s="6">
        <f t="shared" si="2"/>
        <v>0</v>
      </c>
      <c r="H25" s="6">
        <f t="shared" si="3"/>
        <v>0</v>
      </c>
      <c r="I25" s="1">
        <v>36.880000000000003</v>
      </c>
      <c r="J25" s="6">
        <f t="shared" si="4"/>
        <v>0</v>
      </c>
      <c r="K25" s="6">
        <f t="shared" si="5"/>
        <v>0</v>
      </c>
      <c r="L25"/>
      <c r="M25" s="43" t="s">
        <v>38</v>
      </c>
      <c r="N25" s="43"/>
      <c r="O25" s="4"/>
    </row>
    <row r="26" spans="1:16" s="2" customFormat="1" x14ac:dyDescent="0.2">
      <c r="A26" s="7" t="s">
        <v>38</v>
      </c>
      <c r="B26" s="19" t="s">
        <v>38</v>
      </c>
      <c r="C26" s="12" t="s">
        <v>38</v>
      </c>
      <c r="D26" s="12"/>
      <c r="E26" s="1" t="s">
        <v>38</v>
      </c>
      <c r="F26" s="1" t="s">
        <v>38</v>
      </c>
      <c r="G26" s="14"/>
      <c r="H26" s="6" t="s">
        <v>38</v>
      </c>
      <c r="J26" s="6"/>
      <c r="K26" s="6"/>
      <c r="L26"/>
      <c r="M26" s="43" t="s">
        <v>38</v>
      </c>
      <c r="N26" s="43"/>
      <c r="O26" s="4"/>
    </row>
    <row r="27" spans="1:16" s="2" customFormat="1" x14ac:dyDescent="0.2">
      <c r="A27" s="7" t="s">
        <v>8</v>
      </c>
      <c r="B27" s="4" t="s">
        <v>18</v>
      </c>
      <c r="C27" s="12"/>
      <c r="D27" s="12" t="s">
        <v>38</v>
      </c>
      <c r="E27" s="1" t="s">
        <v>38</v>
      </c>
      <c r="F27" s="1" t="s">
        <v>38</v>
      </c>
      <c r="G27" s="6"/>
      <c r="H27" s="6" t="s">
        <v>38</v>
      </c>
      <c r="I27" s="3"/>
      <c r="J27" s="6"/>
      <c r="K27" s="6" t="s">
        <v>38</v>
      </c>
      <c r="L27"/>
      <c r="M27" s="43" t="s">
        <v>38</v>
      </c>
      <c r="N27" s="43"/>
      <c r="O27" s="4"/>
    </row>
    <row r="28" spans="1:16" s="2" customFormat="1" x14ac:dyDescent="0.2">
      <c r="A28" s="7" t="s">
        <v>9</v>
      </c>
      <c r="B28" s="2" t="s">
        <v>107</v>
      </c>
      <c r="C28" s="12">
        <v>2317</v>
      </c>
      <c r="D28" s="12">
        <f>C28*1</f>
        <v>2317</v>
      </c>
      <c r="E28" s="1">
        <f>E$8</f>
        <v>0.4</v>
      </c>
      <c r="F28" s="1">
        <f>F$8</f>
        <v>0</v>
      </c>
      <c r="G28" s="6">
        <f>C28*(E28-F28)</f>
        <v>926.80000000000007</v>
      </c>
      <c r="H28" s="6">
        <f>C28*(E28-F28)*0.5895</f>
        <v>546.34860000000003</v>
      </c>
      <c r="I28" s="1"/>
      <c r="J28" s="6">
        <f>C28*E28</f>
        <v>926.80000000000007</v>
      </c>
      <c r="K28" s="6">
        <f>J28*0.614</f>
        <v>569.05520000000001</v>
      </c>
      <c r="L28"/>
      <c r="M28" s="43" t="s">
        <v>38</v>
      </c>
      <c r="N28" s="43"/>
      <c r="O28" s="4"/>
    </row>
    <row r="29" spans="1:16" s="2" customFormat="1" x14ac:dyDescent="0.2">
      <c r="A29" s="7"/>
      <c r="C29" s="12" t="s">
        <v>38</v>
      </c>
      <c r="D29" s="12" t="s">
        <v>38</v>
      </c>
      <c r="E29" s="1" t="s">
        <v>38</v>
      </c>
      <c r="F29" s="1" t="s">
        <v>38</v>
      </c>
      <c r="H29" s="6" t="s">
        <v>38</v>
      </c>
      <c r="J29" s="6"/>
      <c r="K29" s="6" t="s">
        <v>38</v>
      </c>
      <c r="L29"/>
      <c r="M29" s="43" t="s">
        <v>38</v>
      </c>
      <c r="N29" s="43"/>
      <c r="O29" s="4"/>
    </row>
    <row r="30" spans="1:16" s="2" customFormat="1" x14ac:dyDescent="0.2">
      <c r="A30" s="7" t="s">
        <v>46</v>
      </c>
      <c r="B30" s="4" t="s">
        <v>18</v>
      </c>
      <c r="C30" s="12"/>
      <c r="D30" s="12" t="s">
        <v>38</v>
      </c>
      <c r="E30" s="1" t="s">
        <v>38</v>
      </c>
      <c r="F30" s="1" t="s">
        <v>38</v>
      </c>
      <c r="G30" s="6"/>
      <c r="H30" s="6" t="s">
        <v>38</v>
      </c>
      <c r="I30" s="3"/>
      <c r="J30" s="6"/>
      <c r="K30" s="6" t="s">
        <v>38</v>
      </c>
      <c r="L30"/>
      <c r="M30" s="43" t="s">
        <v>38</v>
      </c>
      <c r="N30" s="43"/>
      <c r="O30" s="4"/>
    </row>
    <row r="31" spans="1:16" s="2" customFormat="1" x14ac:dyDescent="0.2">
      <c r="A31" s="7" t="s">
        <v>47</v>
      </c>
      <c r="B31" s="2" t="s">
        <v>73</v>
      </c>
      <c r="C31" s="12">
        <v>1924</v>
      </c>
      <c r="D31" s="12">
        <f>+C31*1</f>
        <v>1924</v>
      </c>
      <c r="E31" s="1">
        <f>E$8</f>
        <v>0.4</v>
      </c>
      <c r="F31" s="1">
        <f>F$8</f>
        <v>0</v>
      </c>
      <c r="G31" s="6">
        <f>C31*(E31-F31)</f>
        <v>769.6</v>
      </c>
      <c r="H31" s="6">
        <f>C31*(E31-F31)*0.5895</f>
        <v>453.67920000000004</v>
      </c>
      <c r="I31" s="1"/>
      <c r="J31" s="6">
        <f>C31*E31</f>
        <v>769.6</v>
      </c>
      <c r="K31" s="6">
        <f>J31*0.614</f>
        <v>472.53440000000001</v>
      </c>
      <c r="L31"/>
      <c r="M31" s="43" t="s">
        <v>38</v>
      </c>
      <c r="N31" s="43"/>
      <c r="O31" s="6" t="s">
        <v>38</v>
      </c>
      <c r="P31" s="14" t="s">
        <v>38</v>
      </c>
    </row>
    <row r="32" spans="1:16" x14ac:dyDescent="0.2">
      <c r="B32" s="9" t="s">
        <v>38</v>
      </c>
      <c r="C32" s="8" t="s">
        <v>38</v>
      </c>
    </row>
    <row r="33" spans="1:16" s="2" customFormat="1" x14ac:dyDescent="0.2">
      <c r="A33" s="7" t="s">
        <v>46</v>
      </c>
      <c r="B33" s="4" t="s">
        <v>18</v>
      </c>
      <c r="C33" s="12"/>
      <c r="D33" s="12" t="s">
        <v>38</v>
      </c>
      <c r="E33" s="13"/>
      <c r="F33" s="13"/>
      <c r="G33" s="6"/>
      <c r="H33" s="6" t="s">
        <v>38</v>
      </c>
      <c r="I33" s="3"/>
      <c r="J33" s="6"/>
      <c r="K33" s="6" t="s">
        <v>38</v>
      </c>
      <c r="L33" s="3"/>
      <c r="M33" s="43"/>
      <c r="N33" s="43"/>
      <c r="O33" s="4"/>
    </row>
    <row r="34" spans="1:16" s="2" customFormat="1" x14ac:dyDescent="0.2">
      <c r="A34" s="7" t="s">
        <v>51</v>
      </c>
      <c r="B34" s="2" t="s">
        <v>56</v>
      </c>
      <c r="C34" s="12">
        <v>288</v>
      </c>
      <c r="D34" s="12">
        <v>0</v>
      </c>
      <c r="E34" s="1">
        <f>unvested!E$8</f>
        <v>0.4</v>
      </c>
      <c r="F34" s="1">
        <f>unvested!F$8</f>
        <v>0</v>
      </c>
      <c r="G34" s="6">
        <v>0</v>
      </c>
      <c r="H34" s="6">
        <v>0</v>
      </c>
      <c r="I34" s="1"/>
      <c r="J34" s="6">
        <v>0</v>
      </c>
      <c r="K34" s="6">
        <v>0</v>
      </c>
      <c r="L34"/>
      <c r="M34"/>
      <c r="N34"/>
      <c r="O34"/>
    </row>
    <row r="35" spans="1:16" s="2" customFormat="1" x14ac:dyDescent="0.2">
      <c r="A35" s="7"/>
      <c r="C35" s="12"/>
      <c r="D35" s="12"/>
      <c r="E35" s="1" t="s">
        <v>38</v>
      </c>
      <c r="F35" s="1" t="s">
        <v>38</v>
      </c>
      <c r="G35" s="6"/>
      <c r="H35" s="6" t="s">
        <v>38</v>
      </c>
      <c r="I35" s="1"/>
      <c r="J35" s="6"/>
      <c r="K35" s="6" t="s">
        <v>38</v>
      </c>
      <c r="L35" s="3"/>
      <c r="M35" s="43"/>
      <c r="N35" s="43"/>
      <c r="O35" s="4"/>
    </row>
    <row r="36" spans="1:16" s="2" customFormat="1" x14ac:dyDescent="0.2">
      <c r="A36" s="7" t="s">
        <v>17</v>
      </c>
      <c r="B36" s="4" t="s">
        <v>18</v>
      </c>
      <c r="C36" s="12" t="s">
        <v>38</v>
      </c>
      <c r="D36" s="12"/>
      <c r="E36" s="1" t="s">
        <v>38</v>
      </c>
      <c r="F36" s="1" t="s">
        <v>38</v>
      </c>
      <c r="G36" s="6"/>
      <c r="H36" s="6" t="s">
        <v>38</v>
      </c>
      <c r="I36" s="3"/>
      <c r="J36" s="6"/>
      <c r="K36" s="6" t="s">
        <v>38</v>
      </c>
      <c r="L36"/>
      <c r="M36"/>
      <c r="N36"/>
      <c r="O36"/>
    </row>
    <row r="37" spans="1:16" s="2" customFormat="1" x14ac:dyDescent="0.2">
      <c r="A37" s="7" t="s">
        <v>9</v>
      </c>
      <c r="B37" s="2" t="s">
        <v>58</v>
      </c>
      <c r="C37" s="12">
        <v>3331</v>
      </c>
      <c r="D37" s="12">
        <v>0</v>
      </c>
      <c r="E37" s="1">
        <f>unvested!E$8</f>
        <v>0.4</v>
      </c>
      <c r="F37" s="1">
        <f>unvested!F$8</f>
        <v>0</v>
      </c>
      <c r="G37" s="6">
        <v>0</v>
      </c>
      <c r="H37" s="6">
        <v>0</v>
      </c>
      <c r="I37" s="1"/>
      <c r="J37" s="6">
        <v>0</v>
      </c>
      <c r="K37" s="6">
        <v>0</v>
      </c>
      <c r="L37" s="3"/>
      <c r="M37" s="43"/>
      <c r="N37" s="43"/>
      <c r="O37" s="4"/>
    </row>
    <row r="38" spans="1:16" s="2" customFormat="1" x14ac:dyDescent="0.2">
      <c r="A38" s="7" t="s">
        <v>38</v>
      </c>
      <c r="B38" s="2" t="s">
        <v>87</v>
      </c>
      <c r="C38" s="12">
        <v>668</v>
      </c>
      <c r="D38" s="12">
        <v>0</v>
      </c>
      <c r="E38" s="1">
        <f>unvested!E$8</f>
        <v>0.4</v>
      </c>
      <c r="F38" s="1">
        <f>unvested!F$8</f>
        <v>0</v>
      </c>
      <c r="G38" s="6">
        <v>0</v>
      </c>
      <c r="H38" s="6">
        <v>0</v>
      </c>
      <c r="I38" s="1"/>
      <c r="J38" s="6">
        <v>0</v>
      </c>
      <c r="K38" s="6">
        <v>0</v>
      </c>
      <c r="L38"/>
      <c r="M38"/>
      <c r="N38"/>
      <c r="O38"/>
    </row>
    <row r="39" spans="1:16" s="2" customFormat="1" x14ac:dyDescent="0.2">
      <c r="A39" s="7" t="s">
        <v>38</v>
      </c>
      <c r="B39" s="2" t="s">
        <v>89</v>
      </c>
      <c r="C39" s="12">
        <v>786</v>
      </c>
      <c r="D39" s="12">
        <v>0</v>
      </c>
      <c r="E39" s="1">
        <f>unvested!E$8</f>
        <v>0.4</v>
      </c>
      <c r="F39" s="1">
        <f>unvested!F$8</f>
        <v>0</v>
      </c>
      <c r="G39" s="6">
        <v>0</v>
      </c>
      <c r="H39" s="6">
        <v>0</v>
      </c>
      <c r="I39" s="1"/>
      <c r="J39" s="6">
        <v>0</v>
      </c>
      <c r="K39" s="6">
        <v>0</v>
      </c>
      <c r="L39" s="3"/>
      <c r="M39" s="43"/>
      <c r="N39" s="43"/>
      <c r="O39" s="4"/>
    </row>
    <row r="40" spans="1:16" s="2" customFormat="1" x14ac:dyDescent="0.2">
      <c r="A40" s="7" t="s">
        <v>38</v>
      </c>
      <c r="B40" s="2" t="s">
        <v>94</v>
      </c>
      <c r="C40" s="12">
        <v>863</v>
      </c>
      <c r="D40" s="12">
        <v>0</v>
      </c>
      <c r="E40" s="1">
        <f>unvested!E$8</f>
        <v>0.4</v>
      </c>
      <c r="F40" s="1">
        <f>unvested!F$8</f>
        <v>0</v>
      </c>
      <c r="G40" s="6">
        <v>0</v>
      </c>
      <c r="H40" s="6">
        <v>0</v>
      </c>
      <c r="I40" s="1"/>
      <c r="J40" s="6">
        <v>0</v>
      </c>
      <c r="K40" s="6">
        <v>0</v>
      </c>
      <c r="L40"/>
      <c r="M40"/>
      <c r="N40"/>
      <c r="O40"/>
    </row>
    <row r="41" spans="1:16" s="2" customFormat="1" x14ac:dyDescent="0.2">
      <c r="A41" s="7"/>
      <c r="C41" s="12" t="s">
        <v>38</v>
      </c>
      <c r="D41" s="12"/>
      <c r="E41" s="1" t="s">
        <v>38</v>
      </c>
      <c r="F41" s="1" t="s">
        <v>38</v>
      </c>
      <c r="G41" s="6"/>
      <c r="H41" s="6"/>
      <c r="I41" s="1"/>
      <c r="J41" s="6"/>
      <c r="K41" s="6" t="s">
        <v>38</v>
      </c>
      <c r="L41" s="3"/>
      <c r="M41" s="43"/>
      <c r="N41" s="43"/>
      <c r="O41" s="4"/>
    </row>
    <row r="42" spans="1:16" s="2" customFormat="1" x14ac:dyDescent="0.2">
      <c r="A42" s="7" t="s">
        <v>42</v>
      </c>
      <c r="B42" s="4" t="s">
        <v>18</v>
      </c>
      <c r="C42" s="12" t="s">
        <v>38</v>
      </c>
      <c r="D42" s="12" t="s">
        <v>38</v>
      </c>
      <c r="E42" s="1" t="s">
        <v>38</v>
      </c>
      <c r="F42" s="1" t="s">
        <v>38</v>
      </c>
      <c r="G42" s="14"/>
      <c r="H42" s="14"/>
      <c r="J42" s="6"/>
      <c r="K42" s="6" t="s">
        <v>38</v>
      </c>
      <c r="L42"/>
      <c r="M42"/>
      <c r="N42"/>
      <c r="O42"/>
    </row>
    <row r="43" spans="1:16" s="2" customFormat="1" x14ac:dyDescent="0.2">
      <c r="A43" s="7" t="s">
        <v>7</v>
      </c>
      <c r="B43" s="2" t="s">
        <v>65</v>
      </c>
      <c r="C43" s="12">
        <v>15280</v>
      </c>
      <c r="D43" s="12">
        <v>15280</v>
      </c>
      <c r="E43" s="1">
        <f>unvested!E$8</f>
        <v>0.4</v>
      </c>
      <c r="F43" s="1">
        <f>unvested!F$8</f>
        <v>0</v>
      </c>
      <c r="G43" s="6">
        <f t="shared" ref="G43:G51" si="6">IF(E43&gt;I43,(E43-F43)*C43,0)</f>
        <v>0</v>
      </c>
      <c r="H43" s="6">
        <f t="shared" ref="H43:H51" si="7">IF(E43&gt;I43,(E43-F43)*C43*0.5895,0)</f>
        <v>0</v>
      </c>
      <c r="I43" s="1">
        <v>18.375</v>
      </c>
      <c r="J43" s="6">
        <f t="shared" ref="J43:J51" si="8">IF(C43*(E43-I43)&gt;0,C43*(E43-I43),0)</f>
        <v>0</v>
      </c>
      <c r="K43" s="6">
        <f>J43*0.5995</f>
        <v>0</v>
      </c>
      <c r="L43" s="3"/>
      <c r="M43" s="43"/>
      <c r="N43" s="43"/>
      <c r="O43" s="4"/>
      <c r="P43" s="14" t="s">
        <v>38</v>
      </c>
    </row>
    <row r="44" spans="1:16" s="2" customFormat="1" x14ac:dyDescent="0.2">
      <c r="A44" s="7" t="s">
        <v>38</v>
      </c>
      <c r="B44" s="2" t="s">
        <v>66</v>
      </c>
      <c r="C44" s="12">
        <v>5130</v>
      </c>
      <c r="D44" s="12">
        <v>0</v>
      </c>
      <c r="E44" s="1">
        <f>unvested!E$8</f>
        <v>0.4</v>
      </c>
      <c r="F44" s="1">
        <f>unvested!F$8</f>
        <v>0</v>
      </c>
      <c r="G44" s="6">
        <f t="shared" si="6"/>
        <v>0</v>
      </c>
      <c r="H44" s="6">
        <f t="shared" si="7"/>
        <v>0</v>
      </c>
      <c r="I44" s="1">
        <v>55.5</v>
      </c>
      <c r="J44" s="6">
        <f t="shared" si="8"/>
        <v>0</v>
      </c>
      <c r="K44" s="6">
        <f t="shared" ref="K44:K51" si="9">J44*0.5895</f>
        <v>0</v>
      </c>
      <c r="L44"/>
      <c r="M44"/>
      <c r="N44"/>
      <c r="O44"/>
      <c r="P44" s="14" t="s">
        <v>38</v>
      </c>
    </row>
    <row r="45" spans="1:16" s="2" customFormat="1" x14ac:dyDescent="0.2">
      <c r="A45" s="7"/>
      <c r="B45" s="2" t="s">
        <v>67</v>
      </c>
      <c r="C45" s="12">
        <v>25</v>
      </c>
      <c r="D45" s="12">
        <v>0</v>
      </c>
      <c r="E45" s="1">
        <f>unvested!E$8</f>
        <v>0.4</v>
      </c>
      <c r="F45" s="1">
        <f>unvested!F$8</f>
        <v>0</v>
      </c>
      <c r="G45" s="6">
        <f t="shared" si="6"/>
        <v>0</v>
      </c>
      <c r="H45" s="6">
        <f t="shared" si="7"/>
        <v>0</v>
      </c>
      <c r="I45" s="1">
        <v>55.5</v>
      </c>
      <c r="J45" s="6">
        <f t="shared" si="8"/>
        <v>0</v>
      </c>
      <c r="K45" s="6">
        <f t="shared" si="9"/>
        <v>0</v>
      </c>
      <c r="L45" s="3"/>
      <c r="M45" s="43"/>
      <c r="N45" s="43"/>
      <c r="O45" s="4"/>
      <c r="P45" s="2" t="s">
        <v>38</v>
      </c>
    </row>
    <row r="46" spans="1:16" s="2" customFormat="1" x14ac:dyDescent="0.2">
      <c r="A46" s="7"/>
      <c r="B46" s="2" t="s">
        <v>68</v>
      </c>
      <c r="C46" s="12">
        <v>7608</v>
      </c>
      <c r="D46" s="12">
        <v>0</v>
      </c>
      <c r="E46" s="1">
        <f>unvested!E$8</f>
        <v>0.4</v>
      </c>
      <c r="F46" s="1">
        <f>unvested!F$8</f>
        <v>0</v>
      </c>
      <c r="G46" s="6">
        <f t="shared" si="6"/>
        <v>0</v>
      </c>
      <c r="H46" s="6">
        <f t="shared" si="7"/>
        <v>0</v>
      </c>
      <c r="I46" s="1">
        <v>75.0625</v>
      </c>
      <c r="J46" s="6">
        <f t="shared" si="8"/>
        <v>0</v>
      </c>
      <c r="K46" s="6">
        <f t="shared" si="9"/>
        <v>0</v>
      </c>
      <c r="L46"/>
      <c r="M46"/>
      <c r="N46"/>
      <c r="O46"/>
      <c r="P46" s="14" t="s">
        <v>38</v>
      </c>
    </row>
    <row r="47" spans="1:16" s="2" customFormat="1" x14ac:dyDescent="0.2">
      <c r="A47" s="7"/>
      <c r="B47" s="2" t="s">
        <v>69</v>
      </c>
      <c r="C47" s="12">
        <v>2540</v>
      </c>
      <c r="D47" s="12">
        <v>0</v>
      </c>
      <c r="E47" s="1">
        <f>unvested!E$8</f>
        <v>0.4</v>
      </c>
      <c r="F47" s="1">
        <f>unvested!F$8</f>
        <v>0</v>
      </c>
      <c r="G47" s="6">
        <f t="shared" si="6"/>
        <v>0</v>
      </c>
      <c r="H47" s="6">
        <f t="shared" si="7"/>
        <v>0</v>
      </c>
      <c r="I47" s="1">
        <v>76</v>
      </c>
      <c r="J47" s="6">
        <f t="shared" si="8"/>
        <v>0</v>
      </c>
      <c r="K47" s="6">
        <f t="shared" si="9"/>
        <v>0</v>
      </c>
      <c r="L47" s="3"/>
      <c r="M47" s="43"/>
      <c r="N47" s="43"/>
      <c r="O47" s="4"/>
    </row>
    <row r="48" spans="1:16" s="2" customFormat="1" x14ac:dyDescent="0.2">
      <c r="A48" s="7"/>
      <c r="B48" s="2" t="s">
        <v>84</v>
      </c>
      <c r="C48" s="12">
        <v>1524</v>
      </c>
      <c r="D48" s="12">
        <v>0</v>
      </c>
      <c r="E48" s="1">
        <f>unvested!E$8</f>
        <v>0.4</v>
      </c>
      <c r="F48" s="1">
        <f>unvested!F$8</f>
        <v>0</v>
      </c>
      <c r="G48" s="6">
        <f t="shared" si="6"/>
        <v>0</v>
      </c>
      <c r="H48" s="6">
        <f t="shared" si="7"/>
        <v>0</v>
      </c>
      <c r="I48" s="1">
        <v>83.125</v>
      </c>
      <c r="J48" s="6">
        <f t="shared" si="8"/>
        <v>0</v>
      </c>
      <c r="K48" s="6">
        <f t="shared" si="9"/>
        <v>0</v>
      </c>
      <c r="L48"/>
      <c r="M48"/>
      <c r="N48"/>
      <c r="O48"/>
    </row>
    <row r="49" spans="1:15" s="2" customFormat="1" x14ac:dyDescent="0.2">
      <c r="A49" s="7"/>
      <c r="B49" s="2" t="s">
        <v>85</v>
      </c>
      <c r="C49" s="12">
        <v>1968</v>
      </c>
      <c r="D49" s="12">
        <v>0</v>
      </c>
      <c r="E49" s="1">
        <f>unvested!E$8</f>
        <v>0.4</v>
      </c>
      <c r="F49" s="1">
        <f>unvested!F$8</f>
        <v>0</v>
      </c>
      <c r="G49" s="6">
        <f t="shared" si="6"/>
        <v>0</v>
      </c>
      <c r="H49" s="6">
        <f t="shared" si="7"/>
        <v>0</v>
      </c>
      <c r="I49" s="1">
        <v>62.41</v>
      </c>
      <c r="J49" s="6">
        <f t="shared" si="8"/>
        <v>0</v>
      </c>
      <c r="K49" s="6">
        <f t="shared" si="9"/>
        <v>0</v>
      </c>
      <c r="L49" s="3"/>
      <c r="M49" s="43"/>
      <c r="N49" s="43"/>
      <c r="O49" s="4"/>
    </row>
    <row r="50" spans="1:15" s="2" customFormat="1" x14ac:dyDescent="0.2">
      <c r="A50" s="7"/>
      <c r="B50" s="2" t="s">
        <v>90</v>
      </c>
      <c r="C50" s="12">
        <v>1967</v>
      </c>
      <c r="D50" s="12">
        <v>0</v>
      </c>
      <c r="E50" s="1">
        <f>unvested!E$8</f>
        <v>0.4</v>
      </c>
      <c r="F50" s="1">
        <f>unvested!F$8</f>
        <v>0</v>
      </c>
      <c r="G50" s="6">
        <f t="shared" si="6"/>
        <v>0</v>
      </c>
      <c r="H50" s="6">
        <f t="shared" si="7"/>
        <v>0</v>
      </c>
      <c r="I50" s="1">
        <v>54.03</v>
      </c>
      <c r="J50" s="6">
        <f t="shared" si="8"/>
        <v>0</v>
      </c>
      <c r="K50" s="6">
        <f t="shared" si="9"/>
        <v>0</v>
      </c>
      <c r="L50"/>
      <c r="M50"/>
      <c r="N50"/>
      <c r="O50"/>
    </row>
    <row r="51" spans="1:15" s="2" customFormat="1" x14ac:dyDescent="0.2">
      <c r="A51" s="7"/>
      <c r="B51" s="2" t="s">
        <v>96</v>
      </c>
      <c r="C51" s="12">
        <f>2778-417</f>
        <v>2361</v>
      </c>
      <c r="D51" s="12">
        <v>0</v>
      </c>
      <c r="E51" s="1">
        <f>unvested!E$8</f>
        <v>0.4</v>
      </c>
      <c r="F51" s="1">
        <f>unvested!F$8</f>
        <v>0</v>
      </c>
      <c r="G51" s="6">
        <f t="shared" si="6"/>
        <v>0</v>
      </c>
      <c r="H51" s="6">
        <f t="shared" si="7"/>
        <v>0</v>
      </c>
      <c r="I51" s="1">
        <v>48.3</v>
      </c>
      <c r="J51" s="6">
        <f t="shared" si="8"/>
        <v>0</v>
      </c>
      <c r="K51" s="6">
        <f t="shared" si="9"/>
        <v>0</v>
      </c>
      <c r="L51" s="3"/>
      <c r="M51" s="43"/>
      <c r="N51" s="43"/>
      <c r="O51" s="4"/>
    </row>
    <row r="52" spans="1:15" ht="13.5" thickBot="1" x14ac:dyDescent="0.25">
      <c r="B52" s="56" t="s">
        <v>38</v>
      </c>
      <c r="C52" s="51" t="s">
        <v>38</v>
      </c>
      <c r="D52" s="52"/>
      <c r="E52" s="53"/>
      <c r="F52" s="53"/>
      <c r="G52" s="54"/>
      <c r="H52" s="54"/>
      <c r="I52" s="55"/>
      <c r="J52" s="55"/>
      <c r="K52" s="55"/>
    </row>
    <row r="53" spans="1:15" x14ac:dyDescent="0.2">
      <c r="B53" s="57" t="s">
        <v>38</v>
      </c>
      <c r="C53" s="8" t="s">
        <v>38</v>
      </c>
    </row>
    <row r="54" spans="1:15" s="50" customFormat="1" x14ac:dyDescent="0.2">
      <c r="A54" s="48" t="s">
        <v>114</v>
      </c>
      <c r="B54" s="9" t="s">
        <v>38</v>
      </c>
      <c r="C54" s="21">
        <f t="shared" ref="C54:J54" si="10">SUM(C8:C51)</f>
        <v>65814.266700000007</v>
      </c>
      <c r="D54" s="21">
        <f t="shared" si="10"/>
        <v>29773.2667</v>
      </c>
      <c r="E54" s="10" t="s">
        <v>38</v>
      </c>
      <c r="F54" s="49" t="s">
        <v>38</v>
      </c>
      <c r="G54" s="10">
        <f t="shared" si="10"/>
        <v>5797.3066800000015</v>
      </c>
      <c r="H54" s="10">
        <f t="shared" si="10"/>
        <v>3743.4930800000006</v>
      </c>
      <c r="I54" s="49" t="s">
        <v>38</v>
      </c>
      <c r="J54" s="10">
        <f t="shared" si="10"/>
        <v>5466.6266800000003</v>
      </c>
      <c r="K54" s="10">
        <f>SUM(K8:K51)</f>
        <v>3663.0339600000002</v>
      </c>
    </row>
    <row r="55" spans="1:15" ht="13.5" thickBot="1" x14ac:dyDescent="0.25">
      <c r="B55" s="56" t="s">
        <v>38</v>
      </c>
      <c r="C55" s="51" t="s">
        <v>38</v>
      </c>
      <c r="D55" s="52"/>
      <c r="E55" s="53"/>
      <c r="F55" s="53"/>
      <c r="G55" s="54"/>
      <c r="H55" s="54"/>
      <c r="I55" s="55"/>
      <c r="J55" s="55"/>
      <c r="K55" s="55"/>
    </row>
    <row r="56" spans="1:15" x14ac:dyDescent="0.2">
      <c r="B56" s="9" t="s">
        <v>38</v>
      </c>
      <c r="C56" s="8" t="s">
        <v>38</v>
      </c>
    </row>
    <row r="57" spans="1:15" x14ac:dyDescent="0.2">
      <c r="B57" s="9" t="s">
        <v>38</v>
      </c>
      <c r="C57" s="8" t="s">
        <v>38</v>
      </c>
    </row>
    <row r="58" spans="1:15" x14ac:dyDescent="0.2">
      <c r="B58" s="9" t="s">
        <v>38</v>
      </c>
      <c r="C58" s="8" t="s">
        <v>38</v>
      </c>
    </row>
    <row r="59" spans="1:15" x14ac:dyDescent="0.2">
      <c r="B59" s="9" t="s">
        <v>38</v>
      </c>
      <c r="C59" s="8" t="s">
        <v>38</v>
      </c>
    </row>
    <row r="60" spans="1:15" x14ac:dyDescent="0.2">
      <c r="B60" s="9" t="s">
        <v>38</v>
      </c>
      <c r="C60" s="8" t="s">
        <v>38</v>
      </c>
    </row>
    <row r="61" spans="1:15" x14ac:dyDescent="0.2">
      <c r="B61" s="9" t="s">
        <v>38</v>
      </c>
      <c r="C61" s="8" t="s">
        <v>38</v>
      </c>
    </row>
    <row r="62" spans="1:15" x14ac:dyDescent="0.2">
      <c r="B62" s="9" t="s">
        <v>38</v>
      </c>
      <c r="C62" s="8" t="s">
        <v>38</v>
      </c>
    </row>
    <row r="63" spans="1:15" x14ac:dyDescent="0.2">
      <c r="B63" s="9" t="s">
        <v>38</v>
      </c>
      <c r="C63" s="8" t="s">
        <v>38</v>
      </c>
    </row>
    <row r="64" spans="1:15" x14ac:dyDescent="0.2">
      <c r="B64" s="9" t="s">
        <v>38</v>
      </c>
      <c r="C64" s="8" t="s">
        <v>38</v>
      </c>
    </row>
    <row r="65" spans="2:3" x14ac:dyDescent="0.2">
      <c r="B65" s="9" t="s">
        <v>38</v>
      </c>
      <c r="C65" s="8" t="s">
        <v>38</v>
      </c>
    </row>
    <row r="66" spans="2:3" x14ac:dyDescent="0.2">
      <c r="B66" s="9" t="s">
        <v>38</v>
      </c>
      <c r="C66" s="8" t="s">
        <v>38</v>
      </c>
    </row>
    <row r="67" spans="2:3" x14ac:dyDescent="0.2">
      <c r="B67" s="9" t="s">
        <v>38</v>
      </c>
      <c r="C67" s="8" t="s">
        <v>38</v>
      </c>
    </row>
    <row r="68" spans="2:3" x14ac:dyDescent="0.2">
      <c r="B68" s="9" t="s">
        <v>38</v>
      </c>
      <c r="C68" s="8" t="s">
        <v>38</v>
      </c>
    </row>
    <row r="69" spans="2:3" x14ac:dyDescent="0.2">
      <c r="B69" s="9" t="s">
        <v>38</v>
      </c>
      <c r="C69" s="8" t="s">
        <v>38</v>
      </c>
    </row>
    <row r="70" spans="2:3" x14ac:dyDescent="0.2">
      <c r="B70" s="9" t="s">
        <v>38</v>
      </c>
      <c r="C70" s="8" t="s">
        <v>38</v>
      </c>
    </row>
    <row r="71" spans="2:3" x14ac:dyDescent="0.2">
      <c r="B71" s="9" t="s">
        <v>38</v>
      </c>
      <c r="C71" s="8" t="s">
        <v>38</v>
      </c>
    </row>
    <row r="72" spans="2:3" x14ac:dyDescent="0.2">
      <c r="B72" s="9" t="s">
        <v>38</v>
      </c>
      <c r="C72" s="8" t="s">
        <v>38</v>
      </c>
    </row>
    <row r="73" spans="2:3" x14ac:dyDescent="0.2">
      <c r="B73" s="9" t="s">
        <v>38</v>
      </c>
      <c r="C73" s="8" t="s">
        <v>38</v>
      </c>
    </row>
    <row r="74" spans="2:3" x14ac:dyDescent="0.2">
      <c r="B74" s="9" t="s">
        <v>38</v>
      </c>
      <c r="C74" s="8" t="s">
        <v>38</v>
      </c>
    </row>
    <row r="75" spans="2:3" x14ac:dyDescent="0.2">
      <c r="B75" s="9" t="s">
        <v>38</v>
      </c>
      <c r="C75" s="8" t="s">
        <v>38</v>
      </c>
    </row>
    <row r="76" spans="2:3" x14ac:dyDescent="0.2">
      <c r="B76" s="9" t="s">
        <v>38</v>
      </c>
      <c r="C76" s="8" t="s">
        <v>38</v>
      </c>
    </row>
    <row r="77" spans="2:3" x14ac:dyDescent="0.2">
      <c r="B77" s="9" t="s">
        <v>38</v>
      </c>
      <c r="C77" s="8" t="s">
        <v>38</v>
      </c>
    </row>
    <row r="78" spans="2:3" x14ac:dyDescent="0.2">
      <c r="B78" s="9" t="s">
        <v>38</v>
      </c>
      <c r="C78" s="8" t="s">
        <v>38</v>
      </c>
    </row>
    <row r="79" spans="2:3" x14ac:dyDescent="0.2">
      <c r="B79" s="9" t="s">
        <v>38</v>
      </c>
      <c r="C79" s="8" t="s">
        <v>38</v>
      </c>
    </row>
    <row r="80" spans="2:3" x14ac:dyDescent="0.2">
      <c r="B80" s="9" t="s">
        <v>38</v>
      </c>
      <c r="C80" s="8" t="s">
        <v>38</v>
      </c>
    </row>
    <row r="81" spans="2:3" x14ac:dyDescent="0.2">
      <c r="B81" s="9" t="s">
        <v>38</v>
      </c>
      <c r="C81" s="8" t="s">
        <v>38</v>
      </c>
    </row>
    <row r="82" spans="2:3" x14ac:dyDescent="0.2">
      <c r="B82" s="9" t="s">
        <v>38</v>
      </c>
      <c r="C82" s="8" t="s">
        <v>38</v>
      </c>
    </row>
    <row r="83" spans="2:3" x14ac:dyDescent="0.2">
      <c r="B83" s="9" t="s">
        <v>38</v>
      </c>
      <c r="C83" s="8" t="s">
        <v>38</v>
      </c>
    </row>
    <row r="84" spans="2:3" x14ac:dyDescent="0.2">
      <c r="B84" s="9" t="s">
        <v>38</v>
      </c>
      <c r="C84" s="8" t="s">
        <v>38</v>
      </c>
    </row>
    <row r="85" spans="2:3" x14ac:dyDescent="0.2">
      <c r="B85" s="9" t="s">
        <v>38</v>
      </c>
      <c r="C85" s="8" t="s">
        <v>38</v>
      </c>
    </row>
    <row r="86" spans="2:3" x14ac:dyDescent="0.2">
      <c r="B86" s="9" t="s">
        <v>38</v>
      </c>
      <c r="C86" s="8" t="s">
        <v>38</v>
      </c>
    </row>
    <row r="87" spans="2:3" x14ac:dyDescent="0.2">
      <c r="B87" s="9" t="s">
        <v>38</v>
      </c>
      <c r="C87" s="8" t="s">
        <v>38</v>
      </c>
    </row>
    <row r="88" spans="2:3" x14ac:dyDescent="0.2">
      <c r="B88" s="9" t="s">
        <v>38</v>
      </c>
      <c r="C88" s="8" t="s">
        <v>38</v>
      </c>
    </row>
    <row r="89" spans="2:3" x14ac:dyDescent="0.2">
      <c r="B89" s="9" t="s">
        <v>38</v>
      </c>
      <c r="C89" s="8" t="s">
        <v>38</v>
      </c>
    </row>
    <row r="90" spans="2:3" x14ac:dyDescent="0.2">
      <c r="B90" s="9" t="s">
        <v>38</v>
      </c>
      <c r="C90" s="8" t="s">
        <v>38</v>
      </c>
    </row>
    <row r="91" spans="2:3" x14ac:dyDescent="0.2">
      <c r="B91" s="9" t="s">
        <v>38</v>
      </c>
      <c r="C91" s="8" t="s">
        <v>38</v>
      </c>
    </row>
    <row r="92" spans="2:3" x14ac:dyDescent="0.2">
      <c r="B92" s="9" t="s">
        <v>38</v>
      </c>
      <c r="C92" s="8" t="s">
        <v>38</v>
      </c>
    </row>
    <row r="93" spans="2:3" x14ac:dyDescent="0.2">
      <c r="B93" s="9" t="s">
        <v>38</v>
      </c>
      <c r="C93" s="8" t="s">
        <v>38</v>
      </c>
    </row>
    <row r="94" spans="2:3" x14ac:dyDescent="0.2">
      <c r="B94" s="9" t="s">
        <v>38</v>
      </c>
      <c r="C94" s="8" t="s">
        <v>38</v>
      </c>
    </row>
    <row r="95" spans="2:3" x14ac:dyDescent="0.2">
      <c r="B95" s="9" t="s">
        <v>38</v>
      </c>
      <c r="C95" s="8" t="s">
        <v>38</v>
      </c>
    </row>
    <row r="96" spans="2:3" x14ac:dyDescent="0.2">
      <c r="B96" s="9" t="s">
        <v>38</v>
      </c>
      <c r="C96" s="8" t="s">
        <v>38</v>
      </c>
    </row>
    <row r="97" spans="2:3" x14ac:dyDescent="0.2">
      <c r="B97" s="9" t="s">
        <v>38</v>
      </c>
      <c r="C97" s="8" t="s">
        <v>38</v>
      </c>
    </row>
    <row r="98" spans="2:3" x14ac:dyDescent="0.2">
      <c r="B98" s="9" t="s">
        <v>38</v>
      </c>
      <c r="C98" s="8" t="s">
        <v>38</v>
      </c>
    </row>
    <row r="99" spans="2:3" x14ac:dyDescent="0.2">
      <c r="B99" s="9" t="s">
        <v>38</v>
      </c>
      <c r="C99" s="8" t="s">
        <v>38</v>
      </c>
    </row>
    <row r="100" spans="2:3" x14ac:dyDescent="0.2">
      <c r="B100" s="9" t="s">
        <v>38</v>
      </c>
      <c r="C100" s="8" t="s">
        <v>38</v>
      </c>
    </row>
    <row r="101" spans="2:3" x14ac:dyDescent="0.2">
      <c r="B101" s="9" t="s">
        <v>38</v>
      </c>
      <c r="C101" s="8" t="s">
        <v>38</v>
      </c>
    </row>
    <row r="102" spans="2:3" x14ac:dyDescent="0.2">
      <c r="B102" s="9" t="s">
        <v>38</v>
      </c>
      <c r="C102" s="8" t="s">
        <v>38</v>
      </c>
    </row>
    <row r="103" spans="2:3" x14ac:dyDescent="0.2">
      <c r="B103" s="9" t="s">
        <v>38</v>
      </c>
      <c r="C103" s="8" t="s">
        <v>38</v>
      </c>
    </row>
    <row r="104" spans="2:3" x14ac:dyDescent="0.2">
      <c r="B104" s="9" t="s">
        <v>38</v>
      </c>
      <c r="C104" s="8" t="s">
        <v>38</v>
      </c>
    </row>
    <row r="105" spans="2:3" x14ac:dyDescent="0.2">
      <c r="B105" s="9" t="s">
        <v>38</v>
      </c>
      <c r="C105" s="8" t="s">
        <v>38</v>
      </c>
    </row>
    <row r="106" spans="2:3" x14ac:dyDescent="0.2">
      <c r="B106" s="9" t="s">
        <v>38</v>
      </c>
      <c r="C106" s="8" t="s">
        <v>38</v>
      </c>
    </row>
    <row r="107" spans="2:3" x14ac:dyDescent="0.2">
      <c r="B107" s="9" t="s">
        <v>38</v>
      </c>
      <c r="C107" s="8" t="s">
        <v>38</v>
      </c>
    </row>
    <row r="108" spans="2:3" x14ac:dyDescent="0.2">
      <c r="B108" s="9" t="s">
        <v>38</v>
      </c>
      <c r="C108" s="8" t="s">
        <v>38</v>
      </c>
    </row>
    <row r="109" spans="2:3" x14ac:dyDescent="0.2">
      <c r="B109" s="9" t="s">
        <v>38</v>
      </c>
      <c r="C109" s="8" t="s">
        <v>38</v>
      </c>
    </row>
    <row r="110" spans="2:3" x14ac:dyDescent="0.2">
      <c r="B110" s="9" t="s">
        <v>38</v>
      </c>
      <c r="C110" s="8" t="s">
        <v>38</v>
      </c>
    </row>
    <row r="111" spans="2:3" x14ac:dyDescent="0.2">
      <c r="B111" s="9" t="s">
        <v>38</v>
      </c>
      <c r="C111" s="8" t="s">
        <v>38</v>
      </c>
    </row>
    <row r="112" spans="2:3" x14ac:dyDescent="0.2">
      <c r="B112" s="9" t="s">
        <v>38</v>
      </c>
      <c r="C112" s="8" t="s">
        <v>38</v>
      </c>
    </row>
    <row r="113" spans="2:9" x14ac:dyDescent="0.2">
      <c r="B113" s="9" t="s">
        <v>38</v>
      </c>
      <c r="C113" s="8" t="s">
        <v>38</v>
      </c>
    </row>
    <row r="114" spans="2:9" x14ac:dyDescent="0.2">
      <c r="B114" s="9" t="s">
        <v>38</v>
      </c>
      <c r="C114" s="8" t="s">
        <v>38</v>
      </c>
    </row>
    <row r="115" spans="2:9" x14ac:dyDescent="0.2">
      <c r="B115" s="9" t="s">
        <v>38</v>
      </c>
      <c r="C115" s="8" t="s">
        <v>38</v>
      </c>
    </row>
    <row r="116" spans="2:9" x14ac:dyDescent="0.2">
      <c r="B116" s="9" t="s">
        <v>38</v>
      </c>
      <c r="C116" s="8" t="s">
        <v>38</v>
      </c>
    </row>
    <row r="117" spans="2:9" x14ac:dyDescent="0.2">
      <c r="B117" s="9" t="s">
        <v>38</v>
      </c>
      <c r="C117" s="8" t="s">
        <v>38</v>
      </c>
    </row>
    <row r="118" spans="2:9" x14ac:dyDescent="0.2">
      <c r="B118" s="9" t="s">
        <v>38</v>
      </c>
      <c r="C118" s="8" t="s">
        <v>38</v>
      </c>
    </row>
    <row r="119" spans="2:9" x14ac:dyDescent="0.2">
      <c r="B119" s="9" t="s">
        <v>38</v>
      </c>
      <c r="C119" s="8" t="s">
        <v>38</v>
      </c>
    </row>
    <row r="123" spans="2:9" x14ac:dyDescent="0.2">
      <c r="B123" s="2" t="s">
        <v>38</v>
      </c>
      <c r="C123" s="12" t="s">
        <v>38</v>
      </c>
      <c r="D123" s="12" t="s">
        <v>38</v>
      </c>
      <c r="E123" s="1" t="s">
        <v>38</v>
      </c>
      <c r="I123" s="1"/>
    </row>
    <row r="124" spans="2:9" x14ac:dyDescent="0.2">
      <c r="B124" s="2" t="s">
        <v>38</v>
      </c>
      <c r="C124" s="12" t="s">
        <v>38</v>
      </c>
      <c r="D124" s="12" t="s">
        <v>38</v>
      </c>
      <c r="E124" s="1" t="s">
        <v>38</v>
      </c>
      <c r="I124" s="1"/>
    </row>
    <row r="125" spans="2:9" x14ac:dyDescent="0.2">
      <c r="B125" s="2" t="s">
        <v>38</v>
      </c>
      <c r="C125" s="12" t="s">
        <v>38</v>
      </c>
      <c r="D125" s="12" t="s">
        <v>38</v>
      </c>
      <c r="E125" s="1" t="s">
        <v>38</v>
      </c>
      <c r="I125" s="1"/>
    </row>
    <row r="126" spans="2:9" x14ac:dyDescent="0.2">
      <c r="B126" s="2"/>
      <c r="C126" s="12" t="s">
        <v>38</v>
      </c>
      <c r="D126" s="12" t="s">
        <v>38</v>
      </c>
      <c r="E126" s="1" t="s">
        <v>38</v>
      </c>
      <c r="I126" s="1"/>
    </row>
    <row r="127" spans="2:9" x14ac:dyDescent="0.2">
      <c r="B127" s="4" t="s">
        <v>38</v>
      </c>
      <c r="C127" s="12" t="s">
        <v>38</v>
      </c>
      <c r="D127" s="12" t="s">
        <v>38</v>
      </c>
      <c r="E127" s="1" t="s">
        <v>38</v>
      </c>
      <c r="I127" s="2"/>
    </row>
    <row r="128" spans="2:9" x14ac:dyDescent="0.2">
      <c r="B128" s="2" t="s">
        <v>38</v>
      </c>
      <c r="C128" s="12" t="s">
        <v>38</v>
      </c>
      <c r="D128" s="12" t="s">
        <v>38</v>
      </c>
      <c r="E128" s="1" t="s">
        <v>38</v>
      </c>
      <c r="F128" s="1" t="s">
        <v>38</v>
      </c>
      <c r="I128" s="1" t="s">
        <v>38</v>
      </c>
    </row>
    <row r="129" spans="2:9" x14ac:dyDescent="0.2">
      <c r="B129" s="2" t="s">
        <v>38</v>
      </c>
      <c r="C129" s="12" t="s">
        <v>38</v>
      </c>
      <c r="D129" s="12" t="s">
        <v>38</v>
      </c>
      <c r="E129" s="1" t="s">
        <v>38</v>
      </c>
      <c r="F129" s="1" t="s">
        <v>38</v>
      </c>
      <c r="I129" s="1" t="s">
        <v>38</v>
      </c>
    </row>
    <row r="130" spans="2:9" x14ac:dyDescent="0.2">
      <c r="B130" s="2" t="s">
        <v>38</v>
      </c>
      <c r="C130" s="12" t="s">
        <v>38</v>
      </c>
      <c r="D130" s="12" t="s">
        <v>38</v>
      </c>
      <c r="E130" s="1" t="s">
        <v>38</v>
      </c>
      <c r="F130" s="1" t="s">
        <v>38</v>
      </c>
      <c r="I130" s="1" t="s">
        <v>38</v>
      </c>
    </row>
    <row r="131" spans="2:9" x14ac:dyDescent="0.2">
      <c r="B131" s="2" t="s">
        <v>38</v>
      </c>
      <c r="C131" s="12" t="s">
        <v>38</v>
      </c>
      <c r="D131" s="12" t="s">
        <v>38</v>
      </c>
      <c r="E131" s="1" t="s">
        <v>38</v>
      </c>
      <c r="F131" s="1" t="s">
        <v>38</v>
      </c>
      <c r="I131" s="1" t="s">
        <v>38</v>
      </c>
    </row>
    <row r="132" spans="2:9" x14ac:dyDescent="0.2">
      <c r="B132" s="2" t="s">
        <v>38</v>
      </c>
      <c r="C132" s="12" t="s">
        <v>38</v>
      </c>
      <c r="D132" s="12" t="s">
        <v>38</v>
      </c>
      <c r="E132" s="1" t="s">
        <v>38</v>
      </c>
      <c r="F132" s="1" t="s">
        <v>38</v>
      </c>
      <c r="I132" s="1" t="s">
        <v>38</v>
      </c>
    </row>
    <row r="133" spans="2:9" x14ac:dyDescent="0.2">
      <c r="B133" s="2" t="s">
        <v>38</v>
      </c>
      <c r="C133" s="12" t="s">
        <v>38</v>
      </c>
      <c r="D133" s="12" t="s">
        <v>38</v>
      </c>
      <c r="E133" s="1" t="s">
        <v>38</v>
      </c>
      <c r="F133" s="1" t="s">
        <v>38</v>
      </c>
      <c r="I133" s="1" t="s">
        <v>38</v>
      </c>
    </row>
    <row r="134" spans="2:9" x14ac:dyDescent="0.2">
      <c r="B134" s="2" t="s">
        <v>38</v>
      </c>
      <c r="C134" s="12" t="s">
        <v>38</v>
      </c>
      <c r="D134" s="12" t="s">
        <v>38</v>
      </c>
      <c r="E134" s="1" t="s">
        <v>38</v>
      </c>
      <c r="F134" s="1" t="s">
        <v>38</v>
      </c>
      <c r="I134" s="1" t="s">
        <v>38</v>
      </c>
    </row>
    <row r="135" spans="2:9" x14ac:dyDescent="0.2">
      <c r="B135" s="2" t="s">
        <v>38</v>
      </c>
      <c r="C135" s="12" t="s">
        <v>38</v>
      </c>
      <c r="D135" s="12" t="s">
        <v>38</v>
      </c>
      <c r="E135" s="1" t="s">
        <v>38</v>
      </c>
      <c r="F135" s="1" t="s">
        <v>38</v>
      </c>
      <c r="I135" s="1" t="s">
        <v>38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mm assets</vt:lpstr>
      <vt:lpstr>net</vt:lpstr>
      <vt:lpstr>unvested</vt:lpstr>
      <vt:lpstr>'mm assets'!Print_Titles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Jan Havlíček</cp:lastModifiedBy>
  <cp:lastPrinted>2001-12-12T22:12:39Z</cp:lastPrinted>
  <dcterms:created xsi:type="dcterms:W3CDTF">1998-07-16T04:01:00Z</dcterms:created>
  <dcterms:modified xsi:type="dcterms:W3CDTF">2023-09-20T00:45:03Z</dcterms:modified>
</cp:coreProperties>
</file>