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60E115-FC57-4810-908E-611FE3DCFCAC}" xr6:coauthVersionLast="47" xr6:coauthVersionMax="47" xr10:uidLastSave="{00000000-0000-0000-0000-000000000000}"/>
  <bookViews>
    <workbookView xWindow="-120" yWindow="-120" windowWidth="38640" windowHeight="15720" firstSheet="8" activeTab="13"/>
  </bookViews>
  <sheets>
    <sheet name="Aug2000" sheetId="1" r:id="rId1"/>
    <sheet name="Sep2000" sheetId="2" r:id="rId2"/>
    <sheet name="Oct2000" sheetId="3" r:id="rId3"/>
    <sheet name="Nov2000" sheetId="4" r:id="rId4"/>
    <sheet name="Dec2000" sheetId="11" r:id="rId5"/>
    <sheet name="Jan2001" sheetId="10" r:id="rId6"/>
    <sheet name="Feb2001" sheetId="9" r:id="rId7"/>
    <sheet name="Mar2001" sheetId="8" r:id="rId8"/>
    <sheet name="Apr2001" sheetId="7" r:id="rId9"/>
    <sheet name="May2001" sheetId="15" r:id="rId10"/>
    <sheet name="Jun2001" sheetId="14" r:id="rId11"/>
    <sheet name="Jul2001" sheetId="13" r:id="rId12"/>
    <sheet name="Aug2001" sheetId="12" r:id="rId13"/>
    <sheet name="SummaryCashInOutStats" sheetId="6" r:id="rId14"/>
    <sheet name="Sheet2" sheetId="5" r:id="rId15"/>
  </sheets>
  <definedNames>
    <definedName name="_xlnm.Print_Area" localSheetId="8">'Apr2001'!$A$1:$I$121</definedName>
    <definedName name="_xlnm.Print_Area" localSheetId="0">'Aug2000'!$A$1:$I$126</definedName>
    <definedName name="_xlnm.Print_Area" localSheetId="12">'Aug2001'!$A$1:$I$108</definedName>
    <definedName name="_xlnm.Print_Area" localSheetId="4">'Dec2000'!$A$1:$I$125</definedName>
    <definedName name="_xlnm.Print_Area" localSheetId="6">'Feb2001'!$A$1:$I$116</definedName>
    <definedName name="_xlnm.Print_Area" localSheetId="5">'Jan2001'!$A$1:$I$120</definedName>
    <definedName name="_xlnm.Print_Area" localSheetId="11">'Jul2001'!$A$1:$I$120</definedName>
    <definedName name="_xlnm.Print_Area" localSheetId="10">'Jun2001'!$A$1:$I$117</definedName>
    <definedName name="_xlnm.Print_Area" localSheetId="7">'Mar2001'!$A$1:$I$118</definedName>
    <definedName name="_xlnm.Print_Area" localSheetId="9">'May2001'!$A$1:$I$123</definedName>
    <definedName name="_xlnm.Print_Area" localSheetId="3">'Nov2000'!$A$1:$I$129</definedName>
    <definedName name="_xlnm.Print_Area" localSheetId="2">'Oct2000'!$A$1:$I$130</definedName>
    <definedName name="_xlnm.Print_Area" localSheetId="1">'Sep2000'!$A$1:$I$130</definedName>
    <definedName name="_xlnm.Print_Area" localSheetId="13">SummaryCashInOutStats!$A$1:$L$28</definedName>
    <definedName name="_xlnm.Print_Titles" localSheetId="8">'Apr2001'!$1:$4</definedName>
    <definedName name="_xlnm.Print_Titles" localSheetId="0">'Aug2000'!$1:$3</definedName>
    <definedName name="_xlnm.Print_Titles" localSheetId="12">'Aug2001'!$1:$4</definedName>
    <definedName name="_xlnm.Print_Titles" localSheetId="4">'Dec2000'!$1:$4</definedName>
    <definedName name="_xlnm.Print_Titles" localSheetId="6">'Feb2001'!$1:$3</definedName>
    <definedName name="_xlnm.Print_Titles" localSheetId="5">'Jan2001'!$1:$3</definedName>
    <definedName name="_xlnm.Print_Titles" localSheetId="11">'Jul2001'!$1:$4</definedName>
    <definedName name="_xlnm.Print_Titles" localSheetId="10">'Jun2001'!$1:$4</definedName>
    <definedName name="_xlnm.Print_Titles" localSheetId="7">'Mar2001'!$1:$4</definedName>
    <definedName name="_xlnm.Print_Titles" localSheetId="9">'May2001'!$1:$4</definedName>
    <definedName name="_xlnm.Print_Titles" localSheetId="3">'Nov2000'!$1:$4</definedName>
    <definedName name="_xlnm.Print_Titles" localSheetId="2">'Oct2000'!$1:$4</definedName>
    <definedName name="_xlnm.Print_Titles" localSheetId="1">'Sep2000'!$1:$3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G6" i="7"/>
  <c r="G7" i="7"/>
  <c r="F8" i="7"/>
  <c r="G8" i="7"/>
  <c r="F9" i="7"/>
  <c r="G9" i="7"/>
  <c r="G10" i="7"/>
  <c r="G11" i="7"/>
  <c r="F12" i="7"/>
  <c r="G12" i="7"/>
  <c r="G13" i="7"/>
  <c r="G14" i="7"/>
  <c r="G15" i="7"/>
  <c r="G16" i="7"/>
  <c r="G17" i="7"/>
  <c r="G18" i="7"/>
  <c r="G19" i="7"/>
  <c r="F20" i="7"/>
  <c r="G20" i="7"/>
  <c r="E21" i="7"/>
  <c r="F21" i="7"/>
  <c r="G21" i="7"/>
  <c r="I21" i="7"/>
  <c r="G24" i="7"/>
  <c r="G25" i="7"/>
  <c r="G26" i="7"/>
  <c r="G27" i="7"/>
  <c r="G28" i="7"/>
  <c r="G29" i="7"/>
  <c r="G30" i="7"/>
  <c r="G31" i="7"/>
  <c r="F32" i="7"/>
  <c r="G32" i="7"/>
  <c r="G33" i="7"/>
  <c r="G34" i="7"/>
  <c r="G35" i="7"/>
  <c r="G36" i="7"/>
  <c r="G37" i="7"/>
  <c r="G38" i="7"/>
  <c r="G39" i="7"/>
  <c r="G40" i="7"/>
  <c r="G41" i="7"/>
  <c r="G42" i="7"/>
  <c r="F43" i="7"/>
  <c r="G43" i="7"/>
  <c r="G44" i="7"/>
  <c r="E45" i="7"/>
  <c r="F45" i="7"/>
  <c r="G45" i="7"/>
  <c r="I45" i="7"/>
  <c r="G47" i="7"/>
  <c r="G51" i="7"/>
  <c r="E57" i="7"/>
  <c r="G57" i="7"/>
  <c r="F58" i="7"/>
  <c r="G58" i="7"/>
  <c r="G59" i="7"/>
  <c r="G60" i="7"/>
  <c r="E61" i="7"/>
  <c r="F61" i="7"/>
  <c r="G61" i="7"/>
  <c r="I61" i="7"/>
  <c r="F64" i="7"/>
  <c r="G64" i="7"/>
  <c r="F65" i="7"/>
  <c r="G65" i="7"/>
  <c r="G66" i="7"/>
  <c r="G67" i="7"/>
  <c r="G68" i="7"/>
  <c r="G69" i="7"/>
  <c r="G70" i="7"/>
  <c r="G71" i="7"/>
  <c r="G72" i="7"/>
  <c r="G73" i="7"/>
  <c r="G74" i="7"/>
  <c r="G75" i="7"/>
  <c r="G76" i="7"/>
  <c r="F77" i="7"/>
  <c r="G77" i="7"/>
  <c r="G78" i="7"/>
  <c r="G79" i="7"/>
  <c r="G80" i="7"/>
  <c r="G81" i="7"/>
  <c r="G82" i="7"/>
  <c r="G83" i="7"/>
  <c r="G84" i="7"/>
  <c r="G85" i="7"/>
  <c r="G86" i="7"/>
  <c r="G87" i="7"/>
  <c r="G88" i="7"/>
  <c r="F89" i="7"/>
  <c r="G89" i="7"/>
  <c r="G90" i="7"/>
  <c r="G91" i="7"/>
  <c r="G92" i="7"/>
  <c r="F93" i="7"/>
  <c r="G93" i="7"/>
  <c r="E94" i="7"/>
  <c r="F94" i="7"/>
  <c r="G94" i="7"/>
  <c r="I94" i="7"/>
  <c r="G96" i="7"/>
  <c r="G97" i="7"/>
  <c r="G98" i="7"/>
  <c r="G99" i="7"/>
  <c r="E100" i="7"/>
  <c r="F100" i="7"/>
  <c r="G100" i="7"/>
  <c r="I100" i="7"/>
  <c r="G103" i="7"/>
  <c r="G104" i="7"/>
  <c r="G105" i="7"/>
  <c r="E106" i="7"/>
  <c r="F106" i="7"/>
  <c r="G106" i="7"/>
  <c r="I106" i="7"/>
  <c r="E109" i="7"/>
  <c r="F109" i="7"/>
  <c r="G109" i="7"/>
  <c r="I109" i="7"/>
  <c r="G112" i="7"/>
  <c r="I112" i="7"/>
  <c r="G114" i="7"/>
  <c r="I114" i="7"/>
  <c r="G116" i="7"/>
  <c r="I116" i="7"/>
  <c r="G4" i="1"/>
  <c r="G5" i="1"/>
  <c r="E6" i="1"/>
  <c r="G6" i="1"/>
  <c r="F7" i="1"/>
  <c r="G7" i="1"/>
  <c r="G8" i="1"/>
  <c r="G9" i="1"/>
  <c r="G10" i="1"/>
  <c r="G11" i="1"/>
  <c r="F12" i="1"/>
  <c r="G12" i="1"/>
  <c r="E13" i="1"/>
  <c r="G13" i="1"/>
  <c r="G14" i="1"/>
  <c r="E15" i="1"/>
  <c r="G15" i="1"/>
  <c r="G16" i="1"/>
  <c r="G17" i="1"/>
  <c r="G18" i="1"/>
  <c r="G19" i="1"/>
  <c r="G20" i="1"/>
  <c r="G21" i="1"/>
  <c r="F22" i="1"/>
  <c r="G22" i="1"/>
  <c r="G23" i="1"/>
  <c r="G24" i="1"/>
  <c r="E25" i="1"/>
  <c r="F25" i="1"/>
  <c r="G25" i="1"/>
  <c r="I25" i="1"/>
  <c r="G28" i="1"/>
  <c r="G29" i="1"/>
  <c r="G30" i="1"/>
  <c r="G31" i="1"/>
  <c r="G32" i="1"/>
  <c r="G33" i="1"/>
  <c r="F34" i="1"/>
  <c r="G34" i="1"/>
  <c r="G35" i="1"/>
  <c r="G36" i="1"/>
  <c r="G37" i="1"/>
  <c r="G38" i="1"/>
  <c r="G39" i="1"/>
  <c r="G40" i="1"/>
  <c r="G41" i="1"/>
  <c r="G42" i="1"/>
  <c r="G43" i="1"/>
  <c r="E44" i="1"/>
  <c r="F44" i="1"/>
  <c r="G44" i="1"/>
  <c r="I44" i="1"/>
  <c r="G46" i="1"/>
  <c r="G50" i="1"/>
  <c r="G53" i="1"/>
  <c r="F54" i="1"/>
  <c r="G54" i="1"/>
  <c r="G55" i="1"/>
  <c r="G56" i="1"/>
  <c r="G57" i="1"/>
  <c r="G58" i="1"/>
  <c r="F59" i="1"/>
  <c r="G59" i="1"/>
  <c r="G60" i="1"/>
  <c r="E61" i="1"/>
  <c r="F61" i="1"/>
  <c r="G61" i="1"/>
  <c r="I61" i="1"/>
  <c r="G64" i="1"/>
  <c r="G65" i="1"/>
  <c r="G66" i="1"/>
  <c r="F67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E94" i="1"/>
  <c r="F94" i="1"/>
  <c r="G94" i="1"/>
  <c r="I94" i="1"/>
  <c r="G98" i="1"/>
  <c r="G99" i="1"/>
  <c r="G100" i="1"/>
  <c r="E101" i="1"/>
  <c r="F101" i="1"/>
  <c r="G101" i="1"/>
  <c r="I101" i="1"/>
  <c r="G104" i="1"/>
  <c r="G105" i="1"/>
  <c r="G106" i="1"/>
  <c r="G107" i="1"/>
  <c r="G108" i="1"/>
  <c r="E109" i="1"/>
  <c r="F109" i="1"/>
  <c r="G109" i="1"/>
  <c r="I109" i="1"/>
  <c r="E113" i="1"/>
  <c r="F113" i="1"/>
  <c r="G113" i="1"/>
  <c r="I113" i="1"/>
  <c r="G117" i="1"/>
  <c r="I117" i="1"/>
  <c r="G119" i="1"/>
  <c r="I119" i="1"/>
  <c r="G121" i="1"/>
  <c r="I121" i="1"/>
  <c r="G5" i="12"/>
  <c r="F6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F24" i="12"/>
  <c r="G24" i="12"/>
  <c r="G25" i="12"/>
  <c r="G26" i="12"/>
  <c r="G27" i="12"/>
  <c r="G28" i="12"/>
  <c r="G29" i="12"/>
  <c r="G30" i="12"/>
  <c r="E31" i="12"/>
  <c r="F31" i="12"/>
  <c r="G31" i="12"/>
  <c r="I31" i="12"/>
  <c r="G34" i="12"/>
  <c r="G35" i="12"/>
  <c r="G36" i="12"/>
  <c r="G37" i="12"/>
  <c r="G38" i="12"/>
  <c r="G39" i="12"/>
  <c r="G40" i="12"/>
  <c r="G41" i="12"/>
  <c r="G42" i="12"/>
  <c r="G43" i="12"/>
  <c r="E44" i="12"/>
  <c r="F44" i="12"/>
  <c r="G44" i="12"/>
  <c r="I44" i="12"/>
  <c r="G46" i="12"/>
  <c r="G50" i="12"/>
  <c r="G58" i="12"/>
  <c r="G59" i="12"/>
  <c r="G60" i="12"/>
  <c r="G61" i="12"/>
  <c r="G62" i="12"/>
  <c r="F63" i="12"/>
  <c r="G63" i="12"/>
  <c r="G64" i="12"/>
  <c r="G65" i="12"/>
  <c r="G66" i="12"/>
  <c r="G67" i="12"/>
  <c r="G68" i="12"/>
  <c r="G69" i="12"/>
  <c r="G70" i="12"/>
  <c r="G71" i="12"/>
  <c r="F72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F85" i="12"/>
  <c r="G85" i="12"/>
  <c r="G86" i="12"/>
  <c r="F87" i="12"/>
  <c r="G87" i="12"/>
  <c r="G88" i="12"/>
  <c r="G89" i="12"/>
  <c r="G90" i="12"/>
  <c r="E91" i="12"/>
  <c r="F91" i="12"/>
  <c r="G91" i="12"/>
  <c r="G94" i="12"/>
  <c r="G95" i="12"/>
  <c r="G96" i="12"/>
  <c r="G97" i="12"/>
  <c r="G98" i="12"/>
  <c r="G99" i="12"/>
  <c r="G100" i="12"/>
  <c r="G101" i="12"/>
  <c r="G102" i="12"/>
  <c r="E103" i="12"/>
  <c r="F103" i="12"/>
  <c r="G103" i="12"/>
  <c r="E106" i="12"/>
  <c r="F106" i="12"/>
  <c r="G106" i="12"/>
  <c r="G5" i="11"/>
  <c r="G6" i="11"/>
  <c r="G7" i="11"/>
  <c r="E8" i="11"/>
  <c r="F8" i="11"/>
  <c r="G8" i="11"/>
  <c r="G9" i="11"/>
  <c r="E10" i="11"/>
  <c r="F10" i="11"/>
  <c r="G10" i="11"/>
  <c r="G11" i="11"/>
  <c r="F12" i="11"/>
  <c r="G12" i="11"/>
  <c r="E13" i="11"/>
  <c r="G13" i="11"/>
  <c r="G14" i="11"/>
  <c r="G15" i="11"/>
  <c r="E16" i="11"/>
  <c r="G16" i="11"/>
  <c r="G17" i="11"/>
  <c r="G18" i="11"/>
  <c r="G19" i="11"/>
  <c r="G20" i="11"/>
  <c r="G21" i="11"/>
  <c r="G22" i="11"/>
  <c r="E23" i="11"/>
  <c r="F23" i="11"/>
  <c r="G23" i="11"/>
  <c r="I23" i="11"/>
  <c r="E26" i="11"/>
  <c r="F26" i="11"/>
  <c r="G26" i="11"/>
  <c r="G27" i="11"/>
  <c r="E28" i="11"/>
  <c r="F28" i="11"/>
  <c r="G28" i="11"/>
  <c r="G29" i="11"/>
  <c r="E30" i="11"/>
  <c r="F30" i="11"/>
  <c r="G30" i="11"/>
  <c r="E31" i="11"/>
  <c r="F31" i="11"/>
  <c r="G31" i="11"/>
  <c r="E32" i="11"/>
  <c r="F32" i="11"/>
  <c r="G32" i="11"/>
  <c r="G33" i="11"/>
  <c r="E34" i="11"/>
  <c r="F34" i="11"/>
  <c r="G34" i="11"/>
  <c r="E35" i="11"/>
  <c r="F35" i="11"/>
  <c r="G35" i="11"/>
  <c r="E36" i="11"/>
  <c r="F36" i="11"/>
  <c r="G36" i="11"/>
  <c r="E37" i="11"/>
  <c r="G37" i="11"/>
  <c r="G38" i="11"/>
  <c r="G39" i="11"/>
  <c r="G40" i="11"/>
  <c r="E41" i="11"/>
  <c r="F41" i="11"/>
  <c r="G41" i="11"/>
  <c r="G42" i="11"/>
  <c r="G43" i="11"/>
  <c r="G44" i="11"/>
  <c r="G45" i="11"/>
  <c r="F46" i="11"/>
  <c r="G46" i="11"/>
  <c r="G47" i="11"/>
  <c r="G48" i="11"/>
  <c r="E49" i="11"/>
  <c r="F49" i="11"/>
  <c r="G49" i="11"/>
  <c r="I49" i="11"/>
  <c r="G51" i="11"/>
  <c r="G56" i="11"/>
  <c r="G62" i="11"/>
  <c r="G63" i="11"/>
  <c r="G64" i="11"/>
  <c r="G65" i="11"/>
  <c r="E66" i="11"/>
  <c r="F66" i="11"/>
  <c r="G66" i="11"/>
  <c r="I66" i="11"/>
  <c r="G69" i="11"/>
  <c r="G70" i="11"/>
  <c r="G71" i="11"/>
  <c r="G72" i="11"/>
  <c r="G73" i="11"/>
  <c r="G74" i="11"/>
  <c r="G75" i="11"/>
  <c r="F76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F94" i="11"/>
  <c r="G94" i="11"/>
  <c r="G95" i="11"/>
  <c r="G96" i="11"/>
  <c r="E97" i="11"/>
  <c r="F97" i="11"/>
  <c r="G97" i="11"/>
  <c r="I97" i="11"/>
  <c r="G100" i="11"/>
  <c r="G101" i="11"/>
  <c r="E102" i="11"/>
  <c r="F102" i="11"/>
  <c r="G102" i="11"/>
  <c r="I102" i="11"/>
  <c r="G105" i="11"/>
  <c r="G106" i="11"/>
  <c r="G107" i="11"/>
  <c r="G108" i="11"/>
  <c r="G109" i="11"/>
  <c r="G110" i="11"/>
  <c r="G111" i="11"/>
  <c r="E112" i="11"/>
  <c r="F112" i="11"/>
  <c r="G112" i="11"/>
  <c r="I112" i="11"/>
  <c r="E115" i="11"/>
  <c r="F115" i="11"/>
  <c r="G115" i="11"/>
  <c r="I115" i="11"/>
  <c r="G118" i="11"/>
  <c r="I118" i="11"/>
  <c r="G120" i="11"/>
  <c r="I120" i="11"/>
  <c r="G122" i="11"/>
  <c r="I122" i="11"/>
  <c r="G4" i="9"/>
  <c r="F5" i="9"/>
  <c r="G5" i="9"/>
  <c r="G6" i="9"/>
  <c r="G7" i="9"/>
  <c r="G8" i="9"/>
  <c r="F9" i="9"/>
  <c r="G9" i="9"/>
  <c r="F10" i="9"/>
  <c r="G10" i="9"/>
  <c r="G11" i="9"/>
  <c r="G12" i="9"/>
  <c r="G13" i="9"/>
  <c r="G14" i="9"/>
  <c r="G15" i="9"/>
  <c r="G16" i="9"/>
  <c r="G17" i="9"/>
  <c r="G18" i="9"/>
  <c r="G19" i="9"/>
  <c r="G20" i="9"/>
  <c r="E21" i="9"/>
  <c r="F21" i="9"/>
  <c r="G21" i="9"/>
  <c r="I21" i="9"/>
  <c r="G24" i="9"/>
  <c r="G25" i="9"/>
  <c r="G26" i="9"/>
  <c r="G27" i="9"/>
  <c r="G28" i="9"/>
  <c r="F29" i="9"/>
  <c r="G29" i="9"/>
  <c r="G30" i="9"/>
  <c r="F31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E44" i="9"/>
  <c r="F44" i="9"/>
  <c r="G44" i="9"/>
  <c r="I44" i="9"/>
  <c r="G46" i="9"/>
  <c r="G50" i="9"/>
  <c r="F55" i="9"/>
  <c r="G55" i="9"/>
  <c r="G56" i="9"/>
  <c r="G57" i="9"/>
  <c r="G58" i="9"/>
  <c r="G59" i="9"/>
  <c r="G60" i="9"/>
  <c r="G61" i="9"/>
  <c r="G62" i="9"/>
  <c r="E63" i="9"/>
  <c r="F63" i="9"/>
  <c r="G63" i="9"/>
  <c r="I63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F87" i="9"/>
  <c r="G87" i="9"/>
  <c r="E88" i="9"/>
  <c r="F88" i="9"/>
  <c r="G88" i="9"/>
  <c r="I88" i="9"/>
  <c r="G90" i="9"/>
  <c r="G91" i="9"/>
  <c r="G92" i="9"/>
  <c r="G93" i="9"/>
  <c r="G94" i="9"/>
  <c r="E95" i="9"/>
  <c r="F95" i="9"/>
  <c r="G95" i="9"/>
  <c r="I95" i="9"/>
  <c r="G98" i="9"/>
  <c r="G99" i="9"/>
  <c r="G100" i="9"/>
  <c r="G101" i="9"/>
  <c r="E102" i="9"/>
  <c r="F102" i="9"/>
  <c r="G102" i="9"/>
  <c r="I102" i="9"/>
  <c r="E105" i="9"/>
  <c r="F105" i="9"/>
  <c r="G105" i="9"/>
  <c r="I105" i="9"/>
  <c r="G108" i="9"/>
  <c r="I108" i="9"/>
  <c r="G110" i="9"/>
  <c r="I110" i="9"/>
  <c r="G112" i="9"/>
  <c r="I112" i="9"/>
  <c r="G4" i="10"/>
  <c r="F5" i="10"/>
  <c r="G5" i="10"/>
  <c r="G6" i="10"/>
  <c r="F7" i="10"/>
  <c r="G7" i="10"/>
  <c r="G8" i="10"/>
  <c r="G9" i="10"/>
  <c r="G10" i="10"/>
  <c r="G11" i="10"/>
  <c r="G12" i="10"/>
  <c r="E13" i="10"/>
  <c r="G13" i="10"/>
  <c r="G14" i="10"/>
  <c r="G15" i="10"/>
  <c r="F16" i="10"/>
  <c r="G16" i="10"/>
  <c r="G17" i="10"/>
  <c r="G18" i="10"/>
  <c r="G19" i="10"/>
  <c r="G20" i="10"/>
  <c r="G21" i="10"/>
  <c r="G22" i="10"/>
  <c r="G23" i="10"/>
  <c r="G24" i="10"/>
  <c r="G25" i="10"/>
  <c r="E26" i="10"/>
  <c r="F26" i="10"/>
  <c r="G26" i="10"/>
  <c r="I26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F44" i="10"/>
  <c r="G44" i="10"/>
  <c r="G45" i="10"/>
  <c r="E46" i="10"/>
  <c r="F46" i="10"/>
  <c r="G46" i="10"/>
  <c r="I46" i="10"/>
  <c r="G48" i="10"/>
  <c r="G52" i="10"/>
  <c r="F55" i="10"/>
  <c r="G55" i="10"/>
  <c r="E56" i="10"/>
  <c r="G56" i="10"/>
  <c r="G57" i="10"/>
  <c r="G58" i="10"/>
  <c r="F59" i="10"/>
  <c r="G59" i="10"/>
  <c r="G60" i="10"/>
  <c r="F61" i="10"/>
  <c r="G61" i="10"/>
  <c r="E62" i="10"/>
  <c r="F62" i="10"/>
  <c r="G62" i="10"/>
  <c r="I62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F88" i="10"/>
  <c r="G88" i="10"/>
  <c r="G89" i="10"/>
  <c r="G90" i="10"/>
  <c r="F91" i="10"/>
  <c r="G91" i="10"/>
  <c r="E92" i="10"/>
  <c r="F92" i="10"/>
  <c r="G92" i="10"/>
  <c r="I92" i="10"/>
  <c r="G94" i="10"/>
  <c r="G95" i="10"/>
  <c r="G96" i="10"/>
  <c r="E97" i="10"/>
  <c r="F97" i="10"/>
  <c r="G97" i="10"/>
  <c r="I97" i="10"/>
  <c r="G100" i="10"/>
  <c r="G101" i="10"/>
  <c r="G102" i="10"/>
  <c r="G103" i="10"/>
  <c r="G104" i="10"/>
  <c r="G105" i="10"/>
  <c r="E106" i="10"/>
  <c r="F106" i="10"/>
  <c r="G106" i="10"/>
  <c r="I106" i="10"/>
  <c r="E109" i="10"/>
  <c r="F109" i="10"/>
  <c r="G109" i="10"/>
  <c r="I109" i="10"/>
  <c r="G112" i="10"/>
  <c r="I112" i="10"/>
  <c r="G114" i="10"/>
  <c r="I114" i="10"/>
  <c r="G116" i="10"/>
  <c r="I116" i="10"/>
  <c r="G5" i="13"/>
  <c r="G6" i="13"/>
  <c r="F7" i="13"/>
  <c r="G7" i="13"/>
  <c r="G8" i="13"/>
  <c r="G9" i="13"/>
  <c r="G10" i="13"/>
  <c r="F11" i="13"/>
  <c r="G11" i="13"/>
  <c r="F12" i="13"/>
  <c r="G12" i="13"/>
  <c r="G13" i="13"/>
  <c r="G14" i="13"/>
  <c r="G15" i="13"/>
  <c r="G16" i="13"/>
  <c r="G17" i="13"/>
  <c r="G18" i="13"/>
  <c r="E19" i="13"/>
  <c r="F19" i="13"/>
  <c r="G19" i="13"/>
  <c r="I19" i="13"/>
  <c r="G22" i="13"/>
  <c r="G23" i="13"/>
  <c r="G24" i="13"/>
  <c r="G25" i="13"/>
  <c r="G26" i="13"/>
  <c r="G27" i="13"/>
  <c r="F28" i="13"/>
  <c r="G28" i="13"/>
  <c r="F29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F44" i="13"/>
  <c r="G44" i="13"/>
  <c r="E45" i="13"/>
  <c r="F45" i="13"/>
  <c r="G45" i="13"/>
  <c r="I45" i="13"/>
  <c r="G47" i="13"/>
  <c r="G51" i="13"/>
  <c r="G58" i="13"/>
  <c r="G59" i="13"/>
  <c r="G60" i="13"/>
  <c r="E61" i="13"/>
  <c r="F61" i="13"/>
  <c r="G61" i="13"/>
  <c r="I61" i="13"/>
  <c r="G64" i="13"/>
  <c r="G65" i="13"/>
  <c r="F66" i="13"/>
  <c r="G66" i="13"/>
  <c r="G67" i="13"/>
  <c r="G68" i="13"/>
  <c r="G69" i="13"/>
  <c r="G70" i="13"/>
  <c r="F71" i="13"/>
  <c r="G71" i="13"/>
  <c r="G72" i="13"/>
  <c r="G73" i="13"/>
  <c r="G74" i="13"/>
  <c r="G75" i="13"/>
  <c r="G76" i="13"/>
  <c r="F77" i="13"/>
  <c r="G77" i="13"/>
  <c r="G78" i="13"/>
  <c r="G79" i="13"/>
  <c r="G80" i="13"/>
  <c r="G81" i="13"/>
  <c r="G82" i="13"/>
  <c r="G83" i="13"/>
  <c r="G84" i="13"/>
  <c r="G85" i="13"/>
  <c r="G86" i="13"/>
  <c r="G87" i="13"/>
  <c r="F88" i="13"/>
  <c r="G88" i="13"/>
  <c r="F89" i="13"/>
  <c r="G89" i="13"/>
  <c r="E90" i="13"/>
  <c r="F90" i="13"/>
  <c r="G90" i="13"/>
  <c r="I90" i="13"/>
  <c r="F93" i="13"/>
  <c r="G93" i="13"/>
  <c r="G94" i="13"/>
  <c r="G95" i="13"/>
  <c r="G96" i="13"/>
  <c r="G97" i="13"/>
  <c r="E98" i="13"/>
  <c r="F98" i="13"/>
  <c r="G98" i="13"/>
  <c r="I98" i="13"/>
  <c r="F101" i="13"/>
  <c r="G101" i="13"/>
  <c r="G102" i="13"/>
  <c r="G103" i="13"/>
  <c r="G104" i="13"/>
  <c r="E105" i="13"/>
  <c r="F105" i="13"/>
  <c r="G105" i="13"/>
  <c r="I105" i="13"/>
  <c r="E108" i="13"/>
  <c r="F108" i="13"/>
  <c r="G108" i="13"/>
  <c r="I108" i="13"/>
  <c r="G111" i="13"/>
  <c r="I111" i="13"/>
  <c r="G113" i="13"/>
  <c r="I113" i="13"/>
  <c r="G115" i="13"/>
  <c r="I115" i="13"/>
  <c r="G5" i="14"/>
  <c r="G6" i="14"/>
  <c r="G7" i="14"/>
  <c r="G8" i="14"/>
  <c r="F9" i="14"/>
  <c r="G9" i="14"/>
  <c r="G10" i="14"/>
  <c r="G11" i="14"/>
  <c r="F12" i="14"/>
  <c r="G12" i="14"/>
  <c r="G13" i="14"/>
  <c r="G14" i="14"/>
  <c r="G15" i="14"/>
  <c r="G16" i="14"/>
  <c r="G17" i="14"/>
  <c r="G18" i="14"/>
  <c r="G19" i="14"/>
  <c r="G20" i="14"/>
  <c r="E21" i="14"/>
  <c r="F21" i="14"/>
  <c r="G21" i="14"/>
  <c r="I21" i="14"/>
  <c r="F24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F42" i="14"/>
  <c r="G42" i="14"/>
  <c r="E43" i="14"/>
  <c r="F43" i="14"/>
  <c r="G43" i="14"/>
  <c r="I43" i="14"/>
  <c r="G45" i="14"/>
  <c r="G49" i="14"/>
  <c r="G54" i="14"/>
  <c r="G55" i="14"/>
  <c r="G56" i="14"/>
  <c r="G57" i="14"/>
  <c r="G58" i="14"/>
  <c r="G59" i="14"/>
  <c r="G60" i="14"/>
  <c r="G61" i="14"/>
  <c r="F62" i="14"/>
  <c r="G62" i="14"/>
  <c r="G63" i="14"/>
  <c r="G64" i="14"/>
  <c r="G65" i="14"/>
  <c r="G66" i="14"/>
  <c r="E67" i="14"/>
  <c r="F67" i="14"/>
  <c r="G67" i="14"/>
  <c r="I67" i="14"/>
  <c r="G70" i="14"/>
  <c r="G71" i="14"/>
  <c r="G72" i="14"/>
  <c r="G73" i="14"/>
  <c r="G74" i="14"/>
  <c r="G75" i="14"/>
  <c r="G76" i="14"/>
  <c r="G77" i="14"/>
  <c r="G78" i="14"/>
  <c r="F79" i="14"/>
  <c r="G79" i="14"/>
  <c r="G80" i="14"/>
  <c r="G81" i="14"/>
  <c r="G82" i="14"/>
  <c r="G83" i="14"/>
  <c r="G84" i="14"/>
  <c r="G85" i="14"/>
  <c r="G86" i="14"/>
  <c r="G87" i="14"/>
  <c r="E88" i="14"/>
  <c r="F88" i="14"/>
  <c r="G88" i="14"/>
  <c r="I88" i="14"/>
  <c r="G91" i="14"/>
  <c r="G92" i="14"/>
  <c r="G93" i="14"/>
  <c r="E94" i="14"/>
  <c r="F94" i="14"/>
  <c r="G94" i="14"/>
  <c r="I94" i="14"/>
  <c r="G97" i="14"/>
  <c r="G98" i="14"/>
  <c r="G99" i="14"/>
  <c r="G100" i="14"/>
  <c r="E101" i="14"/>
  <c r="F101" i="14"/>
  <c r="G101" i="14"/>
  <c r="I101" i="14"/>
  <c r="E104" i="14"/>
  <c r="F104" i="14"/>
  <c r="G104" i="14"/>
  <c r="I104" i="14"/>
  <c r="G107" i="14"/>
  <c r="I107" i="14"/>
  <c r="G109" i="14"/>
  <c r="I109" i="14"/>
  <c r="G111" i="14"/>
  <c r="I111" i="14"/>
  <c r="F5" i="8"/>
  <c r="G5" i="8"/>
  <c r="F6" i="8"/>
  <c r="G6" i="8"/>
  <c r="G7" i="8"/>
  <c r="G8" i="8"/>
  <c r="G9" i="8"/>
  <c r="G10" i="8"/>
  <c r="E11" i="8"/>
  <c r="F11" i="8"/>
  <c r="G11" i="8"/>
  <c r="I11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E35" i="8"/>
  <c r="F35" i="8"/>
  <c r="G35" i="8"/>
  <c r="G36" i="8"/>
  <c r="G37" i="8"/>
  <c r="G38" i="8"/>
  <c r="G39" i="8"/>
  <c r="G40" i="8"/>
  <c r="F41" i="8"/>
  <c r="G41" i="8"/>
  <c r="G42" i="8"/>
  <c r="G43" i="8"/>
  <c r="G44" i="8"/>
  <c r="E45" i="8"/>
  <c r="F45" i="8"/>
  <c r="G45" i="8"/>
  <c r="I45" i="8"/>
  <c r="G47" i="8"/>
  <c r="G51" i="8"/>
  <c r="G54" i="8"/>
  <c r="E55" i="8"/>
  <c r="F55" i="8"/>
  <c r="G55" i="8"/>
  <c r="I55" i="8"/>
  <c r="G58" i="8"/>
  <c r="F59" i="8"/>
  <c r="G59" i="8"/>
  <c r="G60" i="8"/>
  <c r="F61" i="8"/>
  <c r="G61" i="8"/>
  <c r="G62" i="8"/>
  <c r="F63" i="8"/>
  <c r="G63" i="8"/>
  <c r="G64" i="8"/>
  <c r="G65" i="8"/>
  <c r="G66" i="8"/>
  <c r="G67" i="8"/>
  <c r="G68" i="8"/>
  <c r="G69" i="8"/>
  <c r="G70" i="8"/>
  <c r="G71" i="8"/>
  <c r="G72" i="8"/>
  <c r="G73" i="8"/>
  <c r="G74" i="8"/>
  <c r="F75" i="8"/>
  <c r="G75" i="8"/>
  <c r="G76" i="8"/>
  <c r="G77" i="8"/>
  <c r="G78" i="8"/>
  <c r="G79" i="8"/>
  <c r="G80" i="8"/>
  <c r="G81" i="8"/>
  <c r="G82" i="8"/>
  <c r="G83" i="8"/>
  <c r="G84" i="8"/>
  <c r="G85" i="8"/>
  <c r="F86" i="8"/>
  <c r="G86" i="8"/>
  <c r="G87" i="8"/>
  <c r="G88" i="8"/>
  <c r="G89" i="8"/>
  <c r="G90" i="8"/>
  <c r="F91" i="8"/>
  <c r="G91" i="8"/>
  <c r="E92" i="8"/>
  <c r="F92" i="8"/>
  <c r="G92" i="8"/>
  <c r="I92" i="8"/>
  <c r="G94" i="8"/>
  <c r="G95" i="8"/>
  <c r="G96" i="8"/>
  <c r="E97" i="8"/>
  <c r="F97" i="8"/>
  <c r="G97" i="8"/>
  <c r="I97" i="8"/>
  <c r="G100" i="8"/>
  <c r="G101" i="8"/>
  <c r="G102" i="8"/>
  <c r="F103" i="8"/>
  <c r="G103" i="8"/>
  <c r="E104" i="8"/>
  <c r="F104" i="8"/>
  <c r="G104" i="8"/>
  <c r="I104" i="8"/>
  <c r="E107" i="8"/>
  <c r="F107" i="8"/>
  <c r="G107" i="8"/>
  <c r="I107" i="8"/>
  <c r="G110" i="8"/>
  <c r="I110" i="8"/>
  <c r="G112" i="8"/>
  <c r="I112" i="8"/>
  <c r="G114" i="8"/>
  <c r="I114" i="8"/>
  <c r="F5" i="15"/>
  <c r="G5" i="15"/>
  <c r="F6" i="15"/>
  <c r="G6" i="15"/>
  <c r="G7" i="15"/>
  <c r="F8" i="15"/>
  <c r="G8" i="15"/>
  <c r="G9" i="15"/>
  <c r="G10" i="15"/>
  <c r="F11" i="15"/>
  <c r="G11" i="15"/>
  <c r="G12" i="15"/>
  <c r="G13" i="15"/>
  <c r="G14" i="15"/>
  <c r="G15" i="15"/>
  <c r="G16" i="15"/>
  <c r="G17" i="15"/>
  <c r="G18" i="15"/>
  <c r="G19" i="15"/>
  <c r="G20" i="15"/>
  <c r="E21" i="15"/>
  <c r="F21" i="15"/>
  <c r="G21" i="15"/>
  <c r="I21" i="15"/>
  <c r="F24" i="15"/>
  <c r="G24" i="15"/>
  <c r="G25" i="15"/>
  <c r="F26" i="15"/>
  <c r="G26" i="15"/>
  <c r="G27" i="15"/>
  <c r="F28" i="15"/>
  <c r="G28" i="15"/>
  <c r="G29" i="15"/>
  <c r="G30" i="15"/>
  <c r="G31" i="15"/>
  <c r="F32" i="15"/>
  <c r="G32" i="15"/>
  <c r="G33" i="15"/>
  <c r="F34" i="15"/>
  <c r="G34" i="15"/>
  <c r="G35" i="15"/>
  <c r="G36" i="15"/>
  <c r="G37" i="15"/>
  <c r="G38" i="15"/>
  <c r="G39" i="15"/>
  <c r="G40" i="15"/>
  <c r="G41" i="15"/>
  <c r="G42" i="15"/>
  <c r="G43" i="15"/>
  <c r="G44" i="15"/>
  <c r="E45" i="15"/>
  <c r="F45" i="15"/>
  <c r="G45" i="15"/>
  <c r="I45" i="15"/>
  <c r="G47" i="15"/>
  <c r="G51" i="15"/>
  <c r="G57" i="15"/>
  <c r="G58" i="15"/>
  <c r="G59" i="15"/>
  <c r="G60" i="15"/>
  <c r="G61" i="15"/>
  <c r="E62" i="15"/>
  <c r="F62" i="15"/>
  <c r="G62" i="15"/>
  <c r="I62" i="15"/>
  <c r="G65" i="15"/>
  <c r="F66" i="15"/>
  <c r="G66" i="15"/>
  <c r="F67" i="15"/>
  <c r="G67" i="15"/>
  <c r="G68" i="15"/>
  <c r="G69" i="15"/>
  <c r="F70" i="15"/>
  <c r="G70" i="15"/>
  <c r="F71" i="15"/>
  <c r="G71" i="15"/>
  <c r="F72" i="15"/>
  <c r="G72" i="15"/>
  <c r="G73" i="15"/>
  <c r="G74" i="15"/>
  <c r="G75" i="15"/>
  <c r="G76" i="15"/>
  <c r="F77" i="15"/>
  <c r="G77" i="15"/>
  <c r="G78" i="15"/>
  <c r="G79" i="15"/>
  <c r="G80" i="15"/>
  <c r="G81" i="15"/>
  <c r="G82" i="15"/>
  <c r="F83" i="15"/>
  <c r="G83" i="15"/>
  <c r="G84" i="15"/>
  <c r="G85" i="15"/>
  <c r="G86" i="15"/>
  <c r="G87" i="15"/>
  <c r="G88" i="15"/>
  <c r="G89" i="15"/>
  <c r="G90" i="15"/>
  <c r="G91" i="15"/>
  <c r="F92" i="15"/>
  <c r="G92" i="15"/>
  <c r="G93" i="15"/>
  <c r="G94" i="15"/>
  <c r="F95" i="15"/>
  <c r="G95" i="15"/>
  <c r="G96" i="15"/>
  <c r="E97" i="15"/>
  <c r="F97" i="15"/>
  <c r="G97" i="15"/>
  <c r="I97" i="15"/>
  <c r="G99" i="15"/>
  <c r="E100" i="15"/>
  <c r="F100" i="15"/>
  <c r="G100" i="15"/>
  <c r="I100" i="15"/>
  <c r="G103" i="15"/>
  <c r="G104" i="15"/>
  <c r="G105" i="15"/>
  <c r="G106" i="15"/>
  <c r="G107" i="15"/>
  <c r="E108" i="15"/>
  <c r="F108" i="15"/>
  <c r="G108" i="15"/>
  <c r="I108" i="15"/>
  <c r="E111" i="15"/>
  <c r="F111" i="15"/>
  <c r="G111" i="15"/>
  <c r="I111" i="15"/>
  <c r="G114" i="15"/>
  <c r="I114" i="15"/>
  <c r="G116" i="15"/>
  <c r="I116" i="15"/>
  <c r="G118" i="15"/>
  <c r="I118" i="15"/>
  <c r="F5" i="4"/>
  <c r="G5" i="4"/>
  <c r="G6" i="4"/>
  <c r="E7" i="4"/>
  <c r="F7" i="4"/>
  <c r="G7" i="4"/>
  <c r="G8" i="4"/>
  <c r="G9" i="4"/>
  <c r="G10" i="4"/>
  <c r="E11" i="4"/>
  <c r="F11" i="4"/>
  <c r="G11" i="4"/>
  <c r="G12" i="4"/>
  <c r="G13" i="4"/>
  <c r="G14" i="4"/>
  <c r="G15" i="4"/>
  <c r="G16" i="4"/>
  <c r="G17" i="4"/>
  <c r="E18" i="4"/>
  <c r="F18" i="4"/>
  <c r="G18" i="4"/>
  <c r="I18" i="4"/>
  <c r="G21" i="4"/>
  <c r="G22" i="4"/>
  <c r="G23" i="4"/>
  <c r="G24" i="4"/>
  <c r="E25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F43" i="4"/>
  <c r="G43" i="4"/>
  <c r="G44" i="4"/>
  <c r="G45" i="4"/>
  <c r="G46" i="4"/>
  <c r="G47" i="4"/>
  <c r="E48" i="4"/>
  <c r="F48" i="4"/>
  <c r="G48" i="4"/>
  <c r="E49" i="4"/>
  <c r="F49" i="4"/>
  <c r="G49" i="4"/>
  <c r="I49" i="4"/>
  <c r="G51" i="4"/>
  <c r="G55" i="4"/>
  <c r="G57" i="4"/>
  <c r="G58" i="4"/>
  <c r="F59" i="4"/>
  <c r="G59" i="4"/>
  <c r="G60" i="4"/>
  <c r="G61" i="4"/>
  <c r="F62" i="4"/>
  <c r="G62" i="4"/>
  <c r="G63" i="4"/>
  <c r="E64" i="4"/>
  <c r="F64" i="4"/>
  <c r="G64" i="4"/>
  <c r="I64" i="4"/>
  <c r="G67" i="4"/>
  <c r="G68" i="4"/>
  <c r="G69" i="4"/>
  <c r="F70" i="4"/>
  <c r="G70" i="4"/>
  <c r="G71" i="4"/>
  <c r="G72" i="4"/>
  <c r="G73" i="4"/>
  <c r="G74" i="4"/>
  <c r="G75" i="4"/>
  <c r="G76" i="4"/>
  <c r="G77" i="4"/>
  <c r="G78" i="4"/>
  <c r="F79" i="4"/>
  <c r="G79" i="4"/>
  <c r="G80" i="4"/>
  <c r="G81" i="4"/>
  <c r="F82" i="4"/>
  <c r="G82" i="4"/>
  <c r="G83" i="4"/>
  <c r="F84" i="4"/>
  <c r="G84" i="4"/>
  <c r="G85" i="4"/>
  <c r="G86" i="4"/>
  <c r="G87" i="4"/>
  <c r="F88" i="4"/>
  <c r="G88" i="4"/>
  <c r="G89" i="4"/>
  <c r="G90" i="4"/>
  <c r="G91" i="4"/>
  <c r="G92" i="4"/>
  <c r="G93" i="4"/>
  <c r="G94" i="4"/>
  <c r="F95" i="4"/>
  <c r="G95" i="4"/>
  <c r="G96" i="4"/>
  <c r="G97" i="4"/>
  <c r="F98" i="4"/>
  <c r="G98" i="4"/>
  <c r="E99" i="4"/>
  <c r="F99" i="4"/>
  <c r="G99" i="4"/>
  <c r="I99" i="4"/>
  <c r="G103" i="4"/>
  <c r="G104" i="4"/>
  <c r="G105" i="4"/>
  <c r="G106" i="4"/>
  <c r="E107" i="4"/>
  <c r="F107" i="4"/>
  <c r="G107" i="4"/>
  <c r="I107" i="4"/>
  <c r="G110" i="4"/>
  <c r="G111" i="4"/>
  <c r="G112" i="4"/>
  <c r="G113" i="4"/>
  <c r="G114" i="4"/>
  <c r="E115" i="4"/>
  <c r="F115" i="4"/>
  <c r="G115" i="4"/>
  <c r="I115" i="4"/>
  <c r="E119" i="4"/>
  <c r="F119" i="4"/>
  <c r="G119" i="4"/>
  <c r="I119" i="4"/>
  <c r="G122" i="4"/>
  <c r="I122" i="4"/>
  <c r="G124" i="4"/>
  <c r="I124" i="4"/>
  <c r="G126" i="4"/>
  <c r="I126" i="4"/>
  <c r="G5" i="3"/>
  <c r="G6" i="3"/>
  <c r="F7" i="3"/>
  <c r="G7" i="3"/>
  <c r="G8" i="3"/>
  <c r="G9" i="3"/>
  <c r="E10" i="3"/>
  <c r="F10" i="3"/>
  <c r="G10" i="3"/>
  <c r="G11" i="3"/>
  <c r="G12" i="3"/>
  <c r="G13" i="3"/>
  <c r="G14" i="3"/>
  <c r="E15" i="3"/>
  <c r="F15" i="3"/>
  <c r="G15" i="3"/>
  <c r="I15" i="3"/>
  <c r="E18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E46" i="3"/>
  <c r="F46" i="3"/>
  <c r="G46" i="3"/>
  <c r="I46" i="3"/>
  <c r="IV46" i="3"/>
  <c r="G48" i="3"/>
  <c r="G52" i="3"/>
  <c r="G54" i="3"/>
  <c r="G55" i="3"/>
  <c r="G56" i="3"/>
  <c r="F57" i="3"/>
  <c r="G57" i="3"/>
  <c r="G58" i="3"/>
  <c r="F59" i="3"/>
  <c r="G59" i="3"/>
  <c r="F60" i="3"/>
  <c r="G60" i="3"/>
  <c r="G61" i="3"/>
  <c r="G62" i="3"/>
  <c r="E63" i="3"/>
  <c r="F63" i="3"/>
  <c r="G63" i="3"/>
  <c r="I63" i="3"/>
  <c r="G66" i="3"/>
  <c r="G67" i="3"/>
  <c r="G68" i="3"/>
  <c r="G69" i="3"/>
  <c r="F70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F91" i="3"/>
  <c r="G91" i="3"/>
  <c r="G92" i="3"/>
  <c r="G93" i="3"/>
  <c r="G94" i="3"/>
  <c r="G95" i="3"/>
  <c r="G96" i="3"/>
  <c r="G97" i="3"/>
  <c r="G98" i="3"/>
  <c r="F99" i="3"/>
  <c r="G99" i="3"/>
  <c r="G100" i="3"/>
  <c r="E101" i="3"/>
  <c r="F101" i="3"/>
  <c r="G101" i="3"/>
  <c r="I101" i="3"/>
  <c r="G104" i="3"/>
  <c r="G105" i="3"/>
  <c r="G106" i="3"/>
  <c r="G107" i="3"/>
  <c r="G108" i="3"/>
  <c r="E109" i="3"/>
  <c r="F109" i="3"/>
  <c r="G109" i="3"/>
  <c r="I109" i="3"/>
  <c r="G112" i="3"/>
  <c r="G113" i="3"/>
  <c r="G114" i="3"/>
  <c r="G115" i="3"/>
  <c r="G116" i="3"/>
  <c r="E117" i="3"/>
  <c r="F117" i="3"/>
  <c r="G117" i="3"/>
  <c r="I117" i="3"/>
  <c r="E120" i="3"/>
  <c r="F120" i="3"/>
  <c r="G120" i="3"/>
  <c r="I120" i="3"/>
  <c r="G123" i="3"/>
  <c r="I123" i="3"/>
  <c r="G125" i="3"/>
  <c r="I125" i="3"/>
  <c r="G127" i="3"/>
  <c r="I127" i="3"/>
  <c r="G4" i="2"/>
  <c r="G5" i="2"/>
  <c r="G6" i="2"/>
  <c r="F7" i="2"/>
  <c r="G7" i="2"/>
  <c r="G8" i="2"/>
  <c r="G9" i="2"/>
  <c r="G10" i="2"/>
  <c r="G11" i="2"/>
  <c r="G12" i="2"/>
  <c r="G13" i="2"/>
  <c r="G14" i="2"/>
  <c r="G15" i="2"/>
  <c r="F16" i="2"/>
  <c r="G16" i="2"/>
  <c r="G17" i="2"/>
  <c r="G18" i="2"/>
  <c r="G19" i="2"/>
  <c r="F20" i="2"/>
  <c r="G20" i="2"/>
  <c r="G21" i="2"/>
  <c r="G22" i="2"/>
  <c r="G23" i="2"/>
  <c r="G24" i="2"/>
  <c r="G25" i="2"/>
  <c r="G26" i="2"/>
  <c r="G27" i="2"/>
  <c r="E28" i="2"/>
  <c r="F28" i="2"/>
  <c r="G28" i="2"/>
  <c r="I28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E46" i="2"/>
  <c r="F46" i="2"/>
  <c r="G46" i="2"/>
  <c r="I46" i="2"/>
  <c r="G48" i="2"/>
  <c r="G52" i="2"/>
  <c r="G59" i="2"/>
  <c r="G60" i="2"/>
  <c r="G61" i="2"/>
  <c r="G62" i="2"/>
  <c r="G63" i="2"/>
  <c r="G64" i="2"/>
  <c r="E65" i="2"/>
  <c r="F65" i="2"/>
  <c r="G65" i="2"/>
  <c r="I65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F92" i="2"/>
  <c r="G92" i="2"/>
  <c r="F93" i="2"/>
  <c r="G93" i="2"/>
  <c r="G94" i="2"/>
  <c r="G95" i="2"/>
  <c r="G96" i="2"/>
  <c r="G97" i="2"/>
  <c r="G98" i="2"/>
  <c r="G99" i="2"/>
  <c r="G100" i="2"/>
  <c r="G101" i="2"/>
  <c r="G102" i="2"/>
  <c r="E103" i="2"/>
  <c r="F103" i="2"/>
  <c r="G103" i="2"/>
  <c r="I103" i="2"/>
  <c r="G106" i="2"/>
  <c r="G107" i="2"/>
  <c r="G108" i="2"/>
  <c r="G109" i="2"/>
  <c r="G110" i="2"/>
  <c r="E111" i="2"/>
  <c r="F111" i="2"/>
  <c r="G111" i="2"/>
  <c r="I111" i="2"/>
  <c r="G114" i="2"/>
  <c r="G115" i="2"/>
  <c r="E116" i="2"/>
  <c r="F116" i="2"/>
  <c r="G116" i="2"/>
  <c r="I116" i="2"/>
  <c r="E121" i="2"/>
  <c r="F121" i="2"/>
  <c r="G121" i="2"/>
  <c r="I121" i="2"/>
  <c r="G124" i="2"/>
  <c r="I124" i="2"/>
  <c r="G126" i="2"/>
  <c r="I126" i="2"/>
  <c r="G128" i="2"/>
  <c r="I128" i="2"/>
  <c r="F11" i="6"/>
  <c r="G11" i="6"/>
  <c r="K11" i="6"/>
  <c r="L11" i="6"/>
  <c r="F12" i="6"/>
  <c r="G12" i="6"/>
  <c r="K12" i="6"/>
  <c r="L12" i="6"/>
  <c r="F13" i="6"/>
  <c r="G13" i="6"/>
  <c r="K13" i="6"/>
  <c r="L13" i="6"/>
  <c r="F14" i="6"/>
  <c r="G14" i="6"/>
  <c r="K14" i="6"/>
  <c r="L14" i="6"/>
  <c r="F15" i="6"/>
  <c r="G15" i="6"/>
  <c r="K15" i="6"/>
  <c r="L15" i="6"/>
  <c r="F16" i="6"/>
  <c r="G16" i="6"/>
  <c r="K16" i="6"/>
  <c r="L16" i="6"/>
  <c r="F17" i="6"/>
  <c r="G17" i="6"/>
  <c r="K17" i="6"/>
  <c r="L17" i="6"/>
  <c r="F18" i="6"/>
  <c r="G18" i="6"/>
  <c r="K18" i="6"/>
  <c r="L18" i="6"/>
  <c r="F19" i="6"/>
  <c r="G19" i="6"/>
  <c r="K19" i="6"/>
  <c r="L19" i="6"/>
  <c r="F20" i="6"/>
  <c r="G20" i="6"/>
  <c r="K20" i="6"/>
  <c r="L20" i="6"/>
  <c r="F21" i="6"/>
  <c r="G21" i="6"/>
  <c r="K21" i="6"/>
  <c r="L21" i="6"/>
  <c r="F22" i="6"/>
  <c r="G22" i="6"/>
  <c r="I22" i="6"/>
  <c r="J22" i="6"/>
  <c r="K22" i="6"/>
  <c r="L22" i="6"/>
  <c r="B24" i="6"/>
  <c r="C24" i="6"/>
  <c r="D24" i="6"/>
  <c r="E24" i="6"/>
  <c r="F24" i="6"/>
  <c r="G24" i="6"/>
  <c r="I24" i="6"/>
  <c r="J24" i="6"/>
  <c r="K24" i="6"/>
  <c r="L24" i="6"/>
</calcChain>
</file>

<file path=xl/sharedStrings.xml><?xml version="1.0" encoding="utf-8"?>
<sst xmlns="http://schemas.openxmlformats.org/spreadsheetml/2006/main" count="2385" uniqueCount="245">
  <si>
    <t>LE</t>
  </si>
  <si>
    <t>LE NAME</t>
  </si>
  <si>
    <t>Posting No.</t>
  </si>
  <si>
    <t>Imbalance Type</t>
  </si>
  <si>
    <t>Imbalance Before Bookout</t>
  </si>
  <si>
    <t>RECEIPTS</t>
  </si>
  <si>
    <t>ALABAMA POWER COMPANY</t>
  </si>
  <si>
    <t>WESTERN DELIVERIES</t>
  </si>
  <si>
    <t>ALUMINUM COMPANY</t>
  </si>
  <si>
    <t>MARKET DELIVERIES</t>
  </si>
  <si>
    <t>AMOCO ENERGY TRADING CORPORATION</t>
  </si>
  <si>
    <t>ANHEUSER BUSCH COMPANIES</t>
  </si>
  <si>
    <t>ASHLAND CHEMICAL COMPANY</t>
  </si>
  <si>
    <t>NO NOTICE</t>
  </si>
  <si>
    <t>BAPTIST MEDICAL CENTER</t>
  </si>
  <si>
    <t>CC PACE</t>
  </si>
  <si>
    <t>CELOTEX CORP</t>
  </si>
  <si>
    <t>CF INDUSTRIES INC</t>
  </si>
  <si>
    <t>CHESAPEAKE UTILITIES CORPORATION</t>
  </si>
  <si>
    <t>CINERGY MARKETING</t>
  </si>
  <si>
    <t>CITRUS TRADING</t>
  </si>
  <si>
    <t>CITRUS WORLD INC</t>
  </si>
  <si>
    <t>CLARKE-MOBILE COUNTIES GAS DISTRICT</t>
  </si>
  <si>
    <t>DUKE ENERGY TRADING</t>
  </si>
  <si>
    <t>DYNEGY GAS TRANSPORTATION</t>
  </si>
  <si>
    <t>DYNEGY POWER CORP</t>
  </si>
  <si>
    <t>EL PASO MERCHANT</t>
  </si>
  <si>
    <t>ENGAGE ENERGY</t>
  </si>
  <si>
    <t>ENRON CAPITAL &amp; TRADE</t>
  </si>
  <si>
    <t>FARMLAND HYDRO, L.P.</t>
  </si>
  <si>
    <t>FLORIDA GAS UTILITY</t>
  </si>
  <si>
    <t>SFTS DELIVERIES</t>
  </si>
  <si>
    <t>FLORIDA POWER AND LIGHT COMPANY</t>
  </si>
  <si>
    <t>FLORIDA POWER CORPORATION</t>
  </si>
  <si>
    <t>FLORIDA PUBLIC UTILITIES COMPANY</t>
  </si>
  <si>
    <t>GULF COAST METALS</t>
  </si>
  <si>
    <t>HOUSTON PIPELINE</t>
  </si>
  <si>
    <t>INFINITE ENERGY</t>
  </si>
  <si>
    <t>LAKELAND, CITY OF</t>
  </si>
  <si>
    <t>NATIONAL GYPSUM COMPANY</t>
  </si>
  <si>
    <t>NUI CORPORATION</t>
  </si>
  <si>
    <t>ONYX GAS MARKETING</t>
  </si>
  <si>
    <t>ORANGE COGENERATION LIMITED PARTNERSHIP</t>
  </si>
  <si>
    <t>ORLANDO COGEN FUEL</t>
  </si>
  <si>
    <t>ORLANDO COGEN II</t>
  </si>
  <si>
    <t>ORLANDO UTILITIES COMMISSION</t>
  </si>
  <si>
    <t>PENINSULA ENERGY SERVICES CO.</t>
  </si>
  <si>
    <t>PEOPLES GAS SYSTEM INC</t>
  </si>
  <si>
    <t>POLK POWER PARTNER</t>
  </si>
  <si>
    <t>PREMIER SERVICES</t>
  </si>
  <si>
    <t>PRIOR INTRASTATE CORPORATION</t>
  </si>
  <si>
    <t>REEDY CREEK IMPROVEMENT DISTRICT</t>
  </si>
  <si>
    <t>RELIANT ENERGY SERVICES</t>
  </si>
  <si>
    <t>SOUTHEAST ALABAMA GAS DISTRICT</t>
  </si>
  <si>
    <t>ST. JOE NATURAL GAS</t>
  </si>
  <si>
    <t>TALLAHASSEE, CITY OF</t>
  </si>
  <si>
    <t>TEXACO NATURAL GAS</t>
  </si>
  <si>
    <t>UNOCAL ENERGY TRADING</t>
  </si>
  <si>
    <t>SOUTHERN COMPANY SERVICES</t>
  </si>
  <si>
    <t>TECO POWER SERVICES CORP.</t>
  </si>
  <si>
    <t>SOUTH FLORIDA NATURAL GAS</t>
  </si>
  <si>
    <t>ADAMS RESOURCES MARKETING</t>
  </si>
  <si>
    <t>CARGILL FERTILIZER</t>
  </si>
  <si>
    <t>CORAL ENERGY RESOURCES</t>
  </si>
  <si>
    <t>TEJAS GAS MARKETING</t>
  </si>
  <si>
    <t>MURPHY EXPLORATION &amp; PRODUCTION</t>
  </si>
  <si>
    <t>HIGHLAND ENERGY</t>
  </si>
  <si>
    <t>VASTAR GAS MARKETING</t>
  </si>
  <si>
    <t xml:space="preserve">FGT Imbalances </t>
  </si>
  <si>
    <t>Net Total Imbalance due Customers</t>
  </si>
  <si>
    <t>August 2000 net total of DPOA contracts</t>
  </si>
  <si>
    <t>Net difference due to PPAs and other adjmts</t>
  </si>
  <si>
    <t>August 2000 No Notice Quantity</t>
  </si>
  <si>
    <t>FGT Imbalances</t>
  </si>
  <si>
    <t>Net Total Imbalance Due Customers</t>
  </si>
  <si>
    <t>September 2000 net total of DPOA contracts</t>
  </si>
  <si>
    <t>September 2000 No Notice Quantity</t>
  </si>
  <si>
    <t>FLORIDA BRICK AND CLAY</t>
  </si>
  <si>
    <t>JEFFERSON SMURFIT CORP.</t>
  </si>
  <si>
    <t>MID CON GAS SERVICES CORP</t>
  </si>
  <si>
    <t>TECO GAS MARKETING CO</t>
  </si>
  <si>
    <t xml:space="preserve">AURORA NATURAL GAS </t>
  </si>
  <si>
    <t>NOBLE GAS MARKETING</t>
  </si>
  <si>
    <t>E PRIME</t>
  </si>
  <si>
    <t xml:space="preserve">LE NUMB </t>
  </si>
  <si>
    <t xml:space="preserve">SHIPPER NAME                  </t>
  </si>
  <si>
    <t>POSTING #</t>
  </si>
  <si>
    <t>IMBALANCE Type</t>
  </si>
  <si>
    <t>Bookout</t>
  </si>
  <si>
    <t>Imbalance After Bookout</t>
  </si>
  <si>
    <t>FLORIDA POWER AND LIGHT COMPAN</t>
  </si>
  <si>
    <t xml:space="preserve">MARKET AREA         </t>
  </si>
  <si>
    <t xml:space="preserve">TALLAHASSEE, CITY OF          </t>
  </si>
  <si>
    <t xml:space="preserve">INFINITE ENERGY, INC.         </t>
  </si>
  <si>
    <t>PEOPLES GAS SYSTEM, A DIVISION</t>
  </si>
  <si>
    <t xml:space="preserve">ORLANDO COGEN FUEL, INC       </t>
  </si>
  <si>
    <t xml:space="preserve">FLORIDA GAS UTILITY           </t>
  </si>
  <si>
    <t xml:space="preserve">NUI CORPORATION               </t>
  </si>
  <si>
    <t xml:space="preserve">FARMLAND HYDRO, L.P.          </t>
  </si>
  <si>
    <t xml:space="preserve">ORLANDO UTILITIES COMMISSION  </t>
  </si>
  <si>
    <t xml:space="preserve">ASHLAND CHEMICAL COMPANY      </t>
  </si>
  <si>
    <t xml:space="preserve">NO NOTICE           </t>
  </si>
  <si>
    <t xml:space="preserve">C.C. PACE RESOURCES, INC.     </t>
  </si>
  <si>
    <t xml:space="preserve">CF INDUSTRIES,  INC           </t>
  </si>
  <si>
    <t>CHESAPEAKE UTILITIES CORPORATI</t>
  </si>
  <si>
    <t xml:space="preserve">CITRUS WORLD,  INC            </t>
  </si>
  <si>
    <t>DUKE ENERGY TRADING AND MARKET</t>
  </si>
  <si>
    <t>EL PASO MERCHANT ENERGY-GAS, L</t>
  </si>
  <si>
    <t>FLORIDA PUBLIC UTILITIES COMPA</t>
  </si>
  <si>
    <t xml:space="preserve">GULF COAST METALS CO., INC.   </t>
  </si>
  <si>
    <t xml:space="preserve">LAKELAND, CITY OF             </t>
  </si>
  <si>
    <t>PENINSULA ENERGY SERVICES COMP</t>
  </si>
  <si>
    <t xml:space="preserve">PREMIER SERVICES CORP         </t>
  </si>
  <si>
    <t xml:space="preserve">PRIOR INTRASTATE CORPORATION  </t>
  </si>
  <si>
    <t>REEDY CREEK IMPROVEMENT DISTRI</t>
  </si>
  <si>
    <t xml:space="preserve">RELIANT ENERGY SERVICES, INC. </t>
  </si>
  <si>
    <t xml:space="preserve">ST. JOE NATURAL GAS COMPANY   </t>
  </si>
  <si>
    <t>TECO POWER SERVICES CORPORATIO</t>
  </si>
  <si>
    <t>SOUTH FLORIDA NATURAL GAS, INC</t>
  </si>
  <si>
    <t xml:space="preserve">NATIONAL GYPSUM COMPANY       </t>
  </si>
  <si>
    <t>ENRON NORTH AMERICA CORP. (FKA</t>
  </si>
  <si>
    <t xml:space="preserve">SFTS DELIVERY       </t>
  </si>
  <si>
    <t xml:space="preserve">ALUMINUM COMPANY OF AMERICA   </t>
  </si>
  <si>
    <t xml:space="preserve">FLORIDA POWER CORPORATION     </t>
  </si>
  <si>
    <t>October 2000 net total of DPOA contracts</t>
  </si>
  <si>
    <t>October 2000 No Notice Quantity</t>
  </si>
  <si>
    <t xml:space="preserve">NOBLE GAS MARKETING, INC.     </t>
  </si>
  <si>
    <t xml:space="preserve">RECEIPT POINT       </t>
  </si>
  <si>
    <t xml:space="preserve">HOUSTON PIPE LINE COMPANY     </t>
  </si>
  <si>
    <t xml:space="preserve">CITRUS TRADING CORPORATION    </t>
  </si>
  <si>
    <t xml:space="preserve">ANHEUSER BUSCH COMPANIES, INC </t>
  </si>
  <si>
    <t xml:space="preserve">UNOCAL ENERGY TRADING, INC.   </t>
  </si>
  <si>
    <t>DYNEGY GAS TRANSPORTATION, INC</t>
  </si>
  <si>
    <t>CINERGY MARKETING &amp; TRADING, L</t>
  </si>
  <si>
    <t>ADAMS RESOURCES MARKETING, LTD</t>
  </si>
  <si>
    <t>AUBURNDALE POWER PARTNERS, L.P</t>
  </si>
  <si>
    <t xml:space="preserve">CITY OF CLEARWATER            </t>
  </si>
  <si>
    <t xml:space="preserve">DYNEGY POWER CORP.            </t>
  </si>
  <si>
    <t xml:space="preserve">LIVE OAK, CITY OF             </t>
  </si>
  <si>
    <t>ORANGE COGENERATION LIMITED PA</t>
  </si>
  <si>
    <t xml:space="preserve">POLK POWER PARTNERS, L.P.     </t>
  </si>
  <si>
    <t xml:space="preserve">ALABAMA POWER COMPANY         </t>
  </si>
  <si>
    <t>CUTRALE CITRUS JUICES USA, INC</t>
  </si>
  <si>
    <t xml:space="preserve">CARGILL FERTILIZER,  INC      </t>
  </si>
  <si>
    <t xml:space="preserve">ORLANDO COGEN II              </t>
  </si>
  <si>
    <t xml:space="preserve">TECO GAS SERVICES, INC.       </t>
  </si>
  <si>
    <t xml:space="preserve">WESTERN GAS RESOURCES INC     </t>
  </si>
  <si>
    <t xml:space="preserve">CORAL ENERGY RESOURCES, L.P.  </t>
  </si>
  <si>
    <t xml:space="preserve">COASTAL MERCHANT ENERGY, L.P. </t>
  </si>
  <si>
    <t>AMOCO ENERGY TRADING CORPORATI</t>
  </si>
  <si>
    <t xml:space="preserve">CELOTEX CORPORATION           </t>
  </si>
  <si>
    <t xml:space="preserve">BAPTIST MEDICAL CENTER        </t>
  </si>
  <si>
    <t xml:space="preserve">TEXACO NATURAL GAS, INC.      </t>
  </si>
  <si>
    <t>ONYX GAS MARKETING COMPANY, L.</t>
  </si>
  <si>
    <t xml:space="preserve">WESTERN DIVISION    </t>
  </si>
  <si>
    <t xml:space="preserve">SOUTHERN COMPANY SERVICES     </t>
  </si>
  <si>
    <t>CLARKE-MOBILE COUNTIES GAS DIS</t>
  </si>
  <si>
    <t xml:space="preserve">LAFARGE GYPSUM                </t>
  </si>
  <si>
    <t>November 2000 net total of DPOA contracts</t>
  </si>
  <si>
    <t>November 2000 No Notice Quantity</t>
  </si>
  <si>
    <t xml:space="preserve">BP ENERGY COMPANY             </t>
  </si>
  <si>
    <t xml:space="preserve">LAKE CITY, CITY OF            </t>
  </si>
  <si>
    <t xml:space="preserve">MARIANNA, CITY OF             </t>
  </si>
  <si>
    <t xml:space="preserve">OKALOOSA COUNTY GAS DISTRICT  </t>
  </si>
  <si>
    <t>LE Name</t>
  </si>
  <si>
    <t xml:space="preserve">ENRON NORTH AMERICA CORP.     </t>
  </si>
  <si>
    <t xml:space="preserve">EL PASO MERCHANT ENERGY, L.P. </t>
  </si>
  <si>
    <t>December 2000 net total of DPOA contracts</t>
  </si>
  <si>
    <t>December 2000 No Notice Quantity</t>
  </si>
  <si>
    <t>December 2000 Non-compliance quantities forgiven</t>
  </si>
  <si>
    <t xml:space="preserve">Posting No. </t>
  </si>
  <si>
    <t>January 2001 net total of DPOA contracts</t>
  </si>
  <si>
    <t>January 2001 No Notice Quantity</t>
  </si>
  <si>
    <t>SOUTHERN COMPANY ENERGY MARKET</t>
  </si>
  <si>
    <t xml:space="preserve">VAIL TRADING COMPANY          </t>
  </si>
  <si>
    <t xml:space="preserve">VASTAR GAS MARKETING, INC.    </t>
  </si>
  <si>
    <t>February 2001 net total of DPOA contracts</t>
  </si>
  <si>
    <t>February 2001 No Notice Quantity</t>
  </si>
  <si>
    <t>Net Total Imbalance Due FGT</t>
  </si>
  <si>
    <t>March 2001 net total of DPOA contracts</t>
  </si>
  <si>
    <t>March 2001 No Notice Quantity</t>
  </si>
  <si>
    <t xml:space="preserve">TEXICAN NATURAL GAS COMPANY   </t>
  </si>
  <si>
    <t>Net total imbalance due Customers</t>
  </si>
  <si>
    <t>April 2001 net total of DPOA contracts</t>
  </si>
  <si>
    <t>April 2001 No Notice Quantity</t>
  </si>
  <si>
    <t xml:space="preserve">ALABAMA ELECTRIC COOPERATIVE, </t>
  </si>
  <si>
    <t>May 2001 net total of DPOA contracts</t>
  </si>
  <si>
    <t>May 2001 No Notice Quantity</t>
  </si>
  <si>
    <t>ADAMS RESOURCES</t>
  </si>
  <si>
    <t>MIRANT AMERICAS ENERGY MARKETI</t>
  </si>
  <si>
    <t xml:space="preserve">TEXLA ENERGY MANAGEMENT, INC. </t>
  </si>
  <si>
    <t>June 2001 net total of DPOA contracts</t>
  </si>
  <si>
    <t>June 2001 No Notice Quantity</t>
  </si>
  <si>
    <t xml:space="preserve">NUI ENERGY BROKERS, INC.      </t>
  </si>
  <si>
    <t xml:space="preserve">NUI ENERGY, INC.              </t>
  </si>
  <si>
    <t xml:space="preserve">WEST FLORIDA NATURAL GAS      </t>
  </si>
  <si>
    <t>July 2001 net total of DPOA contracts</t>
  </si>
  <si>
    <t>July 2001 No Notice Quantity</t>
  </si>
  <si>
    <t>Net difference due to PPAs and other admts</t>
  </si>
  <si>
    <t xml:space="preserve">COKINOS NATURAL GAS COMPANY   </t>
  </si>
  <si>
    <t xml:space="preserve">EXXON CORPORATION             </t>
  </si>
  <si>
    <t>Highland Energy</t>
  </si>
  <si>
    <t>**</t>
  </si>
  <si>
    <t xml:space="preserve">KISSIMMEE UTILITY AUTHORITY   </t>
  </si>
  <si>
    <t xml:space="preserve">LE </t>
  </si>
  <si>
    <t>August 2001 net total of DPOA contracts</t>
  </si>
  <si>
    <t>August 2001 No Notice Quantity</t>
  </si>
  <si>
    <t xml:space="preserve">AMERISTEEL                    </t>
  </si>
  <si>
    <t>BP ENERGY</t>
  </si>
  <si>
    <t>NONE</t>
  </si>
  <si>
    <t>CINERGY MARKETING AND TRADING</t>
  </si>
  <si>
    <t xml:space="preserve">FELDSPAR CORPORATION          </t>
  </si>
  <si>
    <t>HIGHLAND ENERGY CORP.</t>
  </si>
  <si>
    <t>NATIONAL ENERGY &amp; TRADE, L.L.C</t>
  </si>
  <si>
    <t>Imbalance Aftern Bookout</t>
  </si>
  <si>
    <t>Grand total</t>
  </si>
  <si>
    <t>Grand Total</t>
  </si>
  <si>
    <t>Cash Out Majority Imbalance Quantity due Customers</t>
  </si>
  <si>
    <t>Cash In Minority Imbalance Quantity due FGT</t>
  </si>
  <si>
    <t>Cash In Minority Imbalance Quantity Due FGT</t>
  </si>
  <si>
    <t>Cash Out Majority Imbalance Quantity Due Customers</t>
  </si>
  <si>
    <t>Cash Out Minority Imbalance Quantity Due Customers</t>
  </si>
  <si>
    <t>Cash In Majority Imbalance Due FGT</t>
  </si>
  <si>
    <t>Cash Out</t>
  </si>
  <si>
    <t>Cash In</t>
  </si>
  <si>
    <t>Total Cash Out Quantity</t>
  </si>
  <si>
    <t>Total Cash In Quantity</t>
  </si>
  <si>
    <t>Net</t>
  </si>
  <si>
    <t>Month</t>
  </si>
  <si>
    <t>Galen</t>
  </si>
  <si>
    <t>Total Qty</t>
  </si>
  <si>
    <t>Cash Value</t>
  </si>
  <si>
    <t xml:space="preserve">Jim </t>
  </si>
  <si>
    <t>Diff</t>
  </si>
  <si>
    <t>plus</t>
  </si>
  <si>
    <t>minus</t>
  </si>
  <si>
    <t>equals</t>
  </si>
  <si>
    <t>PNR</t>
  </si>
  <si>
    <t>Qty</t>
  </si>
  <si>
    <t>Positive due FGT</t>
  </si>
  <si>
    <t>Negative due Customer</t>
  </si>
  <si>
    <t>Variance</t>
  </si>
  <si>
    <t xml:space="preserve">Cash Value </t>
  </si>
  <si>
    <t>Reconciliation of Monthly Summarized Cash In/Out Quantities and Cash Values</t>
  </si>
  <si>
    <t>August 2000 thru July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</si>
</sst>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left"/>
    </xf>
    <xf numFmtId="38" fontId="0" fillId="0" borderId="0" xfId="0" applyNumberFormat="1"/>
    <xf numFmtId="38" fontId="0" fillId="0" borderId="0" xfId="1" applyNumberFormat="1" applyFont="1"/>
    <xf numFmtId="38" fontId="2" fillId="0" borderId="0" xfId="1" applyNumberFormat="1" applyFont="1" applyAlignment="1">
      <alignment horizontal="center" wrapText="1"/>
    </xf>
    <xf numFmtId="0" fontId="2" fillId="0" borderId="0" xfId="0" applyFont="1"/>
    <xf numFmtId="38" fontId="2" fillId="0" borderId="0" xfId="0" applyNumberFormat="1" applyFont="1"/>
    <xf numFmtId="38" fontId="2" fillId="0" borderId="0" xfId="1" applyNumberFormat="1" applyFont="1"/>
    <xf numFmtId="0" fontId="2" fillId="0" borderId="0" xfId="0" applyFont="1" applyAlignment="1">
      <alignment horizontal="center"/>
    </xf>
    <xf numFmtId="8" fontId="0" fillId="0" borderId="0" xfId="0" applyNumberFormat="1"/>
    <xf numFmtId="8" fontId="2" fillId="0" borderId="0" xfId="0" applyNumberFormat="1" applyFont="1"/>
    <xf numFmtId="17" fontId="2" fillId="0" borderId="0" xfId="0" applyNumberFormat="1" applyFont="1"/>
    <xf numFmtId="38" fontId="2" fillId="0" borderId="0" xfId="0" applyNumberFormat="1" applyFont="1" applyAlignment="1">
      <alignment wrapText="1"/>
    </xf>
    <xf numFmtId="8" fontId="2" fillId="0" borderId="0" xfId="0" applyNumberFormat="1" applyFont="1" applyAlignment="1">
      <alignment wrapText="1"/>
    </xf>
    <xf numFmtId="14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3" fillId="0" borderId="0" xfId="0" applyFont="1" applyBorder="1"/>
    <xf numFmtId="38" fontId="3" fillId="0" borderId="0" xfId="0" applyNumberFormat="1" applyFont="1" applyBorder="1"/>
    <xf numFmtId="8" fontId="3" fillId="0" borderId="0" xfId="0" applyNumberFormat="1" applyFont="1"/>
    <xf numFmtId="0" fontId="4" fillId="0" borderId="0" xfId="0" applyFont="1"/>
    <xf numFmtId="0" fontId="4" fillId="0" borderId="0" xfId="0" applyFont="1" applyBorder="1"/>
    <xf numFmtId="38" fontId="4" fillId="0" borderId="0" xfId="0" applyNumberFormat="1" applyFont="1" applyBorder="1"/>
    <xf numFmtId="8" fontId="4" fillId="0" borderId="0" xfId="0" applyNumberFormat="1" applyFont="1"/>
    <xf numFmtId="0" fontId="3" fillId="0" borderId="1" xfId="0" applyFont="1" applyBorder="1"/>
    <xf numFmtId="38" fontId="3" fillId="0" borderId="0" xfId="0" applyNumberFormat="1" applyFont="1"/>
    <xf numFmtId="38" fontId="4" fillId="0" borderId="0" xfId="0" applyNumberFormat="1" applyFont="1"/>
    <xf numFmtId="17" fontId="4" fillId="0" borderId="0" xfId="0" applyNumberFormat="1" applyFont="1"/>
    <xf numFmtId="0" fontId="4" fillId="0" borderId="0" xfId="0" applyFont="1" applyAlignment="1">
      <alignment wrapText="1"/>
    </xf>
    <xf numFmtId="38" fontId="4" fillId="0" borderId="0" xfId="0" applyNumberFormat="1" applyFont="1" applyAlignment="1">
      <alignment wrapText="1"/>
    </xf>
    <xf numFmtId="8" fontId="4" fillId="0" borderId="0" xfId="0" applyNumberFormat="1" applyFont="1" applyAlignment="1">
      <alignment wrapText="1"/>
    </xf>
    <xf numFmtId="0" fontId="3" fillId="0" borderId="0" xfId="0" applyFont="1" applyAlignment="1">
      <alignment horizontal="left" indent="2"/>
    </xf>
    <xf numFmtId="0" fontId="5" fillId="0" borderId="0" xfId="0" applyFont="1" applyAlignment="1"/>
    <xf numFmtId="38" fontId="5" fillId="0" borderId="0" xfId="0" applyNumberFormat="1" applyFont="1" applyAlignment="1"/>
    <xf numFmtId="38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38" fontId="2" fillId="0" borderId="0" xfId="0" applyNumberFormat="1" applyFont="1" applyAlignment="1">
      <alignment horizontal="left" wrapText="1"/>
    </xf>
    <xf numFmtId="8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38" fontId="6" fillId="0" borderId="0" xfId="0" applyNumberFormat="1" applyFont="1"/>
    <xf numFmtId="38" fontId="0" fillId="0" borderId="0" xfId="0" applyNumberFormat="1" applyBorder="1"/>
    <xf numFmtId="38" fontId="2" fillId="0" borderId="0" xfId="0" applyNumberFormat="1" applyFont="1" applyBorder="1"/>
    <xf numFmtId="8" fontId="2" fillId="0" borderId="0" xfId="1" applyNumberFormat="1" applyFont="1"/>
    <xf numFmtId="8" fontId="0" fillId="0" borderId="0" xfId="1" applyNumberFormat="1" applyFont="1"/>
    <xf numFmtId="0" fontId="2" fillId="0" borderId="0" xfId="0" applyFont="1" applyBorder="1"/>
    <xf numFmtId="17" fontId="0" fillId="0" borderId="0" xfId="0" applyNumberFormat="1"/>
    <xf numFmtId="6" fontId="0" fillId="0" borderId="0" xfId="0" applyNumberFormat="1"/>
    <xf numFmtId="3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B1" sqref="B1"/>
    </sheetView>
  </sheetViews>
  <sheetFormatPr defaultRowHeight="12.75" x14ac:dyDescent="0.2"/>
  <cols>
    <col min="1" max="1" width="9.140625" style="3"/>
    <col min="2" max="2" width="38.85546875" customWidth="1"/>
    <col min="3" max="3" width="7.5703125" style="3" customWidth="1"/>
    <col min="4" max="4" width="20.42578125" customWidth="1"/>
    <col min="5" max="5" width="11.140625" style="7" customWidth="1"/>
    <col min="6" max="6" width="9.140625" style="6"/>
    <col min="7" max="7" width="10.28515625" style="6" customWidth="1"/>
    <col min="8" max="8" width="9.28515625" style="13" bestFit="1" customWidth="1"/>
    <col min="9" max="9" width="14" style="13" bestFit="1" customWidth="1"/>
    <col min="10" max="10" width="9.140625" style="6"/>
  </cols>
  <sheetData>
    <row r="1" spans="1:10" x14ac:dyDescent="0.2">
      <c r="A1" s="4" t="s">
        <v>68</v>
      </c>
    </row>
    <row r="2" spans="1:10" x14ac:dyDescent="0.2">
      <c r="A2" s="5">
        <v>36739</v>
      </c>
    </row>
    <row r="3" spans="1:10" s="1" customFormat="1" ht="38.25" x14ac:dyDescent="0.2">
      <c r="A3" s="2" t="s">
        <v>0</v>
      </c>
      <c r="B3" s="1" t="s">
        <v>1</v>
      </c>
      <c r="C3" s="2" t="s">
        <v>2</v>
      </c>
      <c r="D3" s="1" t="s">
        <v>3</v>
      </c>
      <c r="E3" s="8" t="s">
        <v>4</v>
      </c>
      <c r="F3" s="16" t="s">
        <v>88</v>
      </c>
      <c r="G3" s="16" t="s">
        <v>89</v>
      </c>
      <c r="H3" s="17"/>
      <c r="I3" s="17"/>
      <c r="J3" s="16"/>
    </row>
    <row r="4" spans="1:10" x14ac:dyDescent="0.2">
      <c r="A4" s="3">
        <v>4109</v>
      </c>
      <c r="B4" t="s">
        <v>55</v>
      </c>
      <c r="C4" s="3">
        <v>8887</v>
      </c>
      <c r="D4" t="s">
        <v>9</v>
      </c>
      <c r="E4" s="7">
        <v>-98249</v>
      </c>
      <c r="G4" s="6">
        <f t="shared" ref="G4:G85" si="0">+E4+F4</f>
        <v>-98249</v>
      </c>
    </row>
    <row r="5" spans="1:10" x14ac:dyDescent="0.2">
      <c r="A5" s="3">
        <v>11687</v>
      </c>
      <c r="B5" t="s">
        <v>23</v>
      </c>
      <c r="C5" s="3">
        <v>8829</v>
      </c>
      <c r="D5" t="s">
        <v>9</v>
      </c>
      <c r="E5" s="7">
        <v>-84713</v>
      </c>
      <c r="G5" s="6">
        <f t="shared" si="0"/>
        <v>-84713</v>
      </c>
    </row>
    <row r="6" spans="1:10" x14ac:dyDescent="0.2">
      <c r="A6" s="3">
        <v>5736</v>
      </c>
      <c r="B6" t="s">
        <v>33</v>
      </c>
      <c r="C6" s="3">
        <v>8849</v>
      </c>
      <c r="D6" t="s">
        <v>9</v>
      </c>
      <c r="E6" s="7">
        <f>44023+42952</f>
        <v>86975</v>
      </c>
      <c r="F6" s="6">
        <v>-168783</v>
      </c>
      <c r="G6" s="6">
        <f t="shared" si="0"/>
        <v>-81808</v>
      </c>
    </row>
    <row r="7" spans="1:10" x14ac:dyDescent="0.2">
      <c r="A7" s="3">
        <v>11516</v>
      </c>
      <c r="B7" t="s">
        <v>43</v>
      </c>
      <c r="C7" s="3">
        <v>8865</v>
      </c>
      <c r="D7" t="s">
        <v>9</v>
      </c>
      <c r="E7" s="7">
        <v>-72723</v>
      </c>
      <c r="F7" s="6">
        <f>13923+10699</f>
        <v>24622</v>
      </c>
      <c r="G7" s="6">
        <f t="shared" si="0"/>
        <v>-48101</v>
      </c>
    </row>
    <row r="8" spans="1:10" x14ac:dyDescent="0.2">
      <c r="A8" s="3">
        <v>4118</v>
      </c>
      <c r="B8" t="s">
        <v>45</v>
      </c>
      <c r="C8" s="3">
        <v>8868</v>
      </c>
      <c r="D8" t="s">
        <v>9</v>
      </c>
      <c r="E8" s="7">
        <v>-15891</v>
      </c>
      <c r="G8" s="6">
        <f t="shared" si="0"/>
        <v>-15891</v>
      </c>
    </row>
    <row r="9" spans="1:10" x14ac:dyDescent="0.2">
      <c r="A9" s="3">
        <v>11420</v>
      </c>
      <c r="B9" t="s">
        <v>40</v>
      </c>
      <c r="C9" s="3">
        <v>8862</v>
      </c>
      <c r="D9" t="s">
        <v>9</v>
      </c>
      <c r="E9" s="7">
        <v>-13527</v>
      </c>
      <c r="G9" s="6">
        <f t="shared" si="0"/>
        <v>-13527</v>
      </c>
    </row>
    <row r="10" spans="1:10" x14ac:dyDescent="0.2">
      <c r="A10" s="3">
        <v>6075</v>
      </c>
      <c r="B10" t="s">
        <v>51</v>
      </c>
      <c r="C10" s="3">
        <v>8879</v>
      </c>
      <c r="D10" t="s">
        <v>9</v>
      </c>
      <c r="E10" s="7">
        <v>-12517</v>
      </c>
      <c r="G10" s="6">
        <f t="shared" si="0"/>
        <v>-12517</v>
      </c>
    </row>
    <row r="11" spans="1:10" x14ac:dyDescent="0.2">
      <c r="A11" s="3">
        <v>4084</v>
      </c>
      <c r="B11" t="s">
        <v>34</v>
      </c>
      <c r="C11" s="3">
        <v>8851</v>
      </c>
      <c r="D11" t="s">
        <v>9</v>
      </c>
      <c r="E11" s="7">
        <v>-10017</v>
      </c>
      <c r="G11" s="6">
        <f t="shared" si="0"/>
        <v>-10017</v>
      </c>
    </row>
    <row r="12" spans="1:10" x14ac:dyDescent="0.2">
      <c r="A12" s="3">
        <v>4175</v>
      </c>
      <c r="B12" t="s">
        <v>18</v>
      </c>
      <c r="C12" s="3">
        <v>8821</v>
      </c>
      <c r="D12" t="s">
        <v>9</v>
      </c>
      <c r="E12" s="7">
        <v>-20994</v>
      </c>
      <c r="F12" s="6">
        <f>76+12989</f>
        <v>13065</v>
      </c>
      <c r="G12" s="6">
        <f t="shared" si="0"/>
        <v>-7929</v>
      </c>
    </row>
    <row r="13" spans="1:10" x14ac:dyDescent="0.2">
      <c r="A13" s="3">
        <v>11793</v>
      </c>
      <c r="B13" t="s">
        <v>37</v>
      </c>
      <c r="C13" s="3">
        <v>8856</v>
      </c>
      <c r="D13" t="s">
        <v>9</v>
      </c>
      <c r="E13" s="7">
        <f>-7088+1427</f>
        <v>-5661</v>
      </c>
      <c r="G13" s="6">
        <f t="shared" si="0"/>
        <v>-5661</v>
      </c>
    </row>
    <row r="14" spans="1:10" x14ac:dyDescent="0.2">
      <c r="A14" s="3">
        <v>4179</v>
      </c>
      <c r="B14" t="s">
        <v>21</v>
      </c>
      <c r="C14" s="3">
        <v>8825</v>
      </c>
      <c r="D14" t="s">
        <v>9</v>
      </c>
      <c r="E14" s="7">
        <v>-3158</v>
      </c>
      <c r="G14" s="6">
        <f t="shared" si="0"/>
        <v>-3158</v>
      </c>
    </row>
    <row r="15" spans="1:10" x14ac:dyDescent="0.2">
      <c r="A15" s="3">
        <v>4133</v>
      </c>
      <c r="B15" t="s">
        <v>54</v>
      </c>
      <c r="C15" s="3">
        <v>8885</v>
      </c>
      <c r="D15" t="s">
        <v>9</v>
      </c>
      <c r="E15" s="7">
        <f>-4255+917+223</f>
        <v>-3115</v>
      </c>
      <c r="G15" s="6">
        <f t="shared" si="0"/>
        <v>-3115</v>
      </c>
    </row>
    <row r="16" spans="1:10" x14ac:dyDescent="0.2">
      <c r="A16" s="3">
        <v>1004</v>
      </c>
      <c r="B16" t="s">
        <v>8</v>
      </c>
      <c r="C16" s="3">
        <v>8812</v>
      </c>
      <c r="D16" t="s">
        <v>9</v>
      </c>
      <c r="E16" s="7">
        <v>-2986</v>
      </c>
      <c r="G16" s="6">
        <f t="shared" si="0"/>
        <v>-2986</v>
      </c>
    </row>
    <row r="17" spans="1:9" x14ac:dyDescent="0.2">
      <c r="A17" s="3">
        <v>287</v>
      </c>
      <c r="B17" t="s">
        <v>29</v>
      </c>
      <c r="C17" s="3">
        <v>8841</v>
      </c>
      <c r="D17" t="s">
        <v>9</v>
      </c>
      <c r="E17" s="7">
        <v>-2203</v>
      </c>
      <c r="G17" s="6">
        <f t="shared" si="0"/>
        <v>-2203</v>
      </c>
    </row>
    <row r="18" spans="1:9" x14ac:dyDescent="0.2">
      <c r="A18" s="3">
        <v>11299</v>
      </c>
      <c r="B18" t="s">
        <v>15</v>
      </c>
      <c r="C18" s="3">
        <v>8817</v>
      </c>
      <c r="D18" t="s">
        <v>13</v>
      </c>
      <c r="E18" s="7">
        <v>-1918</v>
      </c>
      <c r="G18" s="6">
        <f t="shared" si="0"/>
        <v>-1918</v>
      </c>
    </row>
    <row r="19" spans="1:9" x14ac:dyDescent="0.2">
      <c r="A19" s="3">
        <v>4079</v>
      </c>
      <c r="B19" t="s">
        <v>49</v>
      </c>
      <c r="C19" s="3">
        <v>8875</v>
      </c>
      <c r="D19" t="s">
        <v>9</v>
      </c>
      <c r="E19" s="7">
        <v>-2111</v>
      </c>
      <c r="F19" s="6">
        <v>337</v>
      </c>
      <c r="G19" s="6">
        <f t="shared" si="0"/>
        <v>-1774</v>
      </c>
    </row>
    <row r="20" spans="1:9" x14ac:dyDescent="0.2">
      <c r="A20" s="3">
        <v>4084</v>
      </c>
      <c r="B20" t="s">
        <v>34</v>
      </c>
      <c r="C20" s="3">
        <v>8852</v>
      </c>
      <c r="D20" t="s">
        <v>13</v>
      </c>
      <c r="E20" s="7">
        <v>-1650</v>
      </c>
      <c r="G20" s="6">
        <f t="shared" si="0"/>
        <v>-1650</v>
      </c>
    </row>
    <row r="21" spans="1:9" x14ac:dyDescent="0.2">
      <c r="A21" s="3">
        <v>11185</v>
      </c>
      <c r="B21" t="s">
        <v>39</v>
      </c>
      <c r="C21" s="3">
        <v>8861</v>
      </c>
      <c r="D21" t="s">
        <v>9</v>
      </c>
      <c r="E21" s="7">
        <v>-1354</v>
      </c>
      <c r="G21" s="6">
        <f t="shared" si="0"/>
        <v>-1354</v>
      </c>
    </row>
    <row r="22" spans="1:9" x14ac:dyDescent="0.2">
      <c r="A22" s="3">
        <v>12907</v>
      </c>
      <c r="B22" t="s">
        <v>26</v>
      </c>
      <c r="C22" s="3">
        <v>8834</v>
      </c>
      <c r="D22" t="s">
        <v>9</v>
      </c>
      <c r="E22" s="7">
        <v>-24771</v>
      </c>
      <c r="F22" s="6">
        <f>2779+21768</f>
        <v>24547</v>
      </c>
      <c r="G22" s="6">
        <f t="shared" si="0"/>
        <v>-224</v>
      </c>
    </row>
    <row r="23" spans="1:9" x14ac:dyDescent="0.2">
      <c r="A23" s="3">
        <v>6321</v>
      </c>
      <c r="B23" t="s">
        <v>50</v>
      </c>
      <c r="C23" s="3">
        <v>8878</v>
      </c>
      <c r="D23" t="s">
        <v>9</v>
      </c>
      <c r="E23" s="7">
        <v>-64</v>
      </c>
      <c r="G23" s="6">
        <f t="shared" si="0"/>
        <v>-64</v>
      </c>
    </row>
    <row r="24" spans="1:9" x14ac:dyDescent="0.2">
      <c r="A24" s="3">
        <v>11594</v>
      </c>
      <c r="B24" t="s">
        <v>12</v>
      </c>
      <c r="C24" s="3">
        <v>8815</v>
      </c>
      <c r="D24" t="s">
        <v>13</v>
      </c>
      <c r="E24" s="7">
        <v>-62</v>
      </c>
      <c r="G24" s="6">
        <f t="shared" si="0"/>
        <v>-62</v>
      </c>
    </row>
    <row r="25" spans="1:9" x14ac:dyDescent="0.2">
      <c r="B25" s="9" t="s">
        <v>217</v>
      </c>
      <c r="E25" s="10">
        <f>SUM(E4:E24)</f>
        <v>-290709</v>
      </c>
      <c r="F25" s="10">
        <f>SUM(F4:F24)</f>
        <v>-106212</v>
      </c>
      <c r="G25" s="10">
        <f>SUM(G4:G24)</f>
        <v>-396921</v>
      </c>
      <c r="H25" s="13">
        <v>4.1500000000000004</v>
      </c>
      <c r="I25" s="13">
        <f>ROUND(G25*H25,0)</f>
        <v>-1647222</v>
      </c>
    </row>
    <row r="28" spans="1:9" x14ac:dyDescent="0.2">
      <c r="A28" s="3">
        <v>6228</v>
      </c>
      <c r="B28" t="s">
        <v>17</v>
      </c>
      <c r="C28" s="3">
        <v>8820</v>
      </c>
      <c r="D28" t="s">
        <v>9</v>
      </c>
      <c r="E28" s="7">
        <v>1221</v>
      </c>
      <c r="F28" s="6">
        <v>-1221</v>
      </c>
      <c r="G28" s="6">
        <f t="shared" si="0"/>
        <v>0</v>
      </c>
    </row>
    <row r="29" spans="1:9" x14ac:dyDescent="0.2">
      <c r="A29" s="3">
        <v>6268</v>
      </c>
      <c r="B29" t="s">
        <v>30</v>
      </c>
      <c r="C29" s="3">
        <v>8844</v>
      </c>
      <c r="D29" t="s">
        <v>9</v>
      </c>
      <c r="E29" s="7">
        <v>-156410</v>
      </c>
      <c r="F29" s="6">
        <v>156410</v>
      </c>
      <c r="G29" s="6">
        <f t="shared" si="0"/>
        <v>0</v>
      </c>
    </row>
    <row r="30" spans="1:9" x14ac:dyDescent="0.2">
      <c r="A30" s="3">
        <v>655</v>
      </c>
      <c r="B30" t="s">
        <v>32</v>
      </c>
      <c r="C30" s="3">
        <v>8847</v>
      </c>
      <c r="D30" t="s">
        <v>9</v>
      </c>
      <c r="E30" s="7">
        <v>20063</v>
      </c>
      <c r="F30" s="6">
        <v>-20063</v>
      </c>
      <c r="G30" s="6">
        <f t="shared" si="0"/>
        <v>0</v>
      </c>
    </row>
    <row r="31" spans="1:9" x14ac:dyDescent="0.2">
      <c r="A31" s="3">
        <v>11729</v>
      </c>
      <c r="B31" t="s">
        <v>35</v>
      </c>
      <c r="C31" s="3">
        <v>8853</v>
      </c>
      <c r="D31" t="s">
        <v>9</v>
      </c>
      <c r="E31" s="7">
        <v>-884</v>
      </c>
      <c r="F31" s="6">
        <v>884</v>
      </c>
      <c r="G31" s="6">
        <f t="shared" si="0"/>
        <v>0</v>
      </c>
    </row>
    <row r="32" spans="1:9" x14ac:dyDescent="0.2">
      <c r="A32" s="3">
        <v>4101</v>
      </c>
      <c r="B32" t="s">
        <v>38</v>
      </c>
      <c r="C32" s="3">
        <v>8859</v>
      </c>
      <c r="D32" t="s">
        <v>9</v>
      </c>
      <c r="E32" s="7">
        <v>13923</v>
      </c>
      <c r="F32" s="6">
        <v>-13923</v>
      </c>
      <c r="G32" s="6">
        <f t="shared" si="0"/>
        <v>0</v>
      </c>
    </row>
    <row r="33" spans="1:10" x14ac:dyDescent="0.2">
      <c r="A33" s="3">
        <v>2974</v>
      </c>
      <c r="B33" t="s">
        <v>46</v>
      </c>
      <c r="C33" s="3">
        <v>8869</v>
      </c>
      <c r="D33" t="s">
        <v>9</v>
      </c>
      <c r="E33" s="7">
        <v>76</v>
      </c>
      <c r="F33" s="6">
        <v>-76</v>
      </c>
      <c r="G33" s="6">
        <f t="shared" si="0"/>
        <v>0</v>
      </c>
    </row>
    <row r="34" spans="1:10" x14ac:dyDescent="0.2">
      <c r="A34" s="3">
        <v>4120</v>
      </c>
      <c r="B34" t="s">
        <v>47</v>
      </c>
      <c r="C34" s="3">
        <v>8872</v>
      </c>
      <c r="D34" t="s">
        <v>9</v>
      </c>
      <c r="E34" s="7">
        <v>38699</v>
      </c>
      <c r="F34" s="6">
        <f>-10699-21768-6232</f>
        <v>-38699</v>
      </c>
      <c r="G34" s="6">
        <f t="shared" si="0"/>
        <v>0</v>
      </c>
    </row>
    <row r="35" spans="1:10" x14ac:dyDescent="0.2">
      <c r="A35" s="3">
        <v>3974</v>
      </c>
      <c r="B35" t="s">
        <v>52</v>
      </c>
      <c r="C35" s="3">
        <v>8880</v>
      </c>
      <c r="D35" t="s">
        <v>9</v>
      </c>
      <c r="E35" s="7">
        <v>-17284</v>
      </c>
      <c r="F35" s="6">
        <v>17284</v>
      </c>
      <c r="G35" s="6">
        <f t="shared" si="0"/>
        <v>0</v>
      </c>
    </row>
    <row r="36" spans="1:10" x14ac:dyDescent="0.2">
      <c r="A36" s="3">
        <v>6431</v>
      </c>
      <c r="B36" t="s">
        <v>59</v>
      </c>
      <c r="C36" s="3">
        <v>8888</v>
      </c>
      <c r="D36" t="s">
        <v>9</v>
      </c>
      <c r="E36" s="7">
        <v>-6232</v>
      </c>
      <c r="F36" s="6">
        <v>6232</v>
      </c>
      <c r="G36" s="6">
        <f t="shared" si="0"/>
        <v>0</v>
      </c>
    </row>
    <row r="37" spans="1:10" x14ac:dyDescent="0.2">
      <c r="A37" s="3">
        <v>6268</v>
      </c>
      <c r="B37" t="s">
        <v>30</v>
      </c>
      <c r="C37" s="3">
        <v>8845</v>
      </c>
      <c r="D37" t="s">
        <v>31</v>
      </c>
      <c r="E37" s="7">
        <v>616</v>
      </c>
      <c r="F37" s="6">
        <v>-616</v>
      </c>
      <c r="G37" s="6">
        <f>+E37+F37</f>
        <v>0</v>
      </c>
    </row>
    <row r="38" spans="1:10" x14ac:dyDescent="0.2">
      <c r="A38" s="3">
        <v>4175</v>
      </c>
      <c r="B38" t="s">
        <v>18</v>
      </c>
      <c r="C38" s="3">
        <v>8822</v>
      </c>
      <c r="D38" t="s">
        <v>13</v>
      </c>
      <c r="E38" s="7">
        <v>-5612</v>
      </c>
      <c r="F38" s="6">
        <v>5612</v>
      </c>
      <c r="G38" s="6">
        <f t="shared" si="0"/>
        <v>0</v>
      </c>
    </row>
    <row r="39" spans="1:10" x14ac:dyDescent="0.2">
      <c r="A39" s="3">
        <v>11793</v>
      </c>
      <c r="B39" t="s">
        <v>37</v>
      </c>
      <c r="C39" s="3">
        <v>8857</v>
      </c>
      <c r="D39" t="s">
        <v>13</v>
      </c>
      <c r="E39" s="7">
        <v>1442</v>
      </c>
      <c r="F39" s="6">
        <v>-1442</v>
      </c>
      <c r="G39" s="6">
        <f t="shared" si="0"/>
        <v>0</v>
      </c>
    </row>
    <row r="40" spans="1:10" x14ac:dyDescent="0.2">
      <c r="A40" s="3">
        <v>2974</v>
      </c>
      <c r="B40" t="s">
        <v>46</v>
      </c>
      <c r="C40" s="3">
        <v>8870</v>
      </c>
      <c r="D40" t="s">
        <v>13</v>
      </c>
      <c r="E40" s="7">
        <v>316</v>
      </c>
      <c r="F40" s="6">
        <v>-316</v>
      </c>
      <c r="G40" s="6">
        <f t="shared" si="0"/>
        <v>0</v>
      </c>
    </row>
    <row r="41" spans="1:10" x14ac:dyDescent="0.2">
      <c r="A41" s="3">
        <v>4131</v>
      </c>
      <c r="B41" t="s">
        <v>60</v>
      </c>
      <c r="C41" s="3">
        <v>8881</v>
      </c>
      <c r="D41" t="s">
        <v>13</v>
      </c>
      <c r="E41" s="7">
        <v>43</v>
      </c>
      <c r="G41" s="6">
        <f t="shared" si="0"/>
        <v>43</v>
      </c>
    </row>
    <row r="42" spans="1:10" x14ac:dyDescent="0.2">
      <c r="A42" s="3">
        <v>330</v>
      </c>
      <c r="B42" t="s">
        <v>28</v>
      </c>
      <c r="C42" s="3">
        <v>8840</v>
      </c>
      <c r="D42" t="s">
        <v>13</v>
      </c>
      <c r="E42" s="7">
        <v>745</v>
      </c>
      <c r="G42" s="6">
        <f t="shared" si="0"/>
        <v>745</v>
      </c>
    </row>
    <row r="43" spans="1:10" x14ac:dyDescent="0.2">
      <c r="A43" s="3">
        <v>4120</v>
      </c>
      <c r="B43" t="s">
        <v>47</v>
      </c>
      <c r="C43" s="3">
        <v>8873</v>
      </c>
      <c r="D43" t="s">
        <v>13</v>
      </c>
      <c r="E43" s="7">
        <v>34487</v>
      </c>
      <c r="G43" s="6">
        <f t="shared" si="0"/>
        <v>34487</v>
      </c>
    </row>
    <row r="44" spans="1:10" x14ac:dyDescent="0.2">
      <c r="B44" s="9" t="s">
        <v>218</v>
      </c>
      <c r="E44" s="11">
        <f>SUM(E28:E43)</f>
        <v>-74791</v>
      </c>
      <c r="F44" s="11">
        <f>SUM(F28:F43)</f>
        <v>110066</v>
      </c>
      <c r="G44" s="11">
        <f>SUM(G28:G43)</f>
        <v>35275</v>
      </c>
      <c r="H44" s="13">
        <v>4.22</v>
      </c>
      <c r="I44" s="13">
        <f>ROUND(G44*H44,0)</f>
        <v>148861</v>
      </c>
    </row>
    <row r="46" spans="1:10" s="9" customFormat="1" x14ac:dyDescent="0.2">
      <c r="A46" s="12"/>
      <c r="B46" s="9" t="s">
        <v>69</v>
      </c>
      <c r="C46" s="12"/>
      <c r="E46" s="11"/>
      <c r="F46" s="10"/>
      <c r="G46" s="10">
        <f>+G25+G44</f>
        <v>-361646</v>
      </c>
      <c r="H46" s="14"/>
      <c r="I46" s="14"/>
      <c r="J46" s="10"/>
    </row>
    <row r="48" spans="1:10" s="9" customFormat="1" x14ac:dyDescent="0.2">
      <c r="A48" s="12"/>
      <c r="B48" s="9" t="s">
        <v>70</v>
      </c>
      <c r="C48" s="12"/>
      <c r="E48" s="11"/>
      <c r="F48" s="10"/>
      <c r="G48" s="10">
        <v>-436094</v>
      </c>
      <c r="H48" s="14"/>
      <c r="I48" s="14"/>
      <c r="J48" s="10"/>
    </row>
    <row r="49" spans="1:10" s="9" customFormat="1" x14ac:dyDescent="0.2">
      <c r="A49" s="12"/>
      <c r="B49" s="9" t="s">
        <v>72</v>
      </c>
      <c r="C49" s="12"/>
      <c r="E49" s="11"/>
      <c r="F49" s="10"/>
      <c r="G49" s="10">
        <v>26961</v>
      </c>
      <c r="H49" s="14"/>
      <c r="I49" s="14"/>
      <c r="J49" s="10"/>
    </row>
    <row r="50" spans="1:10" s="9" customFormat="1" x14ac:dyDescent="0.2">
      <c r="A50" s="12"/>
      <c r="B50" s="9" t="s">
        <v>71</v>
      </c>
      <c r="C50" s="12"/>
      <c r="E50" s="11"/>
      <c r="F50" s="10"/>
      <c r="G50" s="10">
        <f>+G46-G48-G49</f>
        <v>47487</v>
      </c>
      <c r="H50" s="14"/>
      <c r="I50" s="14"/>
      <c r="J50" s="10"/>
    </row>
    <row r="53" spans="1:10" x14ac:dyDescent="0.2">
      <c r="A53" s="3">
        <v>15</v>
      </c>
      <c r="B53" t="s">
        <v>36</v>
      </c>
      <c r="C53" s="3">
        <v>8854</v>
      </c>
      <c r="D53" t="s">
        <v>5</v>
      </c>
      <c r="E53" s="7">
        <v>-7933</v>
      </c>
      <c r="G53" s="6">
        <f t="shared" si="0"/>
        <v>-7933</v>
      </c>
    </row>
    <row r="54" spans="1:10" x14ac:dyDescent="0.2">
      <c r="A54" s="3">
        <v>12673</v>
      </c>
      <c r="B54" t="s">
        <v>61</v>
      </c>
      <c r="C54" s="3">
        <v>8809</v>
      </c>
      <c r="D54" t="s">
        <v>5</v>
      </c>
      <c r="E54" s="7">
        <v>-30477</v>
      </c>
      <c r="F54" s="6">
        <f>5200+13000+7743</f>
        <v>25943</v>
      </c>
      <c r="G54" s="6">
        <f>+E54+F54</f>
        <v>-4534</v>
      </c>
    </row>
    <row r="55" spans="1:10" x14ac:dyDescent="0.2">
      <c r="A55" s="3">
        <v>1141</v>
      </c>
      <c r="B55" t="s">
        <v>14</v>
      </c>
      <c r="C55" s="3">
        <v>8816</v>
      </c>
      <c r="D55" t="s">
        <v>5</v>
      </c>
      <c r="E55" s="7">
        <v>-1724</v>
      </c>
      <c r="G55" s="6">
        <f t="shared" si="0"/>
        <v>-1724</v>
      </c>
    </row>
    <row r="56" spans="1:10" x14ac:dyDescent="0.2">
      <c r="A56" s="3">
        <v>2707</v>
      </c>
      <c r="B56" t="s">
        <v>16</v>
      </c>
      <c r="C56" s="3">
        <v>8819</v>
      </c>
      <c r="D56" t="s">
        <v>5</v>
      </c>
      <c r="E56" s="7">
        <v>-1337</v>
      </c>
      <c r="G56" s="6">
        <f t="shared" si="0"/>
        <v>-1337</v>
      </c>
    </row>
    <row r="57" spans="1:10" x14ac:dyDescent="0.2">
      <c r="A57" s="3">
        <v>11641</v>
      </c>
      <c r="B57" t="s">
        <v>19</v>
      </c>
      <c r="C57" s="3">
        <v>8823</v>
      </c>
      <c r="D57" t="s">
        <v>5</v>
      </c>
      <c r="E57" s="7">
        <v>-913</v>
      </c>
      <c r="F57" s="6">
        <v>8</v>
      </c>
      <c r="G57" s="6">
        <f t="shared" si="0"/>
        <v>-905</v>
      </c>
    </row>
    <row r="58" spans="1:10" x14ac:dyDescent="0.2">
      <c r="A58" s="3">
        <v>7812</v>
      </c>
      <c r="B58" t="s">
        <v>66</v>
      </c>
      <c r="C58" s="3">
        <v>8894</v>
      </c>
      <c r="D58" t="s">
        <v>5</v>
      </c>
      <c r="E58" s="7">
        <v>1</v>
      </c>
      <c r="F58" s="6">
        <v>-773</v>
      </c>
      <c r="G58" s="6">
        <f>+E58+F58</f>
        <v>-772</v>
      </c>
    </row>
    <row r="59" spans="1:10" x14ac:dyDescent="0.2">
      <c r="A59" s="3">
        <v>12907</v>
      </c>
      <c r="B59" t="s">
        <v>26</v>
      </c>
      <c r="C59" s="3">
        <v>8833</v>
      </c>
      <c r="D59" t="s">
        <v>5</v>
      </c>
      <c r="E59" s="7">
        <v>15192</v>
      </c>
      <c r="F59" s="6">
        <f>-13000-5296+3074+101-476</f>
        <v>-15597</v>
      </c>
      <c r="G59" s="6">
        <f t="shared" si="0"/>
        <v>-405</v>
      </c>
    </row>
    <row r="60" spans="1:10" x14ac:dyDescent="0.2">
      <c r="A60" s="3">
        <v>6321</v>
      </c>
      <c r="B60" t="s">
        <v>50</v>
      </c>
      <c r="C60" s="3">
        <v>8876</v>
      </c>
      <c r="D60" t="s">
        <v>5</v>
      </c>
      <c r="E60" s="7">
        <v>-30</v>
      </c>
      <c r="G60" s="6">
        <f t="shared" si="0"/>
        <v>-30</v>
      </c>
    </row>
    <row r="61" spans="1:10" s="9" customFormat="1" x14ac:dyDescent="0.2">
      <c r="A61" s="12"/>
      <c r="B61" s="9" t="s">
        <v>223</v>
      </c>
      <c r="C61" s="12"/>
      <c r="E61" s="11">
        <f>SUM(E53:E60)</f>
        <v>-27221</v>
      </c>
      <c r="F61" s="11">
        <f>SUM(F53:F60)</f>
        <v>9581</v>
      </c>
      <c r="G61" s="11">
        <f>SUM(G53:G60)</f>
        <v>-17640</v>
      </c>
      <c r="H61" s="14">
        <v>4.1500000000000004</v>
      </c>
      <c r="I61" s="13">
        <f>ROUND(G61*H61,0)</f>
        <v>-73206</v>
      </c>
      <c r="J61" s="10"/>
    </row>
    <row r="64" spans="1:10" x14ac:dyDescent="0.2">
      <c r="A64" s="3">
        <v>285</v>
      </c>
      <c r="B64" t="s">
        <v>11</v>
      </c>
      <c r="C64" s="3">
        <v>8814</v>
      </c>
      <c r="D64" t="s">
        <v>5</v>
      </c>
      <c r="E64" s="7">
        <v>-95</v>
      </c>
      <c r="F64" s="6">
        <v>95</v>
      </c>
      <c r="G64" s="6">
        <f t="shared" si="0"/>
        <v>0</v>
      </c>
    </row>
    <row r="65" spans="1:7" x14ac:dyDescent="0.2">
      <c r="A65" s="3">
        <v>11937</v>
      </c>
      <c r="B65" t="s">
        <v>25</v>
      </c>
      <c r="C65" s="3">
        <v>8832</v>
      </c>
      <c r="D65" t="s">
        <v>5</v>
      </c>
      <c r="E65" s="7">
        <v>5</v>
      </c>
      <c r="F65" s="6">
        <v>-5</v>
      </c>
      <c r="G65" s="6">
        <f t="shared" si="0"/>
        <v>0</v>
      </c>
    </row>
    <row r="66" spans="1:7" x14ac:dyDescent="0.2">
      <c r="A66" s="3">
        <v>6268</v>
      </c>
      <c r="B66" t="s">
        <v>30</v>
      </c>
      <c r="C66" s="3">
        <v>8843</v>
      </c>
      <c r="D66" t="s">
        <v>5</v>
      </c>
      <c r="E66" s="7">
        <v>-756</v>
      </c>
      <c r="F66" s="6">
        <v>756</v>
      </c>
      <c r="G66" s="6">
        <f t="shared" si="0"/>
        <v>0</v>
      </c>
    </row>
    <row r="67" spans="1:7" x14ac:dyDescent="0.2">
      <c r="A67" s="3">
        <v>11793</v>
      </c>
      <c r="B67" t="s">
        <v>37</v>
      </c>
      <c r="C67" s="3">
        <v>8855</v>
      </c>
      <c r="D67" t="s">
        <v>5</v>
      </c>
      <c r="E67" s="7">
        <v>6301</v>
      </c>
      <c r="F67" s="6">
        <f>1442-7743</f>
        <v>-6301</v>
      </c>
      <c r="G67" s="6">
        <f t="shared" si="0"/>
        <v>0</v>
      </c>
    </row>
    <row r="68" spans="1:7" x14ac:dyDescent="0.2">
      <c r="A68" s="3">
        <v>4101</v>
      </c>
      <c r="B68" t="s">
        <v>38</v>
      </c>
      <c r="C68" s="3">
        <v>8858</v>
      </c>
      <c r="D68" t="s">
        <v>5</v>
      </c>
      <c r="E68" s="7">
        <v>3</v>
      </c>
      <c r="F68" s="6">
        <v>-3</v>
      </c>
      <c r="G68" s="6">
        <f t="shared" si="0"/>
        <v>0</v>
      </c>
    </row>
    <row r="69" spans="1:7" x14ac:dyDescent="0.2">
      <c r="A69" s="3">
        <v>11143</v>
      </c>
      <c r="B69" t="s">
        <v>42</v>
      </c>
      <c r="C69" s="3">
        <v>8864</v>
      </c>
      <c r="D69" t="s">
        <v>5</v>
      </c>
      <c r="E69" s="7">
        <v>-11</v>
      </c>
      <c r="F69" s="6">
        <v>11</v>
      </c>
      <c r="G69" s="6">
        <f t="shared" si="0"/>
        <v>0</v>
      </c>
    </row>
    <row r="70" spans="1:7" x14ac:dyDescent="0.2">
      <c r="A70" s="3">
        <v>4118</v>
      </c>
      <c r="B70" t="s">
        <v>45</v>
      </c>
      <c r="C70" s="3">
        <v>8867</v>
      </c>
      <c r="D70" t="s">
        <v>5</v>
      </c>
      <c r="E70" s="7">
        <v>101</v>
      </c>
      <c r="F70" s="6">
        <v>-101</v>
      </c>
      <c r="G70" s="6">
        <f t="shared" si="0"/>
        <v>0</v>
      </c>
    </row>
    <row r="71" spans="1:7" x14ac:dyDescent="0.2">
      <c r="A71" s="3">
        <v>11128</v>
      </c>
      <c r="B71" t="s">
        <v>48</v>
      </c>
      <c r="C71" s="3">
        <v>8874</v>
      </c>
      <c r="D71" t="s">
        <v>5</v>
      </c>
      <c r="E71" s="7">
        <v>3074</v>
      </c>
      <c r="F71" s="6">
        <v>-3074</v>
      </c>
      <c r="G71" s="6">
        <f t="shared" si="0"/>
        <v>0</v>
      </c>
    </row>
    <row r="72" spans="1:7" x14ac:dyDescent="0.2">
      <c r="A72" s="3">
        <v>4997</v>
      </c>
      <c r="B72" t="s">
        <v>24</v>
      </c>
      <c r="C72" s="3">
        <v>8830</v>
      </c>
      <c r="D72" t="s">
        <v>5</v>
      </c>
      <c r="E72" s="7">
        <v>5299</v>
      </c>
      <c r="F72" s="6">
        <v>-5298</v>
      </c>
      <c r="G72" s="6">
        <f t="shared" si="0"/>
        <v>1</v>
      </c>
    </row>
    <row r="73" spans="1:7" x14ac:dyDescent="0.2">
      <c r="A73" s="3">
        <v>11517</v>
      </c>
      <c r="B73" t="s">
        <v>44</v>
      </c>
      <c r="C73" s="3">
        <v>8866</v>
      </c>
      <c r="D73" t="s">
        <v>5</v>
      </c>
      <c r="E73" s="7">
        <v>1</v>
      </c>
      <c r="G73" s="6">
        <f t="shared" si="0"/>
        <v>1</v>
      </c>
    </row>
    <row r="74" spans="1:7" x14ac:dyDescent="0.2">
      <c r="A74" s="3">
        <v>4109</v>
      </c>
      <c r="B74" t="s">
        <v>55</v>
      </c>
      <c r="C74" s="3">
        <v>8886</v>
      </c>
      <c r="D74" t="s">
        <v>5</v>
      </c>
      <c r="E74" s="7">
        <v>1</v>
      </c>
      <c r="G74" s="6">
        <f t="shared" si="0"/>
        <v>1</v>
      </c>
    </row>
    <row r="75" spans="1:7" x14ac:dyDescent="0.2">
      <c r="A75" s="3">
        <v>11905</v>
      </c>
      <c r="B75" t="s">
        <v>6</v>
      </c>
      <c r="C75" s="3">
        <v>8810</v>
      </c>
      <c r="D75" t="s">
        <v>5</v>
      </c>
      <c r="E75" s="7">
        <v>2</v>
      </c>
      <c r="G75" s="6">
        <f t="shared" si="0"/>
        <v>2</v>
      </c>
    </row>
    <row r="76" spans="1:7" x14ac:dyDescent="0.2">
      <c r="A76" s="3">
        <v>4122</v>
      </c>
      <c r="B76" t="s">
        <v>62</v>
      </c>
      <c r="C76" s="3">
        <v>8818</v>
      </c>
      <c r="D76" t="s">
        <v>5</v>
      </c>
      <c r="E76" s="7">
        <v>2</v>
      </c>
      <c r="G76" s="6">
        <f t="shared" si="0"/>
        <v>2</v>
      </c>
    </row>
    <row r="77" spans="1:7" x14ac:dyDescent="0.2">
      <c r="A77" s="3">
        <v>11260</v>
      </c>
      <c r="B77" t="s">
        <v>64</v>
      </c>
      <c r="C77" s="3">
        <v>8889</v>
      </c>
      <c r="D77" t="s">
        <v>5</v>
      </c>
      <c r="E77" s="7">
        <v>2</v>
      </c>
      <c r="G77" s="6">
        <f t="shared" si="0"/>
        <v>2</v>
      </c>
    </row>
    <row r="78" spans="1:7" x14ac:dyDescent="0.2">
      <c r="A78" s="3">
        <v>11611</v>
      </c>
      <c r="B78" t="s">
        <v>63</v>
      </c>
      <c r="C78" s="3">
        <v>8827</v>
      </c>
      <c r="D78" t="s">
        <v>5</v>
      </c>
      <c r="E78" s="7">
        <v>7</v>
      </c>
      <c r="G78" s="6">
        <f t="shared" si="0"/>
        <v>7</v>
      </c>
    </row>
    <row r="79" spans="1:7" x14ac:dyDescent="0.2">
      <c r="A79" s="3">
        <v>4084</v>
      </c>
      <c r="B79" t="s">
        <v>34</v>
      </c>
      <c r="C79" s="3">
        <v>8850</v>
      </c>
      <c r="D79" t="s">
        <v>5</v>
      </c>
      <c r="E79" s="7">
        <v>9</v>
      </c>
      <c r="G79" s="6">
        <f t="shared" si="0"/>
        <v>9</v>
      </c>
    </row>
    <row r="80" spans="1:7" x14ac:dyDescent="0.2">
      <c r="A80" s="3">
        <v>4052</v>
      </c>
      <c r="B80" t="s">
        <v>67</v>
      </c>
      <c r="C80" s="3">
        <v>8895</v>
      </c>
      <c r="D80" t="s">
        <v>5</v>
      </c>
      <c r="E80" s="7">
        <v>1</v>
      </c>
      <c r="F80" s="6">
        <v>9</v>
      </c>
      <c r="G80" s="6">
        <f t="shared" si="0"/>
        <v>10</v>
      </c>
    </row>
    <row r="81" spans="1:10" x14ac:dyDescent="0.2">
      <c r="A81" s="3">
        <v>5736</v>
      </c>
      <c r="B81" t="s">
        <v>33</v>
      </c>
      <c r="C81" s="3">
        <v>8848</v>
      </c>
      <c r="D81" t="s">
        <v>5</v>
      </c>
      <c r="E81" s="7">
        <v>31</v>
      </c>
      <c r="G81" s="6">
        <f t="shared" si="0"/>
        <v>31</v>
      </c>
    </row>
    <row r="82" spans="1:10" x14ac:dyDescent="0.2">
      <c r="A82" s="3">
        <v>8573</v>
      </c>
      <c r="B82" t="s">
        <v>53</v>
      </c>
      <c r="C82" s="3">
        <v>8882</v>
      </c>
      <c r="D82" t="s">
        <v>5</v>
      </c>
      <c r="E82" s="7">
        <v>165</v>
      </c>
      <c r="G82" s="6">
        <f t="shared" si="0"/>
        <v>165</v>
      </c>
    </row>
    <row r="83" spans="1:10" x14ac:dyDescent="0.2">
      <c r="A83" s="3">
        <v>4120</v>
      </c>
      <c r="B83" t="s">
        <v>47</v>
      </c>
      <c r="C83" s="3">
        <v>8871</v>
      </c>
      <c r="D83" t="s">
        <v>5</v>
      </c>
      <c r="E83" s="7">
        <v>504</v>
      </c>
      <c r="G83" s="6">
        <f t="shared" si="0"/>
        <v>504</v>
      </c>
    </row>
    <row r="84" spans="1:10" x14ac:dyDescent="0.2">
      <c r="A84" s="3">
        <v>7834</v>
      </c>
      <c r="B84" t="s">
        <v>10</v>
      </c>
      <c r="C84" s="3">
        <v>8813</v>
      </c>
      <c r="D84" t="s">
        <v>5</v>
      </c>
      <c r="E84" s="7">
        <v>1342</v>
      </c>
      <c r="G84" s="6">
        <f t="shared" si="0"/>
        <v>1342</v>
      </c>
    </row>
    <row r="85" spans="1:10" x14ac:dyDescent="0.2">
      <c r="A85" s="3">
        <v>3975</v>
      </c>
      <c r="B85" t="s">
        <v>27</v>
      </c>
      <c r="C85" s="3">
        <v>8835</v>
      </c>
      <c r="D85" t="s">
        <v>5</v>
      </c>
      <c r="E85" s="7">
        <v>1987</v>
      </c>
      <c r="G85" s="6">
        <f t="shared" si="0"/>
        <v>1987</v>
      </c>
    </row>
    <row r="86" spans="1:10" x14ac:dyDescent="0.2">
      <c r="A86" s="3">
        <v>11893</v>
      </c>
      <c r="B86" t="s">
        <v>57</v>
      </c>
      <c r="C86" s="3">
        <v>8891</v>
      </c>
      <c r="D86" t="s">
        <v>5</v>
      </c>
      <c r="E86" s="7">
        <v>4045</v>
      </c>
      <c r="G86" s="6">
        <f t="shared" ref="G86:G108" si="1">+E86+F86</f>
        <v>4045</v>
      </c>
    </row>
    <row r="87" spans="1:10" x14ac:dyDescent="0.2">
      <c r="A87" s="3">
        <v>757</v>
      </c>
      <c r="B87" t="s">
        <v>56</v>
      </c>
      <c r="C87" s="3">
        <v>8890</v>
      </c>
      <c r="D87" t="s">
        <v>5</v>
      </c>
      <c r="E87" s="7">
        <v>4579</v>
      </c>
      <c r="G87" s="6">
        <f t="shared" si="1"/>
        <v>4579</v>
      </c>
    </row>
    <row r="88" spans="1:10" x14ac:dyDescent="0.2">
      <c r="A88" s="3">
        <v>1455</v>
      </c>
      <c r="B88" t="s">
        <v>20</v>
      </c>
      <c r="C88" s="3">
        <v>8824</v>
      </c>
      <c r="D88" t="s">
        <v>5</v>
      </c>
      <c r="E88" s="7">
        <v>5184</v>
      </c>
      <c r="F88" s="6">
        <v>476</v>
      </c>
      <c r="G88" s="6">
        <f t="shared" si="1"/>
        <v>5660</v>
      </c>
    </row>
    <row r="89" spans="1:10" x14ac:dyDescent="0.2">
      <c r="A89" s="3">
        <v>11407</v>
      </c>
      <c r="B89" t="s">
        <v>65</v>
      </c>
      <c r="C89" s="3">
        <v>8860</v>
      </c>
      <c r="D89" t="s">
        <v>5</v>
      </c>
      <c r="E89" s="7">
        <v>9947</v>
      </c>
      <c r="G89" s="6">
        <f t="shared" si="1"/>
        <v>9947</v>
      </c>
    </row>
    <row r="90" spans="1:10" x14ac:dyDescent="0.2">
      <c r="A90" s="3">
        <v>11687</v>
      </c>
      <c r="B90" t="s">
        <v>23</v>
      </c>
      <c r="C90" s="3">
        <v>8828</v>
      </c>
      <c r="D90" t="s">
        <v>5</v>
      </c>
      <c r="E90" s="7">
        <v>12485</v>
      </c>
      <c r="G90" s="6">
        <f t="shared" si="1"/>
        <v>12485</v>
      </c>
    </row>
    <row r="91" spans="1:10" x14ac:dyDescent="0.2">
      <c r="A91" s="3">
        <v>11145</v>
      </c>
      <c r="B91" t="s">
        <v>41</v>
      </c>
      <c r="C91" s="3">
        <v>8863</v>
      </c>
      <c r="D91" t="s">
        <v>5</v>
      </c>
      <c r="E91" s="7">
        <v>26968</v>
      </c>
      <c r="G91" s="6">
        <f t="shared" si="1"/>
        <v>26968</v>
      </c>
    </row>
    <row r="92" spans="1:10" x14ac:dyDescent="0.2">
      <c r="A92" s="3">
        <v>655</v>
      </c>
      <c r="B92" t="s">
        <v>32</v>
      </c>
      <c r="C92" s="3">
        <v>8846</v>
      </c>
      <c r="D92" t="s">
        <v>5</v>
      </c>
      <c r="E92" s="7">
        <v>39869</v>
      </c>
      <c r="G92" s="6">
        <f t="shared" si="1"/>
        <v>39869</v>
      </c>
    </row>
    <row r="93" spans="1:10" x14ac:dyDescent="0.2">
      <c r="A93" s="3">
        <v>330</v>
      </c>
      <c r="B93" t="s">
        <v>28</v>
      </c>
      <c r="C93" s="3">
        <v>8838</v>
      </c>
      <c r="D93" t="s">
        <v>5</v>
      </c>
      <c r="E93" s="7">
        <v>75316</v>
      </c>
      <c r="G93" s="6">
        <f t="shared" si="1"/>
        <v>75316</v>
      </c>
    </row>
    <row r="94" spans="1:10" s="9" customFormat="1" x14ac:dyDescent="0.2">
      <c r="A94" s="12"/>
      <c r="B94" s="9" t="s">
        <v>224</v>
      </c>
      <c r="C94" s="12"/>
      <c r="E94" s="11">
        <f>SUM(E64:E93)</f>
        <v>196368</v>
      </c>
      <c r="F94" s="11">
        <f>SUM(F64:F93)</f>
        <v>-13435</v>
      </c>
      <c r="G94" s="11">
        <f>SUM(G64:G93)</f>
        <v>182933</v>
      </c>
      <c r="H94" s="14">
        <v>4.22</v>
      </c>
      <c r="I94" s="13">
        <f>ROUND(G94*H94,0)</f>
        <v>771977</v>
      </c>
      <c r="J94" s="10"/>
    </row>
    <row r="98" spans="1:10" x14ac:dyDescent="0.2">
      <c r="A98" s="3">
        <v>8573</v>
      </c>
      <c r="B98" t="s">
        <v>53</v>
      </c>
      <c r="C98" s="3">
        <v>8883</v>
      </c>
      <c r="D98" t="s">
        <v>7</v>
      </c>
      <c r="E98" s="7">
        <v>-8069</v>
      </c>
      <c r="G98" s="6">
        <f t="shared" si="1"/>
        <v>-8069</v>
      </c>
    </row>
    <row r="99" spans="1:10" x14ac:dyDescent="0.2">
      <c r="A99" s="3">
        <v>4997</v>
      </c>
      <c r="B99" t="s">
        <v>24</v>
      </c>
      <c r="C99" s="3">
        <v>8831</v>
      </c>
      <c r="D99" t="s">
        <v>7</v>
      </c>
      <c r="E99" s="7">
        <v>-2767</v>
      </c>
      <c r="G99" s="6">
        <f t="shared" si="1"/>
        <v>-2767</v>
      </c>
    </row>
    <row r="100" spans="1:10" x14ac:dyDescent="0.2">
      <c r="A100" s="3">
        <v>6321</v>
      </c>
      <c r="B100" t="s">
        <v>50</v>
      </c>
      <c r="C100" s="3">
        <v>8877</v>
      </c>
      <c r="D100" t="s">
        <v>7</v>
      </c>
      <c r="E100" s="7">
        <v>-689</v>
      </c>
      <c r="G100" s="6">
        <f t="shared" si="1"/>
        <v>-689</v>
      </c>
    </row>
    <row r="101" spans="1:10" s="9" customFormat="1" x14ac:dyDescent="0.2">
      <c r="A101" s="12"/>
      <c r="B101" s="9" t="s">
        <v>223</v>
      </c>
      <c r="C101" s="12"/>
      <c r="E101" s="11">
        <f>SUM(E98:E100)</f>
        <v>-11525</v>
      </c>
      <c r="F101" s="11">
        <f>SUM(F98:F100)</f>
        <v>0</v>
      </c>
      <c r="G101" s="11">
        <f>SUM(G98:G100)</f>
        <v>-11525</v>
      </c>
      <c r="H101" s="14">
        <v>4.1500000000000004</v>
      </c>
      <c r="I101" s="13">
        <f>ROUND(G101*H101,0)</f>
        <v>-47829</v>
      </c>
      <c r="J101" s="10"/>
    </row>
    <row r="104" spans="1:10" x14ac:dyDescent="0.2">
      <c r="A104" s="3">
        <v>11821</v>
      </c>
      <c r="B104" t="s">
        <v>58</v>
      </c>
      <c r="C104" s="3">
        <v>8884</v>
      </c>
      <c r="D104" t="s">
        <v>7</v>
      </c>
      <c r="E104" s="7">
        <v>268</v>
      </c>
      <c r="G104" s="6">
        <f t="shared" si="1"/>
        <v>268</v>
      </c>
    </row>
    <row r="105" spans="1:10" x14ac:dyDescent="0.2">
      <c r="A105" s="3">
        <v>11905</v>
      </c>
      <c r="B105" t="s">
        <v>6</v>
      </c>
      <c r="C105" s="3">
        <v>8811</v>
      </c>
      <c r="D105" t="s">
        <v>7</v>
      </c>
      <c r="E105" s="7">
        <v>1043</v>
      </c>
      <c r="G105" s="6">
        <f t="shared" si="1"/>
        <v>1043</v>
      </c>
    </row>
    <row r="106" spans="1:10" x14ac:dyDescent="0.2">
      <c r="A106" s="3">
        <v>330</v>
      </c>
      <c r="B106" t="s">
        <v>28</v>
      </c>
      <c r="C106" s="3">
        <v>8839</v>
      </c>
      <c r="D106" t="s">
        <v>7</v>
      </c>
      <c r="E106" s="7">
        <v>1311</v>
      </c>
      <c r="G106" s="6">
        <f t="shared" si="1"/>
        <v>1311</v>
      </c>
    </row>
    <row r="107" spans="1:10" x14ac:dyDescent="0.2">
      <c r="A107" s="3">
        <v>3975</v>
      </c>
      <c r="B107" t="s">
        <v>27</v>
      </c>
      <c r="C107" s="3">
        <v>8836</v>
      </c>
      <c r="D107" t="s">
        <v>7</v>
      </c>
      <c r="E107" s="7">
        <v>2704</v>
      </c>
      <c r="G107" s="6">
        <f t="shared" si="1"/>
        <v>2704</v>
      </c>
    </row>
    <row r="108" spans="1:10" x14ac:dyDescent="0.2">
      <c r="A108" s="3">
        <v>7672</v>
      </c>
      <c r="B108" t="s">
        <v>22</v>
      </c>
      <c r="C108" s="3">
        <v>8826</v>
      </c>
      <c r="D108" t="s">
        <v>7</v>
      </c>
      <c r="E108" s="7">
        <v>18874</v>
      </c>
      <c r="G108" s="6">
        <f t="shared" si="1"/>
        <v>18874</v>
      </c>
    </row>
    <row r="109" spans="1:10" s="9" customFormat="1" x14ac:dyDescent="0.2">
      <c r="A109" s="12"/>
      <c r="B109" s="9" t="s">
        <v>224</v>
      </c>
      <c r="C109" s="12"/>
      <c r="E109" s="11">
        <f>SUM(E104:E108)</f>
        <v>24200</v>
      </c>
      <c r="F109" s="11">
        <f>SUM(F104:F108)</f>
        <v>0</v>
      </c>
      <c r="G109" s="11">
        <f>SUM(G104:G108)</f>
        <v>24200</v>
      </c>
      <c r="H109" s="14">
        <v>4.22</v>
      </c>
      <c r="I109" s="13">
        <f>ROUND(G109*H109,0)</f>
        <v>102124</v>
      </c>
      <c r="J109" s="10"/>
    </row>
    <row r="113" spans="1:10" s="9" customFormat="1" x14ac:dyDescent="0.2">
      <c r="A113" s="12"/>
      <c r="B113" s="9" t="s">
        <v>216</v>
      </c>
      <c r="C113" s="12"/>
      <c r="E113" s="11">
        <f>+E109+E101+E94+E61+E44+E25</f>
        <v>-183678</v>
      </c>
      <c r="F113" s="11">
        <f>+F109+F101+F94+F61+F44+F25</f>
        <v>0</v>
      </c>
      <c r="G113" s="11">
        <f>+G109+G101+G94+G61+G44+G25</f>
        <v>-183678</v>
      </c>
      <c r="H113" s="14"/>
      <c r="I113" s="46">
        <f>+I109+I101+I94+I61+I44+I25</f>
        <v>-745295</v>
      </c>
      <c r="J113" s="10"/>
    </row>
    <row r="114" spans="1:10" x14ac:dyDescent="0.2">
      <c r="F114" s="7"/>
      <c r="G114" s="7"/>
    </row>
    <row r="115" spans="1:10" x14ac:dyDescent="0.2">
      <c r="F115" s="7"/>
      <c r="G115" s="7"/>
    </row>
    <row r="116" spans="1:10" x14ac:dyDescent="0.2">
      <c r="F116" s="7"/>
      <c r="G116" s="7"/>
    </row>
    <row r="117" spans="1:10" x14ac:dyDescent="0.2">
      <c r="B117" t="s">
        <v>225</v>
      </c>
      <c r="F117" s="7"/>
      <c r="G117" s="7">
        <f>+G101+G61+G25</f>
        <v>-426086</v>
      </c>
      <c r="I117" s="47">
        <f>+I101+I61+I25</f>
        <v>-1768257</v>
      </c>
    </row>
    <row r="118" spans="1:10" x14ac:dyDescent="0.2">
      <c r="F118" s="7"/>
      <c r="G118" s="7"/>
    </row>
    <row r="119" spans="1:10" x14ac:dyDescent="0.2">
      <c r="B119" t="s">
        <v>226</v>
      </c>
      <c r="F119" s="7"/>
      <c r="G119" s="7">
        <f>+G109+G94+G44</f>
        <v>242408</v>
      </c>
      <c r="I119" s="47">
        <f>+I109+I94+I44</f>
        <v>1022962</v>
      </c>
    </row>
    <row r="120" spans="1:10" x14ac:dyDescent="0.2">
      <c r="F120" s="7"/>
      <c r="G120" s="7"/>
    </row>
    <row r="121" spans="1:10" x14ac:dyDescent="0.2">
      <c r="B121" t="s">
        <v>227</v>
      </c>
      <c r="F121" s="7"/>
      <c r="G121" s="7">
        <f>SUM(G117:G119)</f>
        <v>-183678</v>
      </c>
      <c r="I121" s="47">
        <f>SUM(I117:I119)</f>
        <v>-745295</v>
      </c>
    </row>
    <row r="122" spans="1:10" x14ac:dyDescent="0.2">
      <c r="F122" s="7"/>
      <c r="G122" s="7"/>
    </row>
  </sheetData>
  <phoneticPr fontId="0" type="noConversion"/>
  <pageMargins left="0" right="0" top="1" bottom="1" header="0.5" footer="0.5"/>
  <pageSetup scale="7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B1" sqref="B1"/>
    </sheetView>
  </sheetViews>
  <sheetFormatPr defaultRowHeight="12.75" x14ac:dyDescent="0.2"/>
  <cols>
    <col min="2" max="2" width="37.85546875" customWidth="1"/>
    <col min="4" max="4" width="18.28515625" customWidth="1"/>
    <col min="5" max="5" width="10.5703125" style="6" customWidth="1"/>
    <col min="6" max="6" width="9.140625" style="6"/>
    <col min="7" max="7" width="10.42578125" style="6" customWidth="1"/>
    <col min="8" max="8" width="9.140625" style="13"/>
    <col min="9" max="9" width="14" style="13" bestFit="1" customWidth="1"/>
  </cols>
  <sheetData>
    <row r="1" spans="1:9" s="9" customFormat="1" x14ac:dyDescent="0.2">
      <c r="A1" s="9" t="s">
        <v>73</v>
      </c>
      <c r="E1" s="10"/>
      <c r="F1" s="10"/>
      <c r="G1" s="10"/>
      <c r="H1" s="14"/>
      <c r="I1" s="14"/>
    </row>
    <row r="2" spans="1:9" s="9" customFormat="1" x14ac:dyDescent="0.2">
      <c r="A2" s="15">
        <v>37012</v>
      </c>
      <c r="E2" s="10"/>
      <c r="F2" s="10"/>
      <c r="G2" s="10"/>
      <c r="H2" s="14"/>
      <c r="I2" s="14"/>
    </row>
    <row r="3" spans="1:9" s="9" customFormat="1" x14ac:dyDescent="0.2">
      <c r="E3" s="10"/>
      <c r="F3" s="10"/>
      <c r="G3" s="10"/>
      <c r="H3" s="14"/>
      <c r="I3" s="14"/>
    </row>
    <row r="4" spans="1:9" s="1" customFormat="1" ht="39" customHeight="1" x14ac:dyDescent="0.2">
      <c r="A4" s="1" t="s">
        <v>0</v>
      </c>
      <c r="B4" s="1" t="s">
        <v>164</v>
      </c>
      <c r="C4" s="1" t="s">
        <v>170</v>
      </c>
      <c r="D4" s="1" t="s">
        <v>3</v>
      </c>
      <c r="E4" s="16" t="s">
        <v>4</v>
      </c>
      <c r="F4" s="16" t="s">
        <v>88</v>
      </c>
      <c r="G4" s="16" t="s">
        <v>89</v>
      </c>
      <c r="H4" s="17"/>
      <c r="I4" s="17"/>
    </row>
    <row r="5" spans="1:9" x14ac:dyDescent="0.2">
      <c r="A5">
        <v>4120</v>
      </c>
      <c r="B5" t="s">
        <v>94</v>
      </c>
      <c r="C5">
        <v>9639</v>
      </c>
      <c r="D5" t="s">
        <v>101</v>
      </c>
      <c r="E5" s="6">
        <v>-115701</v>
      </c>
      <c r="F5" s="6">
        <f>15967+5629+9436</f>
        <v>31032</v>
      </c>
      <c r="G5" s="6">
        <f t="shared" ref="G5:G71" si="0">+E5+F5</f>
        <v>-84669</v>
      </c>
    </row>
    <row r="6" spans="1:9" x14ac:dyDescent="0.2">
      <c r="A6">
        <v>6268</v>
      </c>
      <c r="B6" t="s">
        <v>96</v>
      </c>
      <c r="C6">
        <v>9605</v>
      </c>
      <c r="D6" t="s">
        <v>91</v>
      </c>
      <c r="E6" s="6">
        <v>-153808</v>
      </c>
      <c r="F6" s="6">
        <f>595+149324-149324+97610</f>
        <v>98205</v>
      </c>
      <c r="G6" s="6">
        <f t="shared" si="0"/>
        <v>-55603</v>
      </c>
    </row>
    <row r="7" spans="1:9" x14ac:dyDescent="0.2">
      <c r="A7">
        <v>4109</v>
      </c>
      <c r="B7" t="s">
        <v>92</v>
      </c>
      <c r="C7">
        <v>9650</v>
      </c>
      <c r="D7" t="s">
        <v>91</v>
      </c>
      <c r="E7" s="6">
        <v>-33534</v>
      </c>
      <c r="G7" s="6">
        <f t="shared" si="0"/>
        <v>-33534</v>
      </c>
    </row>
    <row r="8" spans="1:9" x14ac:dyDescent="0.2">
      <c r="A8">
        <v>5736</v>
      </c>
      <c r="B8" t="s">
        <v>123</v>
      </c>
      <c r="C8">
        <v>9611</v>
      </c>
      <c r="D8" t="s">
        <v>91</v>
      </c>
      <c r="E8" s="6">
        <v>131510</v>
      </c>
      <c r="F8" s="6">
        <f>-65718-149324+149324-97610</f>
        <v>-163328</v>
      </c>
      <c r="G8" s="6">
        <f t="shared" si="0"/>
        <v>-31818</v>
      </c>
    </row>
    <row r="9" spans="1:9" x14ac:dyDescent="0.2">
      <c r="A9">
        <v>11185</v>
      </c>
      <c r="B9" t="s">
        <v>119</v>
      </c>
      <c r="C9">
        <v>9624</v>
      </c>
      <c r="D9" t="s">
        <v>91</v>
      </c>
      <c r="E9" s="6">
        <v>-16064</v>
      </c>
      <c r="G9" s="6">
        <f t="shared" si="0"/>
        <v>-16064</v>
      </c>
    </row>
    <row r="10" spans="1:9" x14ac:dyDescent="0.2">
      <c r="A10">
        <v>11516</v>
      </c>
      <c r="B10" t="s">
        <v>95</v>
      </c>
      <c r="C10">
        <v>9632</v>
      </c>
      <c r="D10" t="s">
        <v>91</v>
      </c>
      <c r="E10" s="6">
        <v>-11773</v>
      </c>
      <c r="G10" s="6">
        <f t="shared" si="0"/>
        <v>-11773</v>
      </c>
    </row>
    <row r="11" spans="1:9" x14ac:dyDescent="0.2">
      <c r="A11">
        <v>11793</v>
      </c>
      <c r="B11" t="s">
        <v>93</v>
      </c>
      <c r="C11">
        <v>9617</v>
      </c>
      <c r="D11" t="s">
        <v>91</v>
      </c>
      <c r="E11" s="6">
        <v>-34524</v>
      </c>
      <c r="F11" s="6">
        <f>43068-14299</f>
        <v>28769</v>
      </c>
      <c r="G11" s="6">
        <f t="shared" si="0"/>
        <v>-5755</v>
      </c>
    </row>
    <row r="12" spans="1:9" x14ac:dyDescent="0.2">
      <c r="A12">
        <v>6075</v>
      </c>
      <c r="B12" t="s">
        <v>114</v>
      </c>
      <c r="C12">
        <v>9644</v>
      </c>
      <c r="D12" t="s">
        <v>91</v>
      </c>
      <c r="E12" s="6">
        <v>-5249</v>
      </c>
      <c r="G12" s="6">
        <f t="shared" si="0"/>
        <v>-5249</v>
      </c>
    </row>
    <row r="13" spans="1:9" x14ac:dyDescent="0.2">
      <c r="A13">
        <v>4079</v>
      </c>
      <c r="B13" t="s">
        <v>112</v>
      </c>
      <c r="C13">
        <v>9641</v>
      </c>
      <c r="D13" t="s">
        <v>91</v>
      </c>
      <c r="E13" s="6">
        <v>-1758</v>
      </c>
      <c r="F13" s="6">
        <v>218</v>
      </c>
      <c r="G13" s="6">
        <f t="shared" si="0"/>
        <v>-1540</v>
      </c>
    </row>
    <row r="14" spans="1:9" x14ac:dyDescent="0.2">
      <c r="A14">
        <v>4133</v>
      </c>
      <c r="B14" t="s">
        <v>116</v>
      </c>
      <c r="C14">
        <v>9648</v>
      </c>
      <c r="D14" t="s">
        <v>91</v>
      </c>
      <c r="E14" s="6">
        <v>-1763</v>
      </c>
      <c r="F14" s="6">
        <v>692</v>
      </c>
      <c r="G14" s="6">
        <f t="shared" si="0"/>
        <v>-1071</v>
      </c>
    </row>
    <row r="15" spans="1:9" x14ac:dyDescent="0.2">
      <c r="A15">
        <v>287</v>
      </c>
      <c r="B15" t="s">
        <v>98</v>
      </c>
      <c r="C15">
        <v>9601</v>
      </c>
      <c r="D15" t="s">
        <v>91</v>
      </c>
      <c r="E15" s="6">
        <v>-424</v>
      </c>
      <c r="G15" s="6">
        <f t="shared" si="0"/>
        <v>-424</v>
      </c>
    </row>
    <row r="16" spans="1:9" x14ac:dyDescent="0.2">
      <c r="A16">
        <v>4084</v>
      </c>
      <c r="B16" t="s">
        <v>108</v>
      </c>
      <c r="C16">
        <v>9614</v>
      </c>
      <c r="D16" t="s">
        <v>101</v>
      </c>
      <c r="E16" s="6">
        <v>-379</v>
      </c>
      <c r="G16" s="6">
        <f t="shared" si="0"/>
        <v>-379</v>
      </c>
    </row>
    <row r="17" spans="1:9" x14ac:dyDescent="0.2">
      <c r="A17">
        <v>4118</v>
      </c>
      <c r="B17" t="s">
        <v>99</v>
      </c>
      <c r="C17">
        <v>9634</v>
      </c>
      <c r="D17" t="s">
        <v>91</v>
      </c>
      <c r="E17" s="6">
        <v>-1292</v>
      </c>
      <c r="F17" s="6">
        <v>956</v>
      </c>
      <c r="G17" s="6">
        <f t="shared" si="0"/>
        <v>-336</v>
      </c>
    </row>
    <row r="18" spans="1:9" x14ac:dyDescent="0.2">
      <c r="A18">
        <v>4131</v>
      </c>
      <c r="B18" t="s">
        <v>118</v>
      </c>
      <c r="C18">
        <v>9647</v>
      </c>
      <c r="D18" t="s">
        <v>101</v>
      </c>
      <c r="E18" s="6">
        <v>-85</v>
      </c>
      <c r="G18" s="6">
        <f t="shared" si="0"/>
        <v>-85</v>
      </c>
    </row>
    <row r="19" spans="1:9" x14ac:dyDescent="0.2">
      <c r="A19">
        <v>13252</v>
      </c>
      <c r="B19" t="s">
        <v>157</v>
      </c>
      <c r="C19">
        <v>9620</v>
      </c>
      <c r="D19" t="s">
        <v>91</v>
      </c>
      <c r="E19" s="6">
        <v>-3273</v>
      </c>
      <c r="F19" s="6">
        <v>3234</v>
      </c>
      <c r="G19" s="6">
        <f t="shared" si="0"/>
        <v>-39</v>
      </c>
    </row>
    <row r="20" spans="1:9" x14ac:dyDescent="0.2">
      <c r="A20">
        <v>6228</v>
      </c>
      <c r="B20" t="s">
        <v>103</v>
      </c>
      <c r="C20">
        <v>9582</v>
      </c>
      <c r="D20" t="s">
        <v>91</v>
      </c>
      <c r="E20" s="6">
        <v>-23</v>
      </c>
      <c r="G20" s="6">
        <f t="shared" si="0"/>
        <v>-23</v>
      </c>
    </row>
    <row r="21" spans="1:9" s="9" customFormat="1" x14ac:dyDescent="0.2">
      <c r="B21" s="9" t="s">
        <v>217</v>
      </c>
      <c r="E21" s="10">
        <f>SUM(E5:E20)</f>
        <v>-248140</v>
      </c>
      <c r="F21" s="10">
        <f>SUM(F5:F20)</f>
        <v>-222</v>
      </c>
      <c r="G21" s="10">
        <f>SUM(G5:G20)</f>
        <v>-248362</v>
      </c>
      <c r="H21" s="14">
        <v>4.09</v>
      </c>
      <c r="I21" s="14">
        <f>ROUND(G21*H21,2)</f>
        <v>-1015800.58</v>
      </c>
    </row>
    <row r="24" spans="1:9" x14ac:dyDescent="0.2">
      <c r="A24">
        <v>4175</v>
      </c>
      <c r="B24" t="s">
        <v>104</v>
      </c>
      <c r="C24">
        <v>9583</v>
      </c>
      <c r="D24" t="s">
        <v>91</v>
      </c>
      <c r="E24" s="6">
        <v>-25069</v>
      </c>
      <c r="F24" s="6">
        <f>19094+5975</f>
        <v>25069</v>
      </c>
      <c r="G24" s="6">
        <f t="shared" si="0"/>
        <v>0</v>
      </c>
    </row>
    <row r="25" spans="1:9" x14ac:dyDescent="0.2">
      <c r="A25">
        <v>4179</v>
      </c>
      <c r="B25" t="s">
        <v>105</v>
      </c>
      <c r="C25">
        <v>9587</v>
      </c>
      <c r="D25" t="s">
        <v>91</v>
      </c>
      <c r="E25" s="6">
        <v>-14299</v>
      </c>
      <c r="F25" s="6">
        <v>14299</v>
      </c>
      <c r="G25" s="6">
        <f t="shared" si="0"/>
        <v>0</v>
      </c>
    </row>
    <row r="26" spans="1:9" x14ac:dyDescent="0.2">
      <c r="A26">
        <v>11687</v>
      </c>
      <c r="B26" t="s">
        <v>106</v>
      </c>
      <c r="C26">
        <v>9592</v>
      </c>
      <c r="D26" t="s">
        <v>91</v>
      </c>
      <c r="E26" s="6">
        <v>22071</v>
      </c>
      <c r="F26" s="6">
        <f>-19094-2977</f>
        <v>-22071</v>
      </c>
      <c r="G26" s="6">
        <f t="shared" si="0"/>
        <v>0</v>
      </c>
    </row>
    <row r="27" spans="1:9" x14ac:dyDescent="0.2">
      <c r="A27">
        <v>12907</v>
      </c>
      <c r="B27" t="s">
        <v>166</v>
      </c>
      <c r="C27">
        <v>9597</v>
      </c>
      <c r="D27" t="s">
        <v>91</v>
      </c>
      <c r="E27" s="6">
        <v>5497</v>
      </c>
      <c r="F27" s="6">
        <v>-5497</v>
      </c>
      <c r="G27" s="6">
        <f t="shared" si="0"/>
        <v>0</v>
      </c>
    </row>
    <row r="28" spans="1:9" x14ac:dyDescent="0.2">
      <c r="A28">
        <v>655</v>
      </c>
      <c r="B28" t="s">
        <v>90</v>
      </c>
      <c r="C28">
        <v>9609</v>
      </c>
      <c r="D28" t="s">
        <v>91</v>
      </c>
      <c r="E28" s="6">
        <v>-83797</v>
      </c>
      <c r="F28" s="6">
        <f>18079+65718</f>
        <v>83797</v>
      </c>
      <c r="G28" s="6">
        <f t="shared" si="0"/>
        <v>0</v>
      </c>
    </row>
    <row r="29" spans="1:9" x14ac:dyDescent="0.2">
      <c r="A29">
        <v>4084</v>
      </c>
      <c r="B29" t="s">
        <v>108</v>
      </c>
      <c r="C29">
        <v>9613</v>
      </c>
      <c r="D29" t="s">
        <v>91</v>
      </c>
      <c r="E29" s="6">
        <v>692</v>
      </c>
      <c r="F29" s="6">
        <v>-692</v>
      </c>
      <c r="G29" s="6">
        <f t="shared" si="0"/>
        <v>0</v>
      </c>
    </row>
    <row r="30" spans="1:9" x14ac:dyDescent="0.2">
      <c r="A30">
        <v>11729</v>
      </c>
      <c r="B30" t="s">
        <v>109</v>
      </c>
      <c r="C30">
        <v>9615</v>
      </c>
      <c r="D30" t="s">
        <v>91</v>
      </c>
      <c r="E30" s="6">
        <v>218</v>
      </c>
      <c r="F30" s="6">
        <v>-218</v>
      </c>
      <c r="G30" s="6">
        <f t="shared" si="0"/>
        <v>0</v>
      </c>
    </row>
    <row r="31" spans="1:9" x14ac:dyDescent="0.2">
      <c r="A31">
        <v>4101</v>
      </c>
      <c r="B31" t="s">
        <v>110</v>
      </c>
      <c r="C31">
        <v>9622</v>
      </c>
      <c r="D31" t="s">
        <v>91</v>
      </c>
      <c r="E31" s="6">
        <v>18079</v>
      </c>
      <c r="F31" s="6">
        <v>-18079</v>
      </c>
      <c r="G31" s="6">
        <f t="shared" si="0"/>
        <v>0</v>
      </c>
    </row>
    <row r="32" spans="1:9" x14ac:dyDescent="0.2">
      <c r="A32">
        <v>11420</v>
      </c>
      <c r="B32" t="s">
        <v>97</v>
      </c>
      <c r="C32">
        <v>9627</v>
      </c>
      <c r="D32" t="s">
        <v>91</v>
      </c>
      <c r="E32" s="6">
        <v>-17750</v>
      </c>
      <c r="F32" s="6">
        <f>9276+2977+5497</f>
        <v>17750</v>
      </c>
      <c r="G32" s="6">
        <f t="shared" si="0"/>
        <v>0</v>
      </c>
    </row>
    <row r="33" spans="1:9" x14ac:dyDescent="0.2">
      <c r="A33">
        <v>2974</v>
      </c>
      <c r="B33" t="s">
        <v>111</v>
      </c>
      <c r="C33">
        <v>9635</v>
      </c>
      <c r="D33" t="s">
        <v>91</v>
      </c>
      <c r="E33" s="6">
        <v>5975</v>
      </c>
      <c r="F33" s="6">
        <v>-5975</v>
      </c>
      <c r="G33" s="6">
        <f t="shared" si="0"/>
        <v>0</v>
      </c>
    </row>
    <row r="34" spans="1:9" x14ac:dyDescent="0.2">
      <c r="A34">
        <v>4120</v>
      </c>
      <c r="B34" t="s">
        <v>94</v>
      </c>
      <c r="C34">
        <v>9638</v>
      </c>
      <c r="D34" t="s">
        <v>91</v>
      </c>
      <c r="E34" s="6">
        <v>52344</v>
      </c>
      <c r="F34" s="6">
        <f>-43068-9276</f>
        <v>-52344</v>
      </c>
      <c r="G34" s="6">
        <f t="shared" si="0"/>
        <v>0</v>
      </c>
    </row>
    <row r="35" spans="1:9" x14ac:dyDescent="0.2">
      <c r="A35">
        <v>3974</v>
      </c>
      <c r="B35" t="s">
        <v>115</v>
      </c>
      <c r="C35">
        <v>9646</v>
      </c>
      <c r="D35" t="s">
        <v>91</v>
      </c>
      <c r="E35" s="6">
        <v>956</v>
      </c>
      <c r="F35" s="6">
        <v>-956</v>
      </c>
      <c r="G35" s="6">
        <f t="shared" si="0"/>
        <v>0</v>
      </c>
    </row>
    <row r="36" spans="1:9" x14ac:dyDescent="0.2">
      <c r="A36">
        <v>6431</v>
      </c>
      <c r="B36" t="s">
        <v>117</v>
      </c>
      <c r="C36">
        <v>9651</v>
      </c>
      <c r="D36" t="s">
        <v>91</v>
      </c>
      <c r="E36" s="6">
        <v>3234</v>
      </c>
      <c r="F36" s="6">
        <v>-3234</v>
      </c>
      <c r="G36" s="6">
        <f t="shared" si="0"/>
        <v>0</v>
      </c>
    </row>
    <row r="37" spans="1:9" x14ac:dyDescent="0.2">
      <c r="A37">
        <v>4175</v>
      </c>
      <c r="B37" t="s">
        <v>104</v>
      </c>
      <c r="C37">
        <v>9584</v>
      </c>
      <c r="D37" t="s">
        <v>101</v>
      </c>
      <c r="E37" s="6">
        <v>4094</v>
      </c>
      <c r="F37" s="6">
        <v>-4094</v>
      </c>
      <c r="G37" s="6">
        <f t="shared" si="0"/>
        <v>0</v>
      </c>
    </row>
    <row r="38" spans="1:9" x14ac:dyDescent="0.2">
      <c r="A38">
        <v>6268</v>
      </c>
      <c r="B38" t="s">
        <v>96</v>
      </c>
      <c r="C38">
        <v>9607</v>
      </c>
      <c r="D38" t="s">
        <v>101</v>
      </c>
      <c r="E38" s="6">
        <v>5466</v>
      </c>
      <c r="F38" s="6">
        <v>-5466</v>
      </c>
      <c r="G38" s="6">
        <f t="shared" si="0"/>
        <v>0</v>
      </c>
    </row>
    <row r="39" spans="1:9" x14ac:dyDescent="0.2">
      <c r="A39">
        <v>11793</v>
      </c>
      <c r="B39" t="s">
        <v>93</v>
      </c>
      <c r="C39">
        <v>9619</v>
      </c>
      <c r="D39" t="s">
        <v>101</v>
      </c>
      <c r="E39" s="6">
        <v>-7898</v>
      </c>
      <c r="F39" s="6">
        <v>7898</v>
      </c>
      <c r="G39" s="6">
        <f t="shared" si="0"/>
        <v>0</v>
      </c>
    </row>
    <row r="40" spans="1:9" x14ac:dyDescent="0.2">
      <c r="A40">
        <v>2974</v>
      </c>
      <c r="B40" t="s">
        <v>111</v>
      </c>
      <c r="C40">
        <v>9636</v>
      </c>
      <c r="D40" t="s">
        <v>101</v>
      </c>
      <c r="E40" s="6">
        <v>1537</v>
      </c>
      <c r="F40" s="6">
        <v>-1537</v>
      </c>
      <c r="G40" s="6">
        <f t="shared" si="0"/>
        <v>0</v>
      </c>
    </row>
    <row r="41" spans="1:9" x14ac:dyDescent="0.2">
      <c r="A41">
        <v>6268</v>
      </c>
      <c r="B41" t="s">
        <v>96</v>
      </c>
      <c r="C41">
        <v>9606</v>
      </c>
      <c r="D41" t="s">
        <v>121</v>
      </c>
      <c r="E41" s="6">
        <v>595</v>
      </c>
      <c r="F41" s="6">
        <v>-595</v>
      </c>
      <c r="G41" s="6">
        <f>+E41+F41</f>
        <v>0</v>
      </c>
    </row>
    <row r="42" spans="1:9" ht="12" customHeight="1" x14ac:dyDescent="0.2">
      <c r="A42">
        <v>11793</v>
      </c>
      <c r="B42" t="s">
        <v>93</v>
      </c>
      <c r="C42">
        <v>9618</v>
      </c>
      <c r="D42" t="s">
        <v>121</v>
      </c>
      <c r="E42" s="6">
        <v>72</v>
      </c>
      <c r="G42" s="6">
        <f>+E42+F42</f>
        <v>72</v>
      </c>
    </row>
    <row r="43" spans="1:9" x14ac:dyDescent="0.2">
      <c r="A43">
        <v>6321</v>
      </c>
      <c r="B43" t="s">
        <v>113</v>
      </c>
      <c r="C43">
        <v>9643</v>
      </c>
      <c r="D43" t="s">
        <v>91</v>
      </c>
      <c r="E43" s="6">
        <v>180</v>
      </c>
      <c r="G43" s="6">
        <f t="shared" si="0"/>
        <v>180</v>
      </c>
    </row>
    <row r="44" spans="1:9" x14ac:dyDescent="0.2">
      <c r="A44">
        <v>330</v>
      </c>
      <c r="B44" t="s">
        <v>165</v>
      </c>
      <c r="C44">
        <v>9600</v>
      </c>
      <c r="D44" t="s">
        <v>101</v>
      </c>
      <c r="E44" s="6">
        <v>371</v>
      </c>
      <c r="G44" s="6">
        <f t="shared" si="0"/>
        <v>371</v>
      </c>
    </row>
    <row r="45" spans="1:9" s="9" customFormat="1" x14ac:dyDescent="0.2">
      <c r="B45" s="9" t="s">
        <v>218</v>
      </c>
      <c r="E45" s="10">
        <f>SUM(E24:E44)</f>
        <v>-27432</v>
      </c>
      <c r="F45" s="10">
        <f>SUM(F24:F44)</f>
        <v>28055</v>
      </c>
      <c r="G45" s="10">
        <f>SUM(G24:G44)</f>
        <v>623</v>
      </c>
      <c r="H45" s="14">
        <v>4.1900000000000004</v>
      </c>
      <c r="I45" s="14">
        <f>ROUND(G45*H45,2)</f>
        <v>2610.37</v>
      </c>
    </row>
    <row r="47" spans="1:9" s="9" customFormat="1" x14ac:dyDescent="0.2">
      <c r="B47" s="9" t="s">
        <v>182</v>
      </c>
      <c r="E47" s="10"/>
      <c r="F47" s="10"/>
      <c r="G47" s="10">
        <f>+G21+G45</f>
        <v>-247739</v>
      </c>
      <c r="H47" s="14"/>
      <c r="I47" s="14"/>
    </row>
    <row r="48" spans="1:9" s="9" customFormat="1" x14ac:dyDescent="0.2">
      <c r="E48" s="10"/>
      <c r="F48" s="10"/>
      <c r="G48" s="10"/>
      <c r="H48" s="14"/>
      <c r="I48" s="14"/>
    </row>
    <row r="49" spans="1:9" s="9" customFormat="1" x14ac:dyDescent="0.2">
      <c r="B49" s="9" t="s">
        <v>186</v>
      </c>
      <c r="E49" s="10"/>
      <c r="F49" s="10"/>
      <c r="G49" s="10">
        <v>-158706</v>
      </c>
      <c r="H49" s="14"/>
      <c r="I49" s="14"/>
    </row>
    <row r="50" spans="1:9" s="9" customFormat="1" x14ac:dyDescent="0.2">
      <c r="B50" s="9" t="s">
        <v>187</v>
      </c>
      <c r="E50" s="10"/>
      <c r="F50" s="10"/>
      <c r="G50" s="10">
        <v>-109892</v>
      </c>
      <c r="H50" s="14"/>
      <c r="I50" s="14"/>
    </row>
    <row r="51" spans="1:9" s="9" customFormat="1" x14ac:dyDescent="0.2">
      <c r="B51" s="9" t="s">
        <v>71</v>
      </c>
      <c r="E51" s="10"/>
      <c r="F51" s="10"/>
      <c r="G51" s="10">
        <f>+G47-G49-G50</f>
        <v>20859</v>
      </c>
      <c r="H51" s="14"/>
      <c r="I51" s="14"/>
    </row>
    <row r="57" spans="1:9" x14ac:dyDescent="0.2">
      <c r="A57">
        <v>11509</v>
      </c>
      <c r="B57" t="s">
        <v>126</v>
      </c>
      <c r="C57">
        <v>9625</v>
      </c>
      <c r="D57" t="s">
        <v>127</v>
      </c>
      <c r="E57" s="6">
        <v>-11690</v>
      </c>
      <c r="G57" s="6">
        <f t="shared" si="0"/>
        <v>-11690</v>
      </c>
    </row>
    <row r="58" spans="1:9" x14ac:dyDescent="0.2">
      <c r="A58">
        <v>3974</v>
      </c>
      <c r="B58" t="s">
        <v>115</v>
      </c>
      <c r="C58">
        <v>9645</v>
      </c>
      <c r="D58" t="s">
        <v>127</v>
      </c>
      <c r="E58" s="6">
        <v>-7346</v>
      </c>
      <c r="F58" s="6">
        <v>484</v>
      </c>
      <c r="G58" s="6">
        <f t="shared" ref="G58:G107" si="1">+E58+F58</f>
        <v>-6862</v>
      </c>
    </row>
    <row r="59" spans="1:9" x14ac:dyDescent="0.2">
      <c r="A59">
        <v>1455</v>
      </c>
      <c r="B59" t="s">
        <v>129</v>
      </c>
      <c r="C59">
        <v>9586</v>
      </c>
      <c r="D59" t="s">
        <v>127</v>
      </c>
      <c r="E59" s="6">
        <v>-4699</v>
      </c>
      <c r="F59" s="6">
        <v>-1854</v>
      </c>
      <c r="G59" s="6">
        <f t="shared" si="0"/>
        <v>-6553</v>
      </c>
    </row>
    <row r="60" spans="1:9" x14ac:dyDescent="0.2">
      <c r="A60">
        <v>330</v>
      </c>
      <c r="B60" t="s">
        <v>165</v>
      </c>
      <c r="C60">
        <v>9598</v>
      </c>
      <c r="D60" t="s">
        <v>127</v>
      </c>
      <c r="E60" s="6">
        <v>-4666</v>
      </c>
      <c r="F60" s="6">
        <v>3</v>
      </c>
      <c r="G60" s="6">
        <f t="shared" si="0"/>
        <v>-4663</v>
      </c>
    </row>
    <row r="61" spans="1:9" x14ac:dyDescent="0.2">
      <c r="A61">
        <v>4120</v>
      </c>
      <c r="B61" t="s">
        <v>94</v>
      </c>
      <c r="C61">
        <v>9637</v>
      </c>
      <c r="D61" t="s">
        <v>127</v>
      </c>
      <c r="E61" s="6">
        <v>-4135</v>
      </c>
      <c r="F61" s="6">
        <v>486</v>
      </c>
      <c r="G61" s="6">
        <f t="shared" si="0"/>
        <v>-3649</v>
      </c>
    </row>
    <row r="62" spans="1:9" s="9" customFormat="1" x14ac:dyDescent="0.2">
      <c r="E62" s="10">
        <f>SUM(E57:E61)</f>
        <v>-32536</v>
      </c>
      <c r="F62" s="10">
        <f>SUM(F57:F61)</f>
        <v>-881</v>
      </c>
      <c r="G62" s="10">
        <f>SUM(G57:G61)</f>
        <v>-33417</v>
      </c>
      <c r="H62" s="14">
        <v>4.09</v>
      </c>
      <c r="I62" s="14">
        <f>ROUND(G62*H62,2)</f>
        <v>-136675.53</v>
      </c>
    </row>
    <row r="65" spans="1:7" x14ac:dyDescent="0.2">
      <c r="A65">
        <v>11533</v>
      </c>
      <c r="B65" t="s">
        <v>185</v>
      </c>
      <c r="C65">
        <v>9575</v>
      </c>
      <c r="D65" t="s">
        <v>127</v>
      </c>
      <c r="E65" s="6">
        <v>5629</v>
      </c>
      <c r="F65" s="6">
        <v>-5629</v>
      </c>
      <c r="G65" s="6">
        <f>+E65+F65</f>
        <v>0</v>
      </c>
    </row>
    <row r="66" spans="1:7" x14ac:dyDescent="0.2">
      <c r="A66">
        <v>11687</v>
      </c>
      <c r="B66" t="s">
        <v>106</v>
      </c>
      <c r="C66">
        <v>9591</v>
      </c>
      <c r="D66" t="s">
        <v>127</v>
      </c>
      <c r="E66" s="6">
        <v>-11613</v>
      </c>
      <c r="F66" s="6">
        <f>4094+1537+5982</f>
        <v>11613</v>
      </c>
      <c r="G66" s="6">
        <f t="shared" si="0"/>
        <v>0</v>
      </c>
    </row>
    <row r="67" spans="1:7" x14ac:dyDescent="0.2">
      <c r="A67">
        <v>6268</v>
      </c>
      <c r="B67" t="s">
        <v>96</v>
      </c>
      <c r="C67">
        <v>9604</v>
      </c>
      <c r="D67" t="s">
        <v>127</v>
      </c>
      <c r="E67" s="6">
        <v>1304</v>
      </c>
      <c r="F67" s="6">
        <f>-6-308-40-1263+313</f>
        <v>-1304</v>
      </c>
      <c r="G67" s="6">
        <f t="shared" si="0"/>
        <v>0</v>
      </c>
    </row>
    <row r="68" spans="1:7" x14ac:dyDescent="0.2">
      <c r="A68">
        <v>655</v>
      </c>
      <c r="B68" t="s">
        <v>90</v>
      </c>
      <c r="C68">
        <v>9608</v>
      </c>
      <c r="D68" t="s">
        <v>127</v>
      </c>
      <c r="E68" s="6">
        <v>29479</v>
      </c>
      <c r="F68" s="6">
        <v>-29479</v>
      </c>
      <c r="G68" s="6">
        <f t="shared" si="0"/>
        <v>0</v>
      </c>
    </row>
    <row r="69" spans="1:7" x14ac:dyDescent="0.2">
      <c r="A69">
        <v>4084</v>
      </c>
      <c r="B69" t="s">
        <v>108</v>
      </c>
      <c r="C69">
        <v>9612</v>
      </c>
      <c r="D69" t="s">
        <v>127</v>
      </c>
      <c r="E69" s="6">
        <v>3</v>
      </c>
      <c r="F69" s="6">
        <v>-3</v>
      </c>
      <c r="G69" s="6">
        <f t="shared" si="0"/>
        <v>0</v>
      </c>
    </row>
    <row r="70" spans="1:7" x14ac:dyDescent="0.2">
      <c r="A70">
        <v>11793</v>
      </c>
      <c r="B70" t="s">
        <v>93</v>
      </c>
      <c r="C70">
        <v>9616</v>
      </c>
      <c r="D70" t="s">
        <v>127</v>
      </c>
      <c r="E70" s="6">
        <v>-34299</v>
      </c>
      <c r="F70" s="6">
        <f>29479-655+5386+89</f>
        <v>34299</v>
      </c>
      <c r="G70" s="6">
        <f t="shared" si="0"/>
        <v>0</v>
      </c>
    </row>
    <row r="71" spans="1:7" x14ac:dyDescent="0.2">
      <c r="A71">
        <v>4101</v>
      </c>
      <c r="B71" t="s">
        <v>110</v>
      </c>
      <c r="C71">
        <v>9621</v>
      </c>
      <c r="D71" t="s">
        <v>127</v>
      </c>
      <c r="E71" s="6">
        <v>1415</v>
      </c>
      <c r="F71" s="6">
        <f>-1412-3</f>
        <v>-1415</v>
      </c>
      <c r="G71" s="6">
        <f t="shared" si="0"/>
        <v>0</v>
      </c>
    </row>
    <row r="72" spans="1:7" x14ac:dyDescent="0.2">
      <c r="A72">
        <v>11420</v>
      </c>
      <c r="B72" t="s">
        <v>97</v>
      </c>
      <c r="C72">
        <v>9626</v>
      </c>
      <c r="D72" t="s">
        <v>127</v>
      </c>
      <c r="E72" s="6">
        <v>6468</v>
      </c>
      <c r="F72" s="6">
        <f>-486-5982</f>
        <v>-6468</v>
      </c>
      <c r="G72" s="6">
        <f t="shared" si="1"/>
        <v>0</v>
      </c>
    </row>
    <row r="73" spans="1:7" x14ac:dyDescent="0.2">
      <c r="A73">
        <v>4105</v>
      </c>
      <c r="B73" t="s">
        <v>163</v>
      </c>
      <c r="C73">
        <v>9628</v>
      </c>
      <c r="D73" t="s">
        <v>127</v>
      </c>
      <c r="E73" s="6">
        <v>89</v>
      </c>
      <c r="F73" s="6">
        <v>-89</v>
      </c>
      <c r="G73" s="6">
        <f t="shared" si="1"/>
        <v>0</v>
      </c>
    </row>
    <row r="74" spans="1:7" x14ac:dyDescent="0.2">
      <c r="A74">
        <v>11143</v>
      </c>
      <c r="B74" t="s">
        <v>139</v>
      </c>
      <c r="C74">
        <v>9630</v>
      </c>
      <c r="D74" t="s">
        <v>127</v>
      </c>
      <c r="E74" s="6">
        <v>246</v>
      </c>
      <c r="F74" s="6">
        <v>-246</v>
      </c>
      <c r="G74" s="6">
        <f t="shared" si="1"/>
        <v>0</v>
      </c>
    </row>
    <row r="75" spans="1:7" x14ac:dyDescent="0.2">
      <c r="A75">
        <v>11128</v>
      </c>
      <c r="B75" t="s">
        <v>140</v>
      </c>
      <c r="C75">
        <v>9640</v>
      </c>
      <c r="D75" t="s">
        <v>127</v>
      </c>
      <c r="E75" s="6">
        <v>526</v>
      </c>
      <c r="F75" s="6">
        <v>-526</v>
      </c>
      <c r="G75" s="6">
        <f t="shared" si="1"/>
        <v>0</v>
      </c>
    </row>
    <row r="76" spans="1:7" x14ac:dyDescent="0.2">
      <c r="A76">
        <v>6321</v>
      </c>
      <c r="B76" t="s">
        <v>113</v>
      </c>
      <c r="C76">
        <v>9642</v>
      </c>
      <c r="D76" t="s">
        <v>127</v>
      </c>
      <c r="E76" s="6">
        <v>9436</v>
      </c>
      <c r="F76" s="6">
        <v>-9436</v>
      </c>
      <c r="G76" s="6">
        <f t="shared" si="1"/>
        <v>0</v>
      </c>
    </row>
    <row r="77" spans="1:7" x14ac:dyDescent="0.2">
      <c r="A77">
        <v>11893</v>
      </c>
      <c r="B77" t="s">
        <v>131</v>
      </c>
      <c r="C77">
        <v>9654</v>
      </c>
      <c r="D77" t="s">
        <v>127</v>
      </c>
      <c r="E77" s="6">
        <v>2261</v>
      </c>
      <c r="F77" s="6">
        <f>-1777-484</f>
        <v>-2261</v>
      </c>
      <c r="G77" s="6">
        <f t="shared" si="1"/>
        <v>0</v>
      </c>
    </row>
    <row r="78" spans="1:7" x14ac:dyDescent="0.2">
      <c r="A78">
        <v>4122</v>
      </c>
      <c r="B78" t="s">
        <v>143</v>
      </c>
      <c r="C78">
        <v>9580</v>
      </c>
      <c r="D78" t="s">
        <v>127</v>
      </c>
      <c r="E78" s="6">
        <v>1</v>
      </c>
      <c r="G78" s="6">
        <f t="shared" si="1"/>
        <v>1</v>
      </c>
    </row>
    <row r="79" spans="1:7" x14ac:dyDescent="0.2">
      <c r="A79">
        <v>11611</v>
      </c>
      <c r="B79" t="s">
        <v>147</v>
      </c>
      <c r="C79">
        <v>9590</v>
      </c>
      <c r="D79" t="s">
        <v>127</v>
      </c>
      <c r="E79" s="6">
        <v>1</v>
      </c>
      <c r="G79" s="6">
        <f t="shared" si="1"/>
        <v>1</v>
      </c>
    </row>
    <row r="80" spans="1:7" x14ac:dyDescent="0.2">
      <c r="A80">
        <v>11517</v>
      </c>
      <c r="B80" t="s">
        <v>144</v>
      </c>
      <c r="C80">
        <v>9633</v>
      </c>
      <c r="D80" t="s">
        <v>127</v>
      </c>
      <c r="E80" s="6">
        <v>1</v>
      </c>
      <c r="G80" s="6">
        <f t="shared" si="1"/>
        <v>1</v>
      </c>
    </row>
    <row r="81" spans="1:7" x14ac:dyDescent="0.2">
      <c r="A81">
        <v>11516</v>
      </c>
      <c r="B81" t="s">
        <v>95</v>
      </c>
      <c r="C81">
        <v>9631</v>
      </c>
      <c r="D81" t="s">
        <v>127</v>
      </c>
      <c r="E81" s="6">
        <v>2</v>
      </c>
      <c r="G81" s="6">
        <f t="shared" si="1"/>
        <v>2</v>
      </c>
    </row>
    <row r="82" spans="1:7" x14ac:dyDescent="0.2">
      <c r="A82">
        <v>5736</v>
      </c>
      <c r="B82" t="s">
        <v>123</v>
      </c>
      <c r="C82">
        <v>9610</v>
      </c>
      <c r="D82" t="s">
        <v>127</v>
      </c>
      <c r="E82" s="6">
        <v>3</v>
      </c>
      <c r="G82" s="6">
        <f t="shared" si="1"/>
        <v>3</v>
      </c>
    </row>
    <row r="83" spans="1:7" x14ac:dyDescent="0.2">
      <c r="A83">
        <v>7834</v>
      </c>
      <c r="B83" t="s">
        <v>160</v>
      </c>
      <c r="C83">
        <v>9579</v>
      </c>
      <c r="D83" t="s">
        <v>127</v>
      </c>
      <c r="E83" s="6">
        <v>5</v>
      </c>
      <c r="F83" s="6">
        <f>6+3</f>
        <v>9</v>
      </c>
      <c r="G83" s="6">
        <f t="shared" si="1"/>
        <v>14</v>
      </c>
    </row>
    <row r="84" spans="1:7" x14ac:dyDescent="0.2">
      <c r="A84">
        <v>12513</v>
      </c>
      <c r="B84" t="s">
        <v>181</v>
      </c>
      <c r="C84">
        <v>9652</v>
      </c>
      <c r="D84" t="s">
        <v>127</v>
      </c>
      <c r="E84" s="6">
        <v>19</v>
      </c>
      <c r="G84" s="6">
        <f t="shared" si="1"/>
        <v>19</v>
      </c>
    </row>
    <row r="85" spans="1:7" x14ac:dyDescent="0.2">
      <c r="A85">
        <v>11145</v>
      </c>
      <c r="B85" t="s">
        <v>153</v>
      </c>
      <c r="C85">
        <v>9629</v>
      </c>
      <c r="D85" t="s">
        <v>127</v>
      </c>
      <c r="E85" s="6">
        <v>30</v>
      </c>
      <c r="G85" s="6">
        <f t="shared" si="1"/>
        <v>30</v>
      </c>
    </row>
    <row r="86" spans="1:7" x14ac:dyDescent="0.2">
      <c r="A86">
        <v>12673</v>
      </c>
      <c r="B86" t="s">
        <v>188</v>
      </c>
      <c r="C86">
        <v>9656</v>
      </c>
      <c r="D86" t="s">
        <v>127</v>
      </c>
      <c r="E86" s="6">
        <v>1</v>
      </c>
      <c r="F86" s="6">
        <v>40</v>
      </c>
      <c r="G86" s="6">
        <f>+E86+F86</f>
        <v>41</v>
      </c>
    </row>
    <row r="87" spans="1:7" x14ac:dyDescent="0.2">
      <c r="A87">
        <v>2707</v>
      </c>
      <c r="B87" t="s">
        <v>150</v>
      </c>
      <c r="C87">
        <v>9581</v>
      </c>
      <c r="D87" t="s">
        <v>127</v>
      </c>
      <c r="E87" s="6">
        <v>198</v>
      </c>
      <c r="G87" s="6">
        <f t="shared" si="1"/>
        <v>198</v>
      </c>
    </row>
    <row r="88" spans="1:7" x14ac:dyDescent="0.2">
      <c r="A88">
        <v>7672</v>
      </c>
      <c r="B88" t="s">
        <v>156</v>
      </c>
      <c r="C88">
        <v>9588</v>
      </c>
      <c r="D88" t="s">
        <v>127</v>
      </c>
      <c r="E88" s="6">
        <v>202</v>
      </c>
      <c r="G88" s="6">
        <f t="shared" si="1"/>
        <v>202</v>
      </c>
    </row>
    <row r="89" spans="1:7" x14ac:dyDescent="0.2">
      <c r="A89">
        <v>1141</v>
      </c>
      <c r="B89" t="s">
        <v>151</v>
      </c>
      <c r="C89">
        <v>9578</v>
      </c>
      <c r="D89" t="s">
        <v>127</v>
      </c>
      <c r="E89" s="6">
        <v>204</v>
      </c>
      <c r="G89" s="6">
        <f t="shared" si="1"/>
        <v>204</v>
      </c>
    </row>
    <row r="90" spans="1:7" x14ac:dyDescent="0.2">
      <c r="A90">
        <v>4109</v>
      </c>
      <c r="B90" t="s">
        <v>92</v>
      </c>
      <c r="C90">
        <v>9649</v>
      </c>
      <c r="D90" t="s">
        <v>127</v>
      </c>
      <c r="E90" s="6">
        <v>243</v>
      </c>
      <c r="G90" s="6">
        <f t="shared" si="1"/>
        <v>243</v>
      </c>
    </row>
    <row r="91" spans="1:7" x14ac:dyDescent="0.2">
      <c r="A91">
        <v>11641</v>
      </c>
      <c r="B91" t="s">
        <v>133</v>
      </c>
      <c r="C91">
        <v>9585</v>
      </c>
      <c r="D91" t="s">
        <v>127</v>
      </c>
      <c r="E91" s="6">
        <v>655</v>
      </c>
      <c r="F91" s="6">
        <v>-313</v>
      </c>
      <c r="G91" s="6">
        <f t="shared" si="1"/>
        <v>342</v>
      </c>
    </row>
    <row r="92" spans="1:7" x14ac:dyDescent="0.2">
      <c r="A92">
        <v>4997</v>
      </c>
      <c r="B92" t="s">
        <v>132</v>
      </c>
      <c r="C92">
        <v>9593</v>
      </c>
      <c r="D92" t="s">
        <v>127</v>
      </c>
      <c r="E92" s="6">
        <v>14555</v>
      </c>
      <c r="F92" s="6">
        <f>1412-15967+308+246+526</f>
        <v>-13475</v>
      </c>
      <c r="G92" s="6">
        <f t="shared" si="1"/>
        <v>1080</v>
      </c>
    </row>
    <row r="93" spans="1:7" x14ac:dyDescent="0.2">
      <c r="A93">
        <v>7812</v>
      </c>
      <c r="B93" t="s">
        <v>66</v>
      </c>
      <c r="C93">
        <v>9657</v>
      </c>
      <c r="D93" t="s">
        <v>127</v>
      </c>
      <c r="E93" s="6">
        <v>1</v>
      </c>
      <c r="F93" s="6">
        <v>1263</v>
      </c>
      <c r="G93" s="6">
        <f>+E93+F93</f>
        <v>1264</v>
      </c>
    </row>
    <row r="94" spans="1:7" x14ac:dyDescent="0.2">
      <c r="A94">
        <v>11834</v>
      </c>
      <c r="B94" t="s">
        <v>189</v>
      </c>
      <c r="C94">
        <v>9623</v>
      </c>
      <c r="D94" t="s">
        <v>127</v>
      </c>
      <c r="E94" s="6">
        <v>1660</v>
      </c>
      <c r="G94" s="6">
        <f t="shared" si="1"/>
        <v>1660</v>
      </c>
    </row>
    <row r="95" spans="1:7" x14ac:dyDescent="0.2">
      <c r="A95">
        <v>12907</v>
      </c>
      <c r="B95" t="s">
        <v>166</v>
      </c>
      <c r="C95">
        <v>9595</v>
      </c>
      <c r="D95" t="s">
        <v>127</v>
      </c>
      <c r="E95" s="6">
        <v>5386</v>
      </c>
      <c r="F95" s="6">
        <f>-5386+1854</f>
        <v>-3532</v>
      </c>
      <c r="G95" s="6">
        <f t="shared" si="1"/>
        <v>1854</v>
      </c>
    </row>
    <row r="96" spans="1:7" x14ac:dyDescent="0.2">
      <c r="A96">
        <v>11340</v>
      </c>
      <c r="B96" t="s">
        <v>190</v>
      </c>
      <c r="C96">
        <v>9653</v>
      </c>
      <c r="D96" t="s">
        <v>127</v>
      </c>
      <c r="E96" s="6">
        <v>4800</v>
      </c>
      <c r="G96" s="6">
        <f t="shared" si="1"/>
        <v>4800</v>
      </c>
    </row>
    <row r="97" spans="1:9" s="9" customFormat="1" x14ac:dyDescent="0.2">
      <c r="E97" s="10">
        <f>SUM(E65:E96)</f>
        <v>38911</v>
      </c>
      <c r="F97" s="10">
        <f>SUM(F65:F96)</f>
        <v>-26952</v>
      </c>
      <c r="G97" s="10">
        <f>SUM(G65:G96)</f>
        <v>11959</v>
      </c>
      <c r="H97" s="14">
        <v>4.1900000000000004</v>
      </c>
      <c r="I97" s="14">
        <f>ROUND(G97*H97,2)</f>
        <v>50108.21</v>
      </c>
    </row>
    <row r="99" spans="1:9" x14ac:dyDescent="0.2">
      <c r="A99">
        <v>4997</v>
      </c>
      <c r="B99" t="s">
        <v>132</v>
      </c>
      <c r="C99">
        <v>9594</v>
      </c>
      <c r="D99" t="s">
        <v>154</v>
      </c>
      <c r="E99" s="6">
        <v>-2149</v>
      </c>
      <c r="G99" s="6">
        <f t="shared" si="1"/>
        <v>-2149</v>
      </c>
    </row>
    <row r="100" spans="1:9" s="9" customFormat="1" x14ac:dyDescent="0.2">
      <c r="E100" s="10">
        <f>SUM(E99)</f>
        <v>-2149</v>
      </c>
      <c r="F100" s="10">
        <f>SUM(F99)</f>
        <v>0</v>
      </c>
      <c r="G100" s="10">
        <f>SUM(G99)</f>
        <v>-2149</v>
      </c>
      <c r="H100" s="14">
        <v>4.09</v>
      </c>
      <c r="I100" s="14">
        <f>ROUND(G100*H100,2)</f>
        <v>-8789.41</v>
      </c>
    </row>
    <row r="103" spans="1:9" x14ac:dyDescent="0.2">
      <c r="A103">
        <v>11533</v>
      </c>
      <c r="B103" t="s">
        <v>185</v>
      </c>
      <c r="C103">
        <v>9576</v>
      </c>
      <c r="D103" t="s">
        <v>154</v>
      </c>
      <c r="E103" s="6">
        <v>-22658</v>
      </c>
      <c r="F103" s="6">
        <v>22658</v>
      </c>
      <c r="G103" s="6">
        <f t="shared" si="1"/>
        <v>0</v>
      </c>
    </row>
    <row r="104" spans="1:9" x14ac:dyDescent="0.2">
      <c r="A104">
        <v>7672</v>
      </c>
      <c r="B104" t="s">
        <v>156</v>
      </c>
      <c r="C104">
        <v>9589</v>
      </c>
      <c r="D104" t="s">
        <v>154</v>
      </c>
      <c r="E104" s="6">
        <v>1269</v>
      </c>
      <c r="G104" s="6">
        <f t="shared" si="1"/>
        <v>1269</v>
      </c>
    </row>
    <row r="105" spans="1:9" x14ac:dyDescent="0.2">
      <c r="A105">
        <v>12907</v>
      </c>
      <c r="B105" t="s">
        <v>166</v>
      </c>
      <c r="C105">
        <v>9596</v>
      </c>
      <c r="D105" t="s">
        <v>154</v>
      </c>
      <c r="E105" s="6">
        <v>1740</v>
      </c>
      <c r="G105" s="6">
        <f t="shared" si="1"/>
        <v>1740</v>
      </c>
    </row>
    <row r="106" spans="1:9" x14ac:dyDescent="0.2">
      <c r="A106">
        <v>330</v>
      </c>
      <c r="B106" t="s">
        <v>165</v>
      </c>
      <c r="C106">
        <v>9599</v>
      </c>
      <c r="D106" t="s">
        <v>154</v>
      </c>
      <c r="E106" s="6">
        <v>1898</v>
      </c>
      <c r="G106" s="6">
        <f t="shared" si="1"/>
        <v>1898</v>
      </c>
    </row>
    <row r="107" spans="1:9" x14ac:dyDescent="0.2">
      <c r="A107">
        <v>11905</v>
      </c>
      <c r="B107" t="s">
        <v>141</v>
      </c>
      <c r="C107">
        <v>9577</v>
      </c>
      <c r="D107" t="s">
        <v>154</v>
      </c>
      <c r="E107" s="6">
        <v>25648</v>
      </c>
      <c r="F107" s="6">
        <v>-22658</v>
      </c>
      <c r="G107" s="6">
        <f t="shared" si="1"/>
        <v>2990</v>
      </c>
    </row>
    <row r="108" spans="1:9" s="9" customFormat="1" x14ac:dyDescent="0.2">
      <c r="E108" s="10">
        <f>SUM(E103:E107)</f>
        <v>7897</v>
      </c>
      <c r="F108" s="10">
        <f>SUM(F103:F107)</f>
        <v>0</v>
      </c>
      <c r="G108" s="10">
        <f>SUM(G103:G107)</f>
        <v>7897</v>
      </c>
      <c r="H108" s="14">
        <v>4.1900000000000004</v>
      </c>
      <c r="I108" s="14">
        <f>ROUND(G108*H108,2)</f>
        <v>33088.43</v>
      </c>
    </row>
    <row r="111" spans="1:9" s="9" customFormat="1" x14ac:dyDescent="0.2">
      <c r="B111" s="9" t="s">
        <v>216</v>
      </c>
      <c r="E111" s="10">
        <f>+E108+E100+E97+E62+E45+E21</f>
        <v>-263449</v>
      </c>
      <c r="F111" s="10">
        <f>+F108+F100+F97+F62+F45+F21</f>
        <v>0</v>
      </c>
      <c r="G111" s="10">
        <f>+G108+G100+G97+G62+G45+G21</f>
        <v>-263449</v>
      </c>
      <c r="H111" s="14"/>
      <c r="I111" s="14">
        <f>+I108+I100+I97+I62+I45+I21</f>
        <v>-1075458.51</v>
      </c>
    </row>
    <row r="112" spans="1:9" s="9" customFormat="1" x14ac:dyDescent="0.2">
      <c r="E112" s="10"/>
      <c r="F112" s="10"/>
      <c r="G112" s="10"/>
      <c r="H112" s="14"/>
      <c r="I112" s="14"/>
    </row>
    <row r="114" spans="2:9" x14ac:dyDescent="0.2">
      <c r="B114" t="s">
        <v>225</v>
      </c>
      <c r="G114" s="6">
        <f>+G100+G62+G21</f>
        <v>-283928</v>
      </c>
      <c r="I114" s="13">
        <f>+I100+I62+I21</f>
        <v>-1161265.52</v>
      </c>
    </row>
    <row r="116" spans="2:9" x14ac:dyDescent="0.2">
      <c r="B116" t="s">
        <v>226</v>
      </c>
      <c r="G116" s="6">
        <f>+G108+G97+G45</f>
        <v>20479</v>
      </c>
      <c r="I116" s="13">
        <f>+I108+I97+I45</f>
        <v>85807.01</v>
      </c>
    </row>
    <row r="118" spans="2:9" x14ac:dyDescent="0.2">
      <c r="B118" t="s">
        <v>227</v>
      </c>
      <c r="G118" s="6">
        <f>SUM(G114:G117)</f>
        <v>-263449</v>
      </c>
      <c r="I118" s="13">
        <f>SUM(I114:I117)</f>
        <v>-1075458.51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workbookViewId="0">
      <selection activeCell="B1" sqref="B1"/>
    </sheetView>
  </sheetViews>
  <sheetFormatPr defaultRowHeight="12.75" x14ac:dyDescent="0.2"/>
  <cols>
    <col min="1" max="1" width="7" customWidth="1"/>
    <col min="2" max="2" width="33.42578125" bestFit="1" customWidth="1"/>
    <col min="3" max="3" width="7.85546875" customWidth="1"/>
    <col min="4" max="4" width="19.28515625" bestFit="1" customWidth="1"/>
    <col min="5" max="5" width="10.42578125" style="6" customWidth="1"/>
    <col min="6" max="6" width="9.42578125" style="6" customWidth="1"/>
    <col min="7" max="7" width="11.28515625" style="6" customWidth="1"/>
    <col min="8" max="8" width="9.140625" style="13"/>
    <col min="9" max="9" width="14" style="13" bestFit="1" customWidth="1"/>
  </cols>
  <sheetData>
    <row r="1" spans="1:9" s="9" customFormat="1" x14ac:dyDescent="0.2">
      <c r="A1" s="9" t="s">
        <v>73</v>
      </c>
      <c r="E1" s="10"/>
      <c r="F1" s="10"/>
      <c r="G1" s="10"/>
      <c r="H1" s="14"/>
      <c r="I1" s="14"/>
    </row>
    <row r="2" spans="1:9" s="9" customFormat="1" x14ac:dyDescent="0.2">
      <c r="A2" s="15">
        <v>37043</v>
      </c>
      <c r="E2" s="10"/>
      <c r="F2" s="10"/>
      <c r="G2" s="10"/>
      <c r="H2" s="14"/>
      <c r="I2" s="14"/>
    </row>
    <row r="3" spans="1:9" s="9" customFormat="1" x14ac:dyDescent="0.2">
      <c r="E3" s="10"/>
      <c r="F3" s="10"/>
      <c r="G3" s="10"/>
      <c r="H3" s="14"/>
      <c r="I3" s="14"/>
    </row>
    <row r="4" spans="1:9" s="1" customFormat="1" ht="39.75" customHeight="1" x14ac:dyDescent="0.2">
      <c r="A4" s="1" t="s">
        <v>0</v>
      </c>
      <c r="B4" s="1" t="s">
        <v>164</v>
      </c>
      <c r="C4" s="1" t="s">
        <v>2</v>
      </c>
      <c r="D4" s="1" t="s">
        <v>3</v>
      </c>
      <c r="E4" s="16" t="s">
        <v>4</v>
      </c>
      <c r="F4" s="16" t="s">
        <v>88</v>
      </c>
      <c r="G4" s="16" t="s">
        <v>89</v>
      </c>
      <c r="H4" s="17"/>
      <c r="I4" s="17"/>
    </row>
    <row r="5" spans="1:9" s="20" customFormat="1" ht="12" x14ac:dyDescent="0.2">
      <c r="A5" s="20">
        <v>5736</v>
      </c>
      <c r="B5" s="20" t="s">
        <v>123</v>
      </c>
      <c r="C5" s="20">
        <v>9690</v>
      </c>
      <c r="D5" s="20" t="s">
        <v>91</v>
      </c>
      <c r="E5" s="29">
        <v>-53366</v>
      </c>
      <c r="F5" s="29">
        <v>-118383</v>
      </c>
      <c r="G5" s="29">
        <f t="shared" ref="G5:G71" si="0">+E5+F5</f>
        <v>-171749</v>
      </c>
      <c r="H5" s="23"/>
      <c r="I5" s="23"/>
    </row>
    <row r="6" spans="1:9" s="20" customFormat="1" ht="12" x14ac:dyDescent="0.2">
      <c r="A6" s="20">
        <v>4120</v>
      </c>
      <c r="B6" s="20" t="s">
        <v>94</v>
      </c>
      <c r="C6" s="20">
        <v>9718</v>
      </c>
      <c r="D6" s="20" t="s">
        <v>101</v>
      </c>
      <c r="E6" s="29">
        <v>-155607</v>
      </c>
      <c r="F6" s="29"/>
      <c r="G6" s="29">
        <f t="shared" si="0"/>
        <v>-155607</v>
      </c>
      <c r="H6" s="23"/>
      <c r="I6" s="23"/>
    </row>
    <row r="7" spans="1:9" s="20" customFormat="1" ht="12" x14ac:dyDescent="0.2">
      <c r="A7" s="20">
        <v>4120</v>
      </c>
      <c r="B7" s="20" t="s">
        <v>94</v>
      </c>
      <c r="C7" s="20">
        <v>9717</v>
      </c>
      <c r="D7" s="20" t="s">
        <v>91</v>
      </c>
      <c r="E7" s="29">
        <v>-115556</v>
      </c>
      <c r="F7" s="29"/>
      <c r="G7" s="29">
        <f t="shared" si="0"/>
        <v>-115556</v>
      </c>
      <c r="H7" s="23"/>
      <c r="I7" s="23"/>
    </row>
    <row r="8" spans="1:9" s="20" customFormat="1" ht="12" x14ac:dyDescent="0.2">
      <c r="A8" s="20">
        <v>11516</v>
      </c>
      <c r="B8" s="20" t="s">
        <v>95</v>
      </c>
      <c r="C8" s="20">
        <v>9711</v>
      </c>
      <c r="D8" s="20" t="s">
        <v>91</v>
      </c>
      <c r="E8" s="29">
        <v>-33632</v>
      </c>
      <c r="F8" s="29"/>
      <c r="G8" s="29">
        <f t="shared" si="0"/>
        <v>-33632</v>
      </c>
      <c r="H8" s="23"/>
      <c r="I8" s="23"/>
    </row>
    <row r="9" spans="1:9" s="20" customFormat="1" ht="12" x14ac:dyDescent="0.2">
      <c r="A9" s="20">
        <v>655</v>
      </c>
      <c r="B9" s="20" t="s">
        <v>90</v>
      </c>
      <c r="C9" s="20">
        <v>9689</v>
      </c>
      <c r="D9" s="20" t="s">
        <v>91</v>
      </c>
      <c r="E9" s="29">
        <v>-51412</v>
      </c>
      <c r="F9" s="29">
        <f>1930+10605+11320</f>
        <v>23855</v>
      </c>
      <c r="G9" s="29">
        <f t="shared" si="0"/>
        <v>-27557</v>
      </c>
      <c r="H9" s="23"/>
      <c r="I9" s="23"/>
    </row>
    <row r="10" spans="1:9" s="20" customFormat="1" ht="12" x14ac:dyDescent="0.2">
      <c r="A10" s="20">
        <v>11185</v>
      </c>
      <c r="B10" s="20" t="s">
        <v>119</v>
      </c>
      <c r="C10" s="20">
        <v>9702</v>
      </c>
      <c r="D10" s="20" t="s">
        <v>91</v>
      </c>
      <c r="E10" s="29">
        <v>-16805</v>
      </c>
      <c r="F10" s="29"/>
      <c r="G10" s="29">
        <f t="shared" si="0"/>
        <v>-16805</v>
      </c>
      <c r="H10" s="23"/>
      <c r="I10" s="23"/>
    </row>
    <row r="11" spans="1:9" s="20" customFormat="1" ht="12" x14ac:dyDescent="0.2">
      <c r="A11" s="20">
        <v>6075</v>
      </c>
      <c r="B11" s="20" t="s">
        <v>114</v>
      </c>
      <c r="C11" s="20">
        <v>9724</v>
      </c>
      <c r="D11" s="20" t="s">
        <v>91</v>
      </c>
      <c r="E11" s="29">
        <v>-14600</v>
      </c>
      <c r="F11" s="29"/>
      <c r="G11" s="29">
        <f t="shared" si="0"/>
        <v>-14600</v>
      </c>
      <c r="H11" s="23"/>
      <c r="I11" s="23"/>
    </row>
    <row r="12" spans="1:9" s="20" customFormat="1" ht="12" x14ac:dyDescent="0.2">
      <c r="A12" s="20">
        <v>11793</v>
      </c>
      <c r="B12" s="20" t="s">
        <v>93</v>
      </c>
      <c r="C12" s="20">
        <v>9696</v>
      </c>
      <c r="D12" s="20" t="s">
        <v>91</v>
      </c>
      <c r="E12" s="29">
        <v>-28099</v>
      </c>
      <c r="F12" s="29">
        <f>3692-5385+18768</f>
        <v>17075</v>
      </c>
      <c r="G12" s="29">
        <f t="shared" si="0"/>
        <v>-11024</v>
      </c>
      <c r="H12" s="23"/>
      <c r="I12" s="23"/>
    </row>
    <row r="13" spans="1:9" s="20" customFormat="1" ht="12" x14ac:dyDescent="0.2">
      <c r="A13" s="20">
        <v>11793</v>
      </c>
      <c r="B13" s="20" t="s">
        <v>93</v>
      </c>
      <c r="C13" s="20">
        <v>9697</v>
      </c>
      <c r="D13" s="20" t="s">
        <v>101</v>
      </c>
      <c r="E13" s="29">
        <v>-8159</v>
      </c>
      <c r="F13" s="29">
        <v>2486</v>
      </c>
      <c r="G13" s="29">
        <f t="shared" si="0"/>
        <v>-5673</v>
      </c>
      <c r="H13" s="23"/>
      <c r="I13" s="23"/>
    </row>
    <row r="14" spans="1:9" s="20" customFormat="1" ht="12" x14ac:dyDescent="0.2">
      <c r="A14" s="20">
        <v>6268</v>
      </c>
      <c r="B14" s="20" t="s">
        <v>96</v>
      </c>
      <c r="C14" s="20">
        <v>9687</v>
      </c>
      <c r="D14" s="20" t="s">
        <v>101</v>
      </c>
      <c r="E14" s="29">
        <v>-3894</v>
      </c>
      <c r="F14" s="29"/>
      <c r="G14" s="29">
        <f t="shared" si="0"/>
        <v>-3894</v>
      </c>
      <c r="H14" s="23"/>
      <c r="I14" s="23"/>
    </row>
    <row r="15" spans="1:9" s="20" customFormat="1" ht="12" x14ac:dyDescent="0.2">
      <c r="A15" s="20">
        <v>12907</v>
      </c>
      <c r="B15" s="20" t="s">
        <v>166</v>
      </c>
      <c r="C15" s="20">
        <v>9678</v>
      </c>
      <c r="D15" s="20" t="s">
        <v>91</v>
      </c>
      <c r="E15" s="29">
        <v>-1918</v>
      </c>
      <c r="F15" s="29"/>
      <c r="G15" s="29">
        <f t="shared" si="0"/>
        <v>-1918</v>
      </c>
      <c r="H15" s="23"/>
      <c r="I15" s="23"/>
    </row>
    <row r="16" spans="1:9" s="20" customFormat="1" ht="12" x14ac:dyDescent="0.2">
      <c r="A16" s="20">
        <v>4133</v>
      </c>
      <c r="B16" s="20" t="s">
        <v>116</v>
      </c>
      <c r="C16" s="20">
        <v>9728</v>
      </c>
      <c r="D16" s="20" t="s">
        <v>91</v>
      </c>
      <c r="E16" s="29">
        <v>-1887</v>
      </c>
      <c r="F16" s="29"/>
      <c r="G16" s="29">
        <f t="shared" si="0"/>
        <v>-1887</v>
      </c>
      <c r="H16" s="23"/>
      <c r="I16" s="23"/>
    </row>
    <row r="17" spans="1:9" s="20" customFormat="1" ht="12" x14ac:dyDescent="0.2">
      <c r="A17" s="20">
        <v>287</v>
      </c>
      <c r="B17" s="20" t="s">
        <v>98</v>
      </c>
      <c r="C17" s="20">
        <v>9682</v>
      </c>
      <c r="D17" s="20" t="s">
        <v>91</v>
      </c>
      <c r="E17" s="29">
        <v>-1453</v>
      </c>
      <c r="F17" s="29"/>
      <c r="G17" s="29">
        <f t="shared" si="0"/>
        <v>-1453</v>
      </c>
      <c r="H17" s="23"/>
      <c r="I17" s="23"/>
    </row>
    <row r="18" spans="1:9" s="20" customFormat="1" ht="12" x14ac:dyDescent="0.2">
      <c r="A18" s="20">
        <v>13252</v>
      </c>
      <c r="B18" s="20" t="s">
        <v>157</v>
      </c>
      <c r="C18" s="20">
        <v>9698</v>
      </c>
      <c r="D18" s="20" t="s">
        <v>91</v>
      </c>
      <c r="E18" s="29">
        <v>-965</v>
      </c>
      <c r="F18" s="29"/>
      <c r="G18" s="29">
        <f t="shared" si="0"/>
        <v>-965</v>
      </c>
      <c r="H18" s="23"/>
      <c r="I18" s="23"/>
    </row>
    <row r="19" spans="1:9" s="20" customFormat="1" ht="12" x14ac:dyDescent="0.2">
      <c r="A19" s="20">
        <v>4175</v>
      </c>
      <c r="B19" s="20" t="s">
        <v>104</v>
      </c>
      <c r="C19" s="20">
        <v>9664</v>
      </c>
      <c r="D19" s="20" t="s">
        <v>101</v>
      </c>
      <c r="E19" s="29">
        <v>-1869</v>
      </c>
      <c r="F19" s="29">
        <v>1119</v>
      </c>
      <c r="G19" s="29">
        <f t="shared" si="0"/>
        <v>-750</v>
      </c>
      <c r="H19" s="23"/>
      <c r="I19" s="23"/>
    </row>
    <row r="20" spans="1:9" s="20" customFormat="1" ht="12" x14ac:dyDescent="0.2">
      <c r="A20" s="20">
        <v>6228</v>
      </c>
      <c r="B20" s="20" t="s">
        <v>103</v>
      </c>
      <c r="C20" s="20">
        <v>9662</v>
      </c>
      <c r="D20" s="20" t="s">
        <v>91</v>
      </c>
      <c r="E20" s="29">
        <v>-418</v>
      </c>
      <c r="F20" s="29">
        <v>321</v>
      </c>
      <c r="G20" s="29">
        <f t="shared" si="0"/>
        <v>-97</v>
      </c>
      <c r="H20" s="23"/>
      <c r="I20" s="23"/>
    </row>
    <row r="21" spans="1:9" s="24" customFormat="1" ht="12" x14ac:dyDescent="0.2">
      <c r="B21" s="24" t="s">
        <v>217</v>
      </c>
      <c r="E21" s="30">
        <f>SUM(E5:E20)</f>
        <v>-489640</v>
      </c>
      <c r="F21" s="30">
        <f>SUM(F5:F20)</f>
        <v>-73527</v>
      </c>
      <c r="G21" s="30">
        <f>SUM(G5:G20)</f>
        <v>-563167</v>
      </c>
      <c r="H21" s="27">
        <v>3.76</v>
      </c>
      <c r="I21" s="27">
        <f>ROUND(G21*H21,2)</f>
        <v>-2117507.92</v>
      </c>
    </row>
    <row r="22" spans="1:9" s="20" customFormat="1" ht="12" x14ac:dyDescent="0.2">
      <c r="E22" s="29"/>
      <c r="F22" s="29"/>
      <c r="G22" s="29"/>
      <c r="H22" s="23"/>
      <c r="I22" s="23"/>
    </row>
    <row r="23" spans="1:9" s="20" customFormat="1" ht="12" x14ac:dyDescent="0.2">
      <c r="E23" s="29"/>
      <c r="F23" s="29"/>
      <c r="G23" s="29"/>
      <c r="H23" s="23"/>
      <c r="I23" s="23"/>
    </row>
    <row r="24" spans="1:9" s="20" customFormat="1" ht="12" x14ac:dyDescent="0.2">
      <c r="A24" s="20">
        <v>4175</v>
      </c>
      <c r="B24" s="20" t="s">
        <v>104</v>
      </c>
      <c r="C24" s="20">
        <v>9663</v>
      </c>
      <c r="D24" s="20" t="s">
        <v>91</v>
      </c>
      <c r="E24" s="29">
        <v>-25424</v>
      </c>
      <c r="F24" s="29">
        <f>9502+5247+10163+512</f>
        <v>25424</v>
      </c>
      <c r="G24" s="29">
        <f t="shared" si="0"/>
        <v>0</v>
      </c>
      <c r="H24" s="23"/>
      <c r="I24" s="23"/>
    </row>
    <row r="25" spans="1:9" s="20" customFormat="1" ht="12" x14ac:dyDescent="0.2">
      <c r="A25" s="20">
        <v>4179</v>
      </c>
      <c r="B25" s="20" t="s">
        <v>105</v>
      </c>
      <c r="C25" s="20">
        <v>9667</v>
      </c>
      <c r="D25" s="20" t="s">
        <v>91</v>
      </c>
      <c r="E25" s="29">
        <v>-5385</v>
      </c>
      <c r="F25" s="29">
        <v>5385</v>
      </c>
      <c r="G25" s="29">
        <f t="shared" si="0"/>
        <v>0</v>
      </c>
      <c r="H25" s="23"/>
      <c r="I25" s="23"/>
    </row>
    <row r="26" spans="1:9" s="20" customFormat="1" ht="12" x14ac:dyDescent="0.2">
      <c r="A26" s="20">
        <v>11687</v>
      </c>
      <c r="B26" s="20" t="s">
        <v>106</v>
      </c>
      <c r="C26" s="20">
        <v>9673</v>
      </c>
      <c r="D26" s="20" t="s">
        <v>91</v>
      </c>
      <c r="E26" s="29">
        <v>9502</v>
      </c>
      <c r="F26" s="29">
        <v>-9502</v>
      </c>
      <c r="G26" s="29">
        <f t="shared" si="0"/>
        <v>0</v>
      </c>
      <c r="H26" s="23"/>
      <c r="I26" s="23"/>
    </row>
    <row r="27" spans="1:9" s="20" customFormat="1" ht="12" x14ac:dyDescent="0.2">
      <c r="A27" s="20">
        <v>4084</v>
      </c>
      <c r="B27" s="20" t="s">
        <v>108</v>
      </c>
      <c r="C27" s="20">
        <v>9692</v>
      </c>
      <c r="D27" s="20" t="s">
        <v>91</v>
      </c>
      <c r="E27" s="29">
        <v>3692</v>
      </c>
      <c r="F27" s="29">
        <v>-3692</v>
      </c>
      <c r="G27" s="29">
        <f t="shared" si="0"/>
        <v>0</v>
      </c>
      <c r="H27" s="23"/>
      <c r="I27" s="23"/>
    </row>
    <row r="28" spans="1:9" s="20" customFormat="1" ht="12" x14ac:dyDescent="0.2">
      <c r="A28" s="20">
        <v>11729</v>
      </c>
      <c r="B28" s="20" t="s">
        <v>109</v>
      </c>
      <c r="C28" s="20">
        <v>9694</v>
      </c>
      <c r="D28" s="20" t="s">
        <v>91</v>
      </c>
      <c r="E28" s="29">
        <v>-289</v>
      </c>
      <c r="F28" s="29">
        <v>289</v>
      </c>
      <c r="G28" s="29">
        <f t="shared" si="0"/>
        <v>0</v>
      </c>
      <c r="H28" s="23"/>
      <c r="I28" s="23"/>
    </row>
    <row r="29" spans="1:9" s="20" customFormat="1" ht="12" x14ac:dyDescent="0.2">
      <c r="A29" s="20">
        <v>4101</v>
      </c>
      <c r="B29" s="20" t="s">
        <v>110</v>
      </c>
      <c r="C29" s="20">
        <v>9700</v>
      </c>
      <c r="D29" s="20" t="s">
        <v>91</v>
      </c>
      <c r="E29" s="29">
        <v>1930</v>
      </c>
      <c r="F29" s="29">
        <v>-1930</v>
      </c>
      <c r="G29" s="29">
        <f t="shared" si="0"/>
        <v>0</v>
      </c>
      <c r="H29" s="23"/>
      <c r="I29" s="23"/>
    </row>
    <row r="30" spans="1:9" s="20" customFormat="1" ht="12" x14ac:dyDescent="0.2">
      <c r="A30" s="20">
        <v>11420</v>
      </c>
      <c r="B30" s="20" t="s">
        <v>97</v>
      </c>
      <c r="C30" s="20">
        <v>9705</v>
      </c>
      <c r="D30" s="20" t="s">
        <v>91</v>
      </c>
      <c r="E30" s="29">
        <v>5247</v>
      </c>
      <c r="F30" s="29">
        <v>-5247</v>
      </c>
      <c r="G30" s="29">
        <f t="shared" si="0"/>
        <v>0</v>
      </c>
      <c r="H30" s="23"/>
      <c r="I30" s="23"/>
    </row>
    <row r="31" spans="1:9" s="20" customFormat="1" ht="12" x14ac:dyDescent="0.2">
      <c r="A31" s="20">
        <v>4118</v>
      </c>
      <c r="B31" s="20" t="s">
        <v>99</v>
      </c>
      <c r="C31" s="20">
        <v>9713</v>
      </c>
      <c r="D31" s="20" t="s">
        <v>91</v>
      </c>
      <c r="E31" s="29">
        <v>-791</v>
      </c>
      <c r="F31" s="29">
        <v>791</v>
      </c>
      <c r="G31" s="29">
        <f t="shared" si="0"/>
        <v>0</v>
      </c>
      <c r="H31" s="23"/>
      <c r="I31" s="23"/>
    </row>
    <row r="32" spans="1:9" s="20" customFormat="1" ht="12" x14ac:dyDescent="0.2">
      <c r="A32" s="20">
        <v>2974</v>
      </c>
      <c r="B32" s="20" t="s">
        <v>111</v>
      </c>
      <c r="C32" s="20">
        <v>9714</v>
      </c>
      <c r="D32" s="20" t="s">
        <v>91</v>
      </c>
      <c r="E32" s="29">
        <v>512</v>
      </c>
      <c r="F32" s="29">
        <v>-512</v>
      </c>
      <c r="G32" s="29">
        <f t="shared" si="0"/>
        <v>0</v>
      </c>
      <c r="H32" s="23"/>
      <c r="I32" s="23"/>
    </row>
    <row r="33" spans="1:9" s="20" customFormat="1" ht="12" x14ac:dyDescent="0.2">
      <c r="A33" s="20">
        <v>4079</v>
      </c>
      <c r="B33" s="20" t="s">
        <v>112</v>
      </c>
      <c r="C33" s="20">
        <v>9720</v>
      </c>
      <c r="D33" s="20" t="s">
        <v>91</v>
      </c>
      <c r="E33" s="29">
        <v>610</v>
      </c>
      <c r="F33" s="29">
        <v>-610</v>
      </c>
      <c r="G33" s="29">
        <f t="shared" si="0"/>
        <v>0</v>
      </c>
      <c r="H33" s="23"/>
      <c r="I33" s="23"/>
    </row>
    <row r="34" spans="1:9" s="20" customFormat="1" ht="12" x14ac:dyDescent="0.2">
      <c r="A34" s="20">
        <v>3974</v>
      </c>
      <c r="B34" s="20" t="s">
        <v>115</v>
      </c>
      <c r="C34" s="20">
        <v>9726</v>
      </c>
      <c r="D34" s="20" t="s">
        <v>91</v>
      </c>
      <c r="E34" s="29">
        <v>21559</v>
      </c>
      <c r="F34" s="29">
        <v>-21559</v>
      </c>
      <c r="G34" s="29">
        <f t="shared" si="0"/>
        <v>0</v>
      </c>
      <c r="H34" s="23"/>
      <c r="I34" s="23"/>
    </row>
    <row r="35" spans="1:9" s="20" customFormat="1" ht="12" x14ac:dyDescent="0.2">
      <c r="A35" s="20">
        <v>4109</v>
      </c>
      <c r="B35" s="20" t="s">
        <v>92</v>
      </c>
      <c r="C35" s="20">
        <v>9730</v>
      </c>
      <c r="D35" s="20" t="s">
        <v>91</v>
      </c>
      <c r="E35" s="29">
        <v>11320</v>
      </c>
      <c r="F35" s="29">
        <v>-11320</v>
      </c>
      <c r="G35" s="29">
        <f t="shared" si="0"/>
        <v>0</v>
      </c>
      <c r="H35" s="23"/>
      <c r="I35" s="23"/>
    </row>
    <row r="36" spans="1:9" s="20" customFormat="1" ht="12" x14ac:dyDescent="0.2">
      <c r="A36" s="20">
        <v>4084</v>
      </c>
      <c r="B36" s="20" t="s">
        <v>108</v>
      </c>
      <c r="C36" s="20">
        <v>9693</v>
      </c>
      <c r="D36" s="20" t="s">
        <v>101</v>
      </c>
      <c r="E36" s="29">
        <v>2486</v>
      </c>
      <c r="F36" s="29">
        <v>-2486</v>
      </c>
      <c r="G36" s="29">
        <f t="shared" si="0"/>
        <v>0</v>
      </c>
      <c r="H36" s="23"/>
      <c r="I36" s="23"/>
    </row>
    <row r="37" spans="1:9" s="20" customFormat="1" ht="12" x14ac:dyDescent="0.2">
      <c r="A37" s="20">
        <v>2974</v>
      </c>
      <c r="B37" s="20" t="s">
        <v>111</v>
      </c>
      <c r="C37" s="20">
        <v>9715</v>
      </c>
      <c r="D37" s="20" t="s">
        <v>101</v>
      </c>
      <c r="E37" s="29">
        <v>1119</v>
      </c>
      <c r="F37" s="29">
        <v>-1119</v>
      </c>
      <c r="G37" s="29">
        <f t="shared" si="0"/>
        <v>0</v>
      </c>
      <c r="H37" s="23"/>
      <c r="I37" s="23"/>
    </row>
    <row r="38" spans="1:9" s="20" customFormat="1" ht="12" x14ac:dyDescent="0.2">
      <c r="A38" s="20">
        <v>6268</v>
      </c>
      <c r="B38" s="20" t="s">
        <v>96</v>
      </c>
      <c r="C38" s="20">
        <v>9686</v>
      </c>
      <c r="D38" s="20" t="s">
        <v>121</v>
      </c>
      <c r="E38" s="29">
        <v>958</v>
      </c>
      <c r="F38" s="29">
        <v>-958</v>
      </c>
      <c r="G38" s="29">
        <f>+E38+F38</f>
        <v>0</v>
      </c>
      <c r="H38" s="23"/>
      <c r="I38" s="23"/>
    </row>
    <row r="39" spans="1:9" s="20" customFormat="1" ht="12" x14ac:dyDescent="0.2">
      <c r="A39" s="20">
        <v>4131</v>
      </c>
      <c r="B39" s="20" t="s">
        <v>118</v>
      </c>
      <c r="C39" s="20">
        <v>9727</v>
      </c>
      <c r="D39" s="20" t="s">
        <v>101</v>
      </c>
      <c r="E39" s="29">
        <v>46</v>
      </c>
      <c r="F39" s="29"/>
      <c r="G39" s="29">
        <f t="shared" si="0"/>
        <v>46</v>
      </c>
      <c r="H39" s="23"/>
      <c r="I39" s="23"/>
    </row>
    <row r="40" spans="1:9" s="20" customFormat="1" ht="12" x14ac:dyDescent="0.2">
      <c r="A40" s="20">
        <v>6321</v>
      </c>
      <c r="B40" s="20" t="s">
        <v>113</v>
      </c>
      <c r="C40" s="20">
        <v>9723</v>
      </c>
      <c r="D40" s="20" t="s">
        <v>91</v>
      </c>
      <c r="E40" s="29">
        <v>94</v>
      </c>
      <c r="F40" s="29"/>
      <c r="G40" s="29">
        <f t="shared" si="0"/>
        <v>94</v>
      </c>
      <c r="H40" s="23"/>
      <c r="I40" s="23"/>
    </row>
    <row r="41" spans="1:9" s="20" customFormat="1" ht="12" x14ac:dyDescent="0.2">
      <c r="A41" s="20">
        <v>330</v>
      </c>
      <c r="B41" s="20" t="s">
        <v>165</v>
      </c>
      <c r="C41" s="20">
        <v>9681</v>
      </c>
      <c r="D41" s="20" t="s">
        <v>101</v>
      </c>
      <c r="E41" s="29">
        <v>971</v>
      </c>
      <c r="F41" s="29"/>
      <c r="G41" s="29">
        <f t="shared" si="0"/>
        <v>971</v>
      </c>
      <c r="H41" s="23"/>
      <c r="I41" s="23"/>
    </row>
    <row r="42" spans="1:9" s="20" customFormat="1" ht="12" x14ac:dyDescent="0.2">
      <c r="A42" s="20">
        <v>6268</v>
      </c>
      <c r="B42" s="20" t="s">
        <v>96</v>
      </c>
      <c r="C42" s="20">
        <v>9685</v>
      </c>
      <c r="D42" s="20" t="s">
        <v>91</v>
      </c>
      <c r="E42" s="29">
        <v>-96679</v>
      </c>
      <c r="F42" s="29">
        <f>958-18768+118383</f>
        <v>100573</v>
      </c>
      <c r="G42" s="29">
        <f t="shared" si="0"/>
        <v>3894</v>
      </c>
      <c r="H42" s="23"/>
      <c r="I42" s="23"/>
    </row>
    <row r="43" spans="1:9" s="24" customFormat="1" ht="12" x14ac:dyDescent="0.2">
      <c r="B43" s="24" t="s">
        <v>218</v>
      </c>
      <c r="E43" s="30">
        <f>SUM(E24:E42)</f>
        <v>-68522</v>
      </c>
      <c r="F43" s="30">
        <f>SUM(F24:F42)</f>
        <v>73527</v>
      </c>
      <c r="G43" s="30">
        <f>SUM(G24:G42)</f>
        <v>5005</v>
      </c>
      <c r="H43" s="27">
        <v>3.77</v>
      </c>
      <c r="I43" s="27">
        <f>ROUND(G43*H43,2)</f>
        <v>18868.849999999999</v>
      </c>
    </row>
    <row r="44" spans="1:9" s="20" customFormat="1" ht="12" x14ac:dyDescent="0.2">
      <c r="E44" s="29"/>
      <c r="F44" s="29"/>
      <c r="G44" s="29"/>
      <c r="H44" s="23"/>
      <c r="I44" s="23"/>
    </row>
    <row r="45" spans="1:9" s="24" customFormat="1" ht="12" x14ac:dyDescent="0.2">
      <c r="B45" s="24" t="s">
        <v>182</v>
      </c>
      <c r="E45" s="30"/>
      <c r="F45" s="30"/>
      <c r="G45" s="30">
        <f>+G43+G21</f>
        <v>-558162</v>
      </c>
      <c r="H45" s="27"/>
      <c r="I45" s="27"/>
    </row>
    <row r="46" spans="1:9" s="24" customFormat="1" ht="12" x14ac:dyDescent="0.2">
      <c r="E46" s="30"/>
      <c r="F46" s="30"/>
      <c r="G46" s="30"/>
      <c r="H46" s="27"/>
      <c r="I46" s="27"/>
    </row>
    <row r="47" spans="1:9" s="24" customFormat="1" ht="12" x14ac:dyDescent="0.2">
      <c r="B47" s="24" t="s">
        <v>191</v>
      </c>
      <c r="E47" s="30"/>
      <c r="F47" s="30"/>
      <c r="G47" s="30">
        <v>-332558</v>
      </c>
      <c r="H47" s="27"/>
      <c r="I47" s="27"/>
    </row>
    <row r="48" spans="1:9" s="24" customFormat="1" ht="12" x14ac:dyDescent="0.2">
      <c r="B48" s="24" t="s">
        <v>192</v>
      </c>
      <c r="E48" s="30"/>
      <c r="F48" s="30"/>
      <c r="G48" s="30">
        <v>-160949</v>
      </c>
      <c r="H48" s="27"/>
      <c r="I48" s="27"/>
    </row>
    <row r="49" spans="1:9" s="24" customFormat="1" ht="12" x14ac:dyDescent="0.2">
      <c r="B49" s="24" t="s">
        <v>71</v>
      </c>
      <c r="E49" s="30"/>
      <c r="F49" s="30"/>
      <c r="G49" s="30">
        <f>+G45-G47-G48</f>
        <v>-64655</v>
      </c>
      <c r="H49" s="27"/>
      <c r="I49" s="27"/>
    </row>
    <row r="50" spans="1:9" s="20" customFormat="1" ht="12" x14ac:dyDescent="0.2">
      <c r="E50" s="29"/>
      <c r="F50" s="29"/>
      <c r="G50" s="29"/>
      <c r="H50" s="23"/>
      <c r="I50" s="23"/>
    </row>
    <row r="51" spans="1:9" s="20" customFormat="1" ht="12" x14ac:dyDescent="0.2">
      <c r="E51" s="29"/>
      <c r="F51" s="29"/>
      <c r="G51" s="29"/>
      <c r="H51" s="23"/>
      <c r="I51" s="23"/>
    </row>
    <row r="52" spans="1:9" s="20" customFormat="1" ht="12" x14ac:dyDescent="0.2">
      <c r="E52" s="29"/>
      <c r="F52" s="29"/>
      <c r="G52" s="29"/>
      <c r="H52" s="23"/>
      <c r="I52" s="23"/>
    </row>
    <row r="53" spans="1:9" s="20" customFormat="1" ht="12" x14ac:dyDescent="0.2">
      <c r="E53" s="29"/>
      <c r="F53" s="29"/>
      <c r="G53" s="29"/>
      <c r="H53" s="23"/>
      <c r="I53" s="23"/>
    </row>
    <row r="54" spans="1:9" s="20" customFormat="1" ht="12" x14ac:dyDescent="0.2">
      <c r="A54" s="20">
        <v>11793</v>
      </c>
      <c r="B54" s="20" t="s">
        <v>93</v>
      </c>
      <c r="C54" s="20">
        <v>9695</v>
      </c>
      <c r="D54" s="20" t="s">
        <v>127</v>
      </c>
      <c r="E54" s="29">
        <v>-31256</v>
      </c>
      <c r="F54" s="29"/>
      <c r="G54" s="29">
        <f>+E54+F54</f>
        <v>-31256</v>
      </c>
      <c r="H54" s="23"/>
      <c r="I54" s="23"/>
    </row>
    <row r="55" spans="1:9" s="20" customFormat="1" ht="12" x14ac:dyDescent="0.2">
      <c r="A55" s="20">
        <v>11687</v>
      </c>
      <c r="B55" s="20" t="s">
        <v>106</v>
      </c>
      <c r="C55" s="20">
        <v>9672</v>
      </c>
      <c r="D55" s="20" t="s">
        <v>127</v>
      </c>
      <c r="E55" s="29">
        <v>-26544</v>
      </c>
      <c r="F55" s="29"/>
      <c r="G55" s="29">
        <f t="shared" si="0"/>
        <v>-26544</v>
      </c>
      <c r="H55" s="23"/>
      <c r="I55" s="23"/>
    </row>
    <row r="56" spans="1:9" s="20" customFormat="1" ht="12" x14ac:dyDescent="0.2">
      <c r="A56" s="20">
        <v>1455</v>
      </c>
      <c r="B56" s="20" t="s">
        <v>129</v>
      </c>
      <c r="C56" s="20">
        <v>9666</v>
      </c>
      <c r="D56" s="20" t="s">
        <v>127</v>
      </c>
      <c r="E56" s="29">
        <v>-18764</v>
      </c>
      <c r="F56" s="29"/>
      <c r="G56" s="29">
        <f t="shared" si="0"/>
        <v>-18764</v>
      </c>
      <c r="H56" s="23"/>
      <c r="I56" s="23"/>
    </row>
    <row r="57" spans="1:9" s="20" customFormat="1" ht="12" x14ac:dyDescent="0.2">
      <c r="A57" s="20">
        <v>11145</v>
      </c>
      <c r="B57" s="20" t="s">
        <v>153</v>
      </c>
      <c r="C57" s="20">
        <v>9709</v>
      </c>
      <c r="D57" s="20" t="s">
        <v>127</v>
      </c>
      <c r="E57" s="29">
        <v>-12329</v>
      </c>
      <c r="F57" s="29"/>
      <c r="G57" s="29">
        <f t="shared" si="0"/>
        <v>-12329</v>
      </c>
      <c r="H57" s="23"/>
      <c r="I57" s="23"/>
    </row>
    <row r="58" spans="1:9" s="20" customFormat="1" ht="12" x14ac:dyDescent="0.2">
      <c r="A58" s="20">
        <v>7812</v>
      </c>
      <c r="B58" s="20" t="s">
        <v>66</v>
      </c>
      <c r="C58" s="20">
        <v>9732</v>
      </c>
      <c r="D58" s="20" t="s">
        <v>127</v>
      </c>
      <c r="E58" s="29">
        <v>1</v>
      </c>
      <c r="F58" s="29">
        <v>-7553</v>
      </c>
      <c r="G58" s="29">
        <f>+E58+F58</f>
        <v>-7552</v>
      </c>
      <c r="H58" s="23"/>
      <c r="I58" s="23"/>
    </row>
    <row r="59" spans="1:9" s="20" customFormat="1" ht="12" x14ac:dyDescent="0.2">
      <c r="A59" s="20">
        <v>655</v>
      </c>
      <c r="B59" s="20" t="s">
        <v>90</v>
      </c>
      <c r="C59" s="20">
        <v>9688</v>
      </c>
      <c r="D59" s="20" t="s">
        <v>127</v>
      </c>
      <c r="E59" s="29">
        <v>-7000</v>
      </c>
      <c r="F59" s="29"/>
      <c r="G59" s="29">
        <f t="shared" si="0"/>
        <v>-7000</v>
      </c>
      <c r="H59" s="23"/>
      <c r="I59" s="23"/>
    </row>
    <row r="60" spans="1:9" s="20" customFormat="1" ht="12" x14ac:dyDescent="0.2">
      <c r="A60" s="20">
        <v>330</v>
      </c>
      <c r="B60" s="20" t="s">
        <v>165</v>
      </c>
      <c r="C60" s="20">
        <v>9679</v>
      </c>
      <c r="D60" s="20" t="s">
        <v>127</v>
      </c>
      <c r="E60" s="29">
        <v>-5521</v>
      </c>
      <c r="F60" s="29"/>
      <c r="G60" s="29">
        <f t="shared" si="0"/>
        <v>-5521</v>
      </c>
      <c r="H60" s="23"/>
      <c r="I60" s="23"/>
    </row>
    <row r="61" spans="1:9" s="20" customFormat="1" ht="12" x14ac:dyDescent="0.2">
      <c r="A61" s="20">
        <v>11420</v>
      </c>
      <c r="B61" s="20" t="s">
        <v>97</v>
      </c>
      <c r="C61" s="20">
        <v>9704</v>
      </c>
      <c r="D61" s="20" t="s">
        <v>127</v>
      </c>
      <c r="E61" s="29">
        <v>-321</v>
      </c>
      <c r="F61" s="29"/>
      <c r="G61" s="29">
        <f t="shared" si="0"/>
        <v>-321</v>
      </c>
      <c r="H61" s="23"/>
      <c r="I61" s="23"/>
    </row>
    <row r="62" spans="1:9" s="20" customFormat="1" ht="12" x14ac:dyDescent="0.2">
      <c r="A62" s="20">
        <v>7834</v>
      </c>
      <c r="B62" s="20" t="s">
        <v>160</v>
      </c>
      <c r="C62" s="20">
        <v>9661</v>
      </c>
      <c r="D62" s="20" t="s">
        <v>127</v>
      </c>
      <c r="E62" s="29">
        <v>-268</v>
      </c>
      <c r="F62" s="29">
        <f>1+1</f>
        <v>2</v>
      </c>
      <c r="G62" s="29">
        <f t="shared" si="0"/>
        <v>-266</v>
      </c>
      <c r="H62" s="23"/>
      <c r="I62" s="23"/>
    </row>
    <row r="63" spans="1:9" s="20" customFormat="1" ht="12" x14ac:dyDescent="0.2">
      <c r="A63" s="20">
        <v>4101</v>
      </c>
      <c r="B63" s="20" t="s">
        <v>110</v>
      </c>
      <c r="C63" s="20">
        <v>9699</v>
      </c>
      <c r="D63" s="20" t="s">
        <v>127</v>
      </c>
      <c r="E63" s="29">
        <v>4198</v>
      </c>
      <c r="F63" s="29">
        <v>-4406</v>
      </c>
      <c r="G63" s="29">
        <f t="shared" si="0"/>
        <v>-208</v>
      </c>
      <c r="H63" s="23"/>
      <c r="I63" s="23"/>
    </row>
    <row r="64" spans="1:9" s="20" customFormat="1" ht="12" x14ac:dyDescent="0.2">
      <c r="A64" s="20">
        <v>11035</v>
      </c>
      <c r="B64" s="20" t="s">
        <v>193</v>
      </c>
      <c r="C64" s="20">
        <v>9706</v>
      </c>
      <c r="D64" s="20" t="s">
        <v>127</v>
      </c>
      <c r="E64" s="29">
        <v>-183</v>
      </c>
      <c r="F64" s="29"/>
      <c r="G64" s="29">
        <f t="shared" si="0"/>
        <v>-183</v>
      </c>
      <c r="H64" s="23"/>
      <c r="I64" s="23"/>
    </row>
    <row r="65" spans="1:9" s="20" customFormat="1" ht="12" x14ac:dyDescent="0.2">
      <c r="A65" s="20">
        <v>13285</v>
      </c>
      <c r="B65" s="20" t="s">
        <v>194</v>
      </c>
      <c r="C65" s="20">
        <v>9707</v>
      </c>
      <c r="D65" s="20" t="s">
        <v>127</v>
      </c>
      <c r="E65" s="29">
        <v>-183</v>
      </c>
      <c r="F65" s="29"/>
      <c r="G65" s="29">
        <f t="shared" si="0"/>
        <v>-183</v>
      </c>
      <c r="H65" s="23"/>
      <c r="I65" s="23"/>
    </row>
    <row r="66" spans="1:9" s="20" customFormat="1" ht="12" x14ac:dyDescent="0.2">
      <c r="A66" s="20">
        <v>11611</v>
      </c>
      <c r="B66" s="20" t="s">
        <v>147</v>
      </c>
      <c r="C66" s="20">
        <v>9671</v>
      </c>
      <c r="D66" s="20" t="s">
        <v>127</v>
      </c>
      <c r="E66" s="29">
        <v>-15</v>
      </c>
      <c r="F66" s="29"/>
      <c r="G66" s="29">
        <f t="shared" si="0"/>
        <v>-15</v>
      </c>
      <c r="H66" s="23"/>
      <c r="I66" s="23"/>
    </row>
    <row r="67" spans="1:9" s="24" customFormat="1" ht="12" x14ac:dyDescent="0.2">
      <c r="E67" s="30">
        <f>SUM(E54:E66)</f>
        <v>-98185</v>
      </c>
      <c r="F67" s="30">
        <f>SUM(F54:F66)</f>
        <v>-11957</v>
      </c>
      <c r="G67" s="30">
        <f>SUM(G54:G66)</f>
        <v>-110142</v>
      </c>
      <c r="H67" s="27">
        <v>3.76</v>
      </c>
      <c r="I67" s="27">
        <f>ROUND(G67*H67,2)</f>
        <v>-414133.92</v>
      </c>
    </row>
    <row r="68" spans="1:9" s="20" customFormat="1" ht="12" x14ac:dyDescent="0.2">
      <c r="E68" s="29"/>
      <c r="F68" s="29"/>
      <c r="G68" s="29"/>
      <c r="H68" s="23"/>
      <c r="I68" s="23"/>
    </row>
    <row r="69" spans="1:9" s="20" customFormat="1" ht="12" x14ac:dyDescent="0.2">
      <c r="E69" s="29"/>
      <c r="F69" s="29"/>
      <c r="G69" s="29"/>
      <c r="H69" s="23"/>
      <c r="I69" s="23"/>
    </row>
    <row r="70" spans="1:9" s="20" customFormat="1" ht="12" x14ac:dyDescent="0.2">
      <c r="A70" s="20">
        <v>6268</v>
      </c>
      <c r="B70" s="20" t="s">
        <v>96</v>
      </c>
      <c r="C70" s="20">
        <v>9684</v>
      </c>
      <c r="D70" s="20" t="s">
        <v>127</v>
      </c>
      <c r="E70" s="29">
        <v>-7117</v>
      </c>
      <c r="F70" s="29">
        <v>7117</v>
      </c>
      <c r="G70" s="29">
        <f t="shared" si="0"/>
        <v>0</v>
      </c>
      <c r="H70" s="23"/>
      <c r="I70" s="23"/>
    </row>
    <row r="71" spans="1:9" s="20" customFormat="1" ht="12" x14ac:dyDescent="0.2">
      <c r="A71" s="20">
        <v>4084</v>
      </c>
      <c r="B71" s="20" t="s">
        <v>108</v>
      </c>
      <c r="C71" s="20">
        <v>9691</v>
      </c>
      <c r="D71" s="20" t="s">
        <v>127</v>
      </c>
      <c r="E71" s="29">
        <v>1</v>
      </c>
      <c r="F71" s="29">
        <v>-1</v>
      </c>
      <c r="G71" s="29">
        <f t="shared" si="0"/>
        <v>0</v>
      </c>
      <c r="H71" s="23"/>
      <c r="I71" s="23"/>
    </row>
    <row r="72" spans="1:9" s="20" customFormat="1" ht="12" x14ac:dyDescent="0.2">
      <c r="A72" s="20">
        <v>4118</v>
      </c>
      <c r="B72" s="20" t="s">
        <v>99</v>
      </c>
      <c r="C72" s="20">
        <v>9712</v>
      </c>
      <c r="D72" s="20" t="s">
        <v>127</v>
      </c>
      <c r="E72" s="29">
        <v>413</v>
      </c>
      <c r="F72" s="29">
        <v>-413</v>
      </c>
      <c r="G72" s="29">
        <f t="shared" ref="G72:G87" si="1">+E72+F72</f>
        <v>0</v>
      </c>
      <c r="H72" s="23"/>
      <c r="I72" s="23"/>
    </row>
    <row r="73" spans="1:9" s="20" customFormat="1" ht="12" x14ac:dyDescent="0.2">
      <c r="A73" s="20">
        <v>11834</v>
      </c>
      <c r="B73" s="20" t="s">
        <v>189</v>
      </c>
      <c r="C73" s="20">
        <v>9701</v>
      </c>
      <c r="D73" s="20" t="s">
        <v>127</v>
      </c>
      <c r="E73" s="29">
        <v>1</v>
      </c>
      <c r="F73" s="29"/>
      <c r="G73" s="29">
        <f t="shared" si="1"/>
        <v>1</v>
      </c>
      <c r="H73" s="23"/>
      <c r="I73" s="23"/>
    </row>
    <row r="74" spans="1:9" s="20" customFormat="1" ht="12" x14ac:dyDescent="0.2">
      <c r="A74" s="20">
        <v>11143</v>
      </c>
      <c r="B74" s="20" t="s">
        <v>139</v>
      </c>
      <c r="C74" s="20">
        <v>9710</v>
      </c>
      <c r="D74" s="20" t="s">
        <v>127</v>
      </c>
      <c r="E74" s="29">
        <v>5</v>
      </c>
      <c r="F74" s="29"/>
      <c r="G74" s="29">
        <f t="shared" si="1"/>
        <v>5</v>
      </c>
      <c r="H74" s="23"/>
      <c r="I74" s="23"/>
    </row>
    <row r="75" spans="1:9" s="20" customFormat="1" ht="12" x14ac:dyDescent="0.2">
      <c r="A75" s="20">
        <v>11893</v>
      </c>
      <c r="B75" s="20" t="s">
        <v>131</v>
      </c>
      <c r="C75" s="20">
        <v>9731</v>
      </c>
      <c r="D75" s="20" t="s">
        <v>127</v>
      </c>
      <c r="E75" s="29">
        <v>50</v>
      </c>
      <c r="F75" s="29">
        <v>-23</v>
      </c>
      <c r="G75" s="29">
        <f t="shared" si="1"/>
        <v>27</v>
      </c>
      <c r="H75" s="23"/>
      <c r="I75" s="23"/>
    </row>
    <row r="76" spans="1:9" s="20" customFormat="1" ht="12" x14ac:dyDescent="0.2">
      <c r="A76" s="20">
        <v>3974</v>
      </c>
      <c r="B76" s="20" t="s">
        <v>115</v>
      </c>
      <c r="C76" s="20">
        <v>9725</v>
      </c>
      <c r="D76" s="20" t="s">
        <v>127</v>
      </c>
      <c r="E76" s="29">
        <v>79</v>
      </c>
      <c r="F76" s="29"/>
      <c r="G76" s="29">
        <f t="shared" si="1"/>
        <v>79</v>
      </c>
      <c r="H76" s="23"/>
      <c r="I76" s="23"/>
    </row>
    <row r="77" spans="1:9" s="20" customFormat="1" ht="12" x14ac:dyDescent="0.2">
      <c r="A77" s="20">
        <v>11128</v>
      </c>
      <c r="B77" s="20" t="s">
        <v>140</v>
      </c>
      <c r="C77" s="20">
        <v>9719</v>
      </c>
      <c r="D77" s="20" t="s">
        <v>127</v>
      </c>
      <c r="E77" s="29">
        <v>154</v>
      </c>
      <c r="F77" s="29"/>
      <c r="G77" s="29">
        <f t="shared" si="1"/>
        <v>154</v>
      </c>
      <c r="H77" s="23"/>
      <c r="I77" s="23"/>
    </row>
    <row r="78" spans="1:9" s="20" customFormat="1" ht="12" x14ac:dyDescent="0.2">
      <c r="A78" s="20">
        <v>4105</v>
      </c>
      <c r="B78" s="20" t="s">
        <v>163</v>
      </c>
      <c r="C78" s="20">
        <v>9708</v>
      </c>
      <c r="D78" s="20" t="s">
        <v>127</v>
      </c>
      <c r="E78" s="29">
        <v>160</v>
      </c>
      <c r="F78" s="29"/>
      <c r="G78" s="29">
        <f t="shared" si="1"/>
        <v>160</v>
      </c>
      <c r="H78" s="23"/>
      <c r="I78" s="23"/>
    </row>
    <row r="79" spans="1:9" s="20" customFormat="1" ht="12" x14ac:dyDescent="0.2">
      <c r="A79" s="20">
        <v>11641</v>
      </c>
      <c r="B79" s="20" t="s">
        <v>133</v>
      </c>
      <c r="C79" s="20">
        <v>9665</v>
      </c>
      <c r="D79" s="20" t="s">
        <v>127</v>
      </c>
      <c r="E79" s="29">
        <v>239</v>
      </c>
      <c r="F79" s="29">
        <f>105+435</f>
        <v>540</v>
      </c>
      <c r="G79" s="29">
        <f t="shared" si="1"/>
        <v>779</v>
      </c>
      <c r="H79" s="23"/>
      <c r="I79" s="23"/>
    </row>
    <row r="80" spans="1:9" s="20" customFormat="1" ht="12" x14ac:dyDescent="0.2">
      <c r="A80" s="20">
        <v>11533</v>
      </c>
      <c r="B80" s="20" t="s">
        <v>185</v>
      </c>
      <c r="C80" s="20">
        <v>9658</v>
      </c>
      <c r="D80" s="20" t="s">
        <v>127</v>
      </c>
      <c r="E80" s="29">
        <v>940</v>
      </c>
      <c r="F80" s="29"/>
      <c r="G80" s="29">
        <f t="shared" si="1"/>
        <v>940</v>
      </c>
      <c r="H80" s="23"/>
      <c r="I80" s="23"/>
    </row>
    <row r="81" spans="1:9" s="20" customFormat="1" ht="12" x14ac:dyDescent="0.2">
      <c r="A81" s="20">
        <v>7672</v>
      </c>
      <c r="B81" s="20" t="s">
        <v>156</v>
      </c>
      <c r="C81" s="20">
        <v>9668</v>
      </c>
      <c r="D81" s="20" t="s">
        <v>127</v>
      </c>
      <c r="E81" s="29">
        <v>1592</v>
      </c>
      <c r="F81" s="29"/>
      <c r="G81" s="29">
        <f t="shared" si="1"/>
        <v>1592</v>
      </c>
      <c r="H81" s="23"/>
      <c r="I81" s="23"/>
    </row>
    <row r="82" spans="1:9" s="20" customFormat="1" ht="12" x14ac:dyDescent="0.2">
      <c r="A82" s="20">
        <v>6321</v>
      </c>
      <c r="B82" s="20" t="s">
        <v>113</v>
      </c>
      <c r="C82" s="20">
        <v>9721</v>
      </c>
      <c r="D82" s="20" t="s">
        <v>127</v>
      </c>
      <c r="E82" s="29">
        <v>1295</v>
      </c>
      <c r="F82" s="29">
        <v>331</v>
      </c>
      <c r="G82" s="29">
        <f t="shared" si="1"/>
        <v>1626</v>
      </c>
      <c r="H82" s="23"/>
      <c r="I82" s="23"/>
    </row>
    <row r="83" spans="1:9" s="20" customFormat="1" ht="12" x14ac:dyDescent="0.2">
      <c r="A83" s="20">
        <v>11509</v>
      </c>
      <c r="B83" s="20" t="s">
        <v>126</v>
      </c>
      <c r="C83" s="20">
        <v>9703</v>
      </c>
      <c r="D83" s="20" t="s">
        <v>127</v>
      </c>
      <c r="E83" s="29">
        <v>2177</v>
      </c>
      <c r="F83" s="29"/>
      <c r="G83" s="29">
        <f t="shared" si="1"/>
        <v>2177</v>
      </c>
      <c r="H83" s="23"/>
      <c r="I83" s="23"/>
    </row>
    <row r="84" spans="1:9" s="20" customFormat="1" ht="12" x14ac:dyDescent="0.2">
      <c r="A84" s="20">
        <v>4120</v>
      </c>
      <c r="B84" s="20" t="s">
        <v>94</v>
      </c>
      <c r="C84" s="20">
        <v>9716</v>
      </c>
      <c r="D84" s="20" t="s">
        <v>127</v>
      </c>
      <c r="E84" s="29">
        <v>3818</v>
      </c>
      <c r="F84" s="29"/>
      <c r="G84" s="29">
        <f t="shared" si="1"/>
        <v>3818</v>
      </c>
      <c r="H84" s="23"/>
      <c r="I84" s="23"/>
    </row>
    <row r="85" spans="1:9" s="20" customFormat="1" ht="12" x14ac:dyDescent="0.2">
      <c r="A85" s="20">
        <v>4997</v>
      </c>
      <c r="B85" s="20" t="s">
        <v>132</v>
      </c>
      <c r="C85" s="20">
        <v>9674</v>
      </c>
      <c r="D85" s="20" t="s">
        <v>127</v>
      </c>
      <c r="E85" s="29">
        <v>636</v>
      </c>
      <c r="F85" s="29">
        <v>4406</v>
      </c>
      <c r="G85" s="29">
        <f t="shared" si="1"/>
        <v>5042</v>
      </c>
      <c r="H85" s="23"/>
      <c r="I85" s="23"/>
    </row>
    <row r="86" spans="1:9" s="20" customFormat="1" ht="12" x14ac:dyDescent="0.2">
      <c r="A86" s="20">
        <v>4109</v>
      </c>
      <c r="B86" s="20" t="s">
        <v>92</v>
      </c>
      <c r="C86" s="20">
        <v>9729</v>
      </c>
      <c r="D86" s="20" t="s">
        <v>127</v>
      </c>
      <c r="E86" s="29">
        <v>5362</v>
      </c>
      <c r="F86" s="29"/>
      <c r="G86" s="29">
        <f t="shared" si="1"/>
        <v>5362</v>
      </c>
      <c r="H86" s="23"/>
      <c r="I86" s="23"/>
    </row>
    <row r="87" spans="1:9" s="20" customFormat="1" ht="12" x14ac:dyDescent="0.2">
      <c r="A87" s="20">
        <v>12907</v>
      </c>
      <c r="B87" s="20" t="s">
        <v>166</v>
      </c>
      <c r="C87" s="20">
        <v>9676</v>
      </c>
      <c r="D87" s="20" t="s">
        <v>127</v>
      </c>
      <c r="E87" s="29">
        <v>39739</v>
      </c>
      <c r="F87" s="29"/>
      <c r="G87" s="29">
        <f t="shared" si="1"/>
        <v>39739</v>
      </c>
      <c r="H87" s="23"/>
      <c r="I87" s="23"/>
    </row>
    <row r="88" spans="1:9" s="9" customFormat="1" x14ac:dyDescent="0.2">
      <c r="E88" s="10">
        <f>SUM(E70:E87)</f>
        <v>49544</v>
      </c>
      <c r="F88" s="10">
        <f>SUM(F70:F87)</f>
        <v>11957</v>
      </c>
      <c r="G88" s="10">
        <f>SUM(G70:G87)</f>
        <v>61501</v>
      </c>
      <c r="H88" s="14">
        <v>3.77</v>
      </c>
      <c r="I88" s="27">
        <f>ROUND(G88*H88,2)</f>
        <v>231858.77</v>
      </c>
    </row>
    <row r="91" spans="1:9" s="20" customFormat="1" ht="12" x14ac:dyDescent="0.2">
      <c r="A91" s="20">
        <v>12907</v>
      </c>
      <c r="B91" s="20" t="s">
        <v>166</v>
      </c>
      <c r="C91" s="20">
        <v>9677</v>
      </c>
      <c r="D91" s="20" t="s">
        <v>154</v>
      </c>
      <c r="E91" s="29">
        <v>-17230</v>
      </c>
      <c r="F91" s="29"/>
      <c r="G91" s="29">
        <f t="shared" ref="G91:G100" si="2">+E91+F91</f>
        <v>-17230</v>
      </c>
      <c r="H91" s="23"/>
      <c r="I91" s="23"/>
    </row>
    <row r="92" spans="1:9" s="20" customFormat="1" ht="12" x14ac:dyDescent="0.2">
      <c r="A92" s="20">
        <v>11533</v>
      </c>
      <c r="B92" s="20" t="s">
        <v>185</v>
      </c>
      <c r="C92" s="20">
        <v>9659</v>
      </c>
      <c r="D92" s="20" t="s">
        <v>154</v>
      </c>
      <c r="E92" s="29">
        <v>-13001</v>
      </c>
      <c r="F92" s="29"/>
      <c r="G92" s="29">
        <f t="shared" si="2"/>
        <v>-13001</v>
      </c>
      <c r="H92" s="23"/>
      <c r="I92" s="23"/>
    </row>
    <row r="93" spans="1:9" s="20" customFormat="1" ht="12" x14ac:dyDescent="0.2">
      <c r="A93" s="20">
        <v>4997</v>
      </c>
      <c r="B93" s="20" t="s">
        <v>132</v>
      </c>
      <c r="C93" s="20">
        <v>9675</v>
      </c>
      <c r="D93" s="20" t="s">
        <v>154</v>
      </c>
      <c r="E93" s="29">
        <v>-3175</v>
      </c>
      <c r="F93" s="29"/>
      <c r="G93" s="29">
        <f t="shared" si="2"/>
        <v>-3175</v>
      </c>
      <c r="H93" s="23"/>
      <c r="I93" s="23"/>
    </row>
    <row r="94" spans="1:9" s="24" customFormat="1" ht="12" x14ac:dyDescent="0.2">
      <c r="E94" s="30">
        <f>SUM(E91:E93)</f>
        <v>-33406</v>
      </c>
      <c r="F94" s="30">
        <f>SUM(F91:F93)</f>
        <v>0</v>
      </c>
      <c r="G94" s="30">
        <f>SUM(G91:G93)</f>
        <v>-33406</v>
      </c>
      <c r="H94" s="27">
        <v>3.76</v>
      </c>
      <c r="I94" s="27">
        <f>ROUND(G94*H94,2)</f>
        <v>-125606.56</v>
      </c>
    </row>
    <row r="95" spans="1:9" s="20" customFormat="1" ht="12" x14ac:dyDescent="0.2">
      <c r="E95" s="29"/>
      <c r="F95" s="29"/>
      <c r="G95" s="29"/>
      <c r="H95" s="23"/>
      <c r="I95" s="23"/>
    </row>
    <row r="96" spans="1:9" s="20" customFormat="1" ht="12" x14ac:dyDescent="0.2">
      <c r="E96" s="29"/>
      <c r="F96" s="29"/>
      <c r="G96" s="29"/>
      <c r="H96" s="23"/>
      <c r="I96" s="23"/>
    </row>
    <row r="97" spans="1:9" s="20" customFormat="1" ht="12" x14ac:dyDescent="0.2">
      <c r="A97" s="20">
        <v>6321</v>
      </c>
      <c r="B97" s="20" t="s">
        <v>113</v>
      </c>
      <c r="C97" s="20">
        <v>9722</v>
      </c>
      <c r="D97" s="20" t="s">
        <v>154</v>
      </c>
      <c r="E97" s="29">
        <v>8</v>
      </c>
      <c r="F97" s="29"/>
      <c r="G97" s="29">
        <f t="shared" si="2"/>
        <v>8</v>
      </c>
      <c r="H97" s="23"/>
      <c r="I97" s="23"/>
    </row>
    <row r="98" spans="1:9" s="20" customFormat="1" ht="12" x14ac:dyDescent="0.2">
      <c r="A98" s="20">
        <v>7672</v>
      </c>
      <c r="B98" s="20" t="s">
        <v>156</v>
      </c>
      <c r="C98" s="20">
        <v>9669</v>
      </c>
      <c r="D98" s="20" t="s">
        <v>154</v>
      </c>
      <c r="E98" s="29">
        <v>1666</v>
      </c>
      <c r="F98" s="29"/>
      <c r="G98" s="29">
        <f t="shared" si="2"/>
        <v>1666</v>
      </c>
      <c r="H98" s="23"/>
      <c r="I98" s="23"/>
    </row>
    <row r="99" spans="1:9" s="20" customFormat="1" ht="12" x14ac:dyDescent="0.2">
      <c r="A99" s="20">
        <v>330</v>
      </c>
      <c r="B99" s="20" t="s">
        <v>165</v>
      </c>
      <c r="C99" s="20">
        <v>9680</v>
      </c>
      <c r="D99" s="20" t="s">
        <v>154</v>
      </c>
      <c r="E99" s="29">
        <v>2148</v>
      </c>
      <c r="F99" s="29"/>
      <c r="G99" s="29">
        <f t="shared" si="2"/>
        <v>2148</v>
      </c>
      <c r="H99" s="23"/>
      <c r="I99" s="23"/>
    </row>
    <row r="100" spans="1:9" s="20" customFormat="1" ht="12" x14ac:dyDescent="0.2">
      <c r="A100" s="20">
        <v>11905</v>
      </c>
      <c r="B100" s="20" t="s">
        <v>141</v>
      </c>
      <c r="C100" s="20">
        <v>9660</v>
      </c>
      <c r="D100" s="20" t="s">
        <v>154</v>
      </c>
      <c r="E100" s="29">
        <v>6650</v>
      </c>
      <c r="F100" s="29"/>
      <c r="G100" s="29">
        <f t="shared" si="2"/>
        <v>6650</v>
      </c>
      <c r="H100" s="23"/>
      <c r="I100" s="23"/>
    </row>
    <row r="101" spans="1:9" s="9" customFormat="1" x14ac:dyDescent="0.2">
      <c r="E101" s="10">
        <f>SUM(E97:E100)</f>
        <v>10472</v>
      </c>
      <c r="F101" s="10">
        <f>SUM(F97:F100)</f>
        <v>0</v>
      </c>
      <c r="G101" s="10">
        <f>SUM(G97:G100)</f>
        <v>10472</v>
      </c>
      <c r="H101" s="14">
        <v>3.77</v>
      </c>
      <c r="I101" s="27">
        <f>ROUND(G101*H101,2)</f>
        <v>39479.440000000002</v>
      </c>
    </row>
    <row r="104" spans="1:9" s="9" customFormat="1" x14ac:dyDescent="0.2">
      <c r="B104" s="9" t="s">
        <v>216</v>
      </c>
      <c r="E104" s="10">
        <f>+E101+E94+E88+E67+E43+E21</f>
        <v>-629737</v>
      </c>
      <c r="F104" s="10">
        <f>+F101+F94+F88+F67+F43+F21</f>
        <v>0</v>
      </c>
      <c r="G104" s="10">
        <f>+G101+G94+G88+G67+G43+G21</f>
        <v>-629737</v>
      </c>
      <c r="H104" s="14"/>
      <c r="I104" s="14">
        <f>+I101+I94+I88+I67+I43+I21</f>
        <v>-2367041.34</v>
      </c>
    </row>
    <row r="105" spans="1:9" s="9" customFormat="1" x14ac:dyDescent="0.2">
      <c r="E105" s="10"/>
      <c r="F105" s="10"/>
      <c r="G105" s="10"/>
      <c r="H105" s="14"/>
      <c r="I105" s="14"/>
    </row>
    <row r="107" spans="1:9" x14ac:dyDescent="0.2">
      <c r="B107" t="s">
        <v>225</v>
      </c>
      <c r="G107" s="6">
        <f>+G94+G67+G21</f>
        <v>-706715</v>
      </c>
      <c r="I107" s="13">
        <f>+I94+I67+I21</f>
        <v>-2657248.4</v>
      </c>
    </row>
    <row r="109" spans="1:9" x14ac:dyDescent="0.2">
      <c r="B109" t="s">
        <v>226</v>
      </c>
      <c r="G109" s="6">
        <f>+G101+G88+G43</f>
        <v>76978</v>
      </c>
      <c r="I109" s="13">
        <f>+I101+I88+I43</f>
        <v>290207.05999999994</v>
      </c>
    </row>
    <row r="111" spans="1:9" x14ac:dyDescent="0.2">
      <c r="B111" t="s">
        <v>227</v>
      </c>
      <c r="G111" s="6">
        <f>SUM(G107:G110)</f>
        <v>-629737</v>
      </c>
      <c r="I111" s="13">
        <f>SUM(I107:I110)</f>
        <v>-2367041.34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selection activeCell="B1" sqref="B1"/>
    </sheetView>
  </sheetViews>
  <sheetFormatPr defaultRowHeight="12.75" x14ac:dyDescent="0.2"/>
  <cols>
    <col min="1" max="1" width="6" style="20" customWidth="1"/>
    <col min="2" max="2" width="33.42578125" style="20" customWidth="1"/>
    <col min="3" max="3" width="7.85546875" style="20" customWidth="1"/>
    <col min="4" max="4" width="19.28515625" style="20" customWidth="1"/>
    <col min="5" max="5" width="10.140625" style="29" customWidth="1"/>
    <col min="6" max="6" width="7.5703125" style="6" customWidth="1"/>
    <col min="7" max="7" width="11.7109375" style="6" customWidth="1"/>
    <col min="8" max="8" width="9.140625" style="13"/>
    <col min="9" max="9" width="12.28515625" style="13" bestFit="1" customWidth="1"/>
  </cols>
  <sheetData>
    <row r="1" spans="1:9" s="9" customFormat="1" x14ac:dyDescent="0.2">
      <c r="A1" s="24" t="s">
        <v>73</v>
      </c>
      <c r="B1" s="24"/>
      <c r="C1" s="24"/>
      <c r="D1" s="24"/>
      <c r="E1" s="30"/>
      <c r="F1" s="10"/>
      <c r="G1" s="10"/>
      <c r="H1" s="14"/>
      <c r="I1" s="14"/>
    </row>
    <row r="2" spans="1:9" s="9" customFormat="1" x14ac:dyDescent="0.2">
      <c r="A2" s="31">
        <v>37073</v>
      </c>
      <c r="B2" s="24"/>
      <c r="C2" s="24"/>
      <c r="D2" s="24"/>
      <c r="E2" s="30"/>
      <c r="F2" s="10"/>
      <c r="G2" s="10"/>
      <c r="H2" s="14"/>
      <c r="I2" s="14"/>
    </row>
    <row r="3" spans="1:9" s="9" customFormat="1" x14ac:dyDescent="0.2">
      <c r="A3" s="24"/>
      <c r="B3" s="24"/>
      <c r="C3" s="24"/>
      <c r="D3" s="24"/>
      <c r="E3" s="30"/>
      <c r="F3" s="10"/>
      <c r="G3" s="10"/>
      <c r="H3" s="14"/>
      <c r="I3" s="14"/>
    </row>
    <row r="4" spans="1:9" s="1" customFormat="1" ht="40.5" customHeight="1" x14ac:dyDescent="0.2">
      <c r="A4" s="32" t="s">
        <v>0</v>
      </c>
      <c r="B4" s="32" t="s">
        <v>164</v>
      </c>
      <c r="C4" s="32" t="s">
        <v>170</v>
      </c>
      <c r="D4" s="32" t="s">
        <v>3</v>
      </c>
      <c r="E4" s="33" t="s">
        <v>4</v>
      </c>
      <c r="F4" s="33" t="s">
        <v>88</v>
      </c>
      <c r="G4" s="16" t="s">
        <v>89</v>
      </c>
      <c r="H4" s="17"/>
      <c r="I4" s="17"/>
    </row>
    <row r="5" spans="1:9" x14ac:dyDescent="0.2">
      <c r="A5" s="20">
        <v>5736</v>
      </c>
      <c r="B5" s="20" t="s">
        <v>123</v>
      </c>
      <c r="C5" s="20">
        <v>9769</v>
      </c>
      <c r="D5" s="20" t="s">
        <v>91</v>
      </c>
      <c r="E5" s="29">
        <v>-74563</v>
      </c>
      <c r="F5" s="29">
        <v>6286</v>
      </c>
      <c r="G5" s="6">
        <f t="shared" ref="G5:G71" si="0">+E5+F5</f>
        <v>-68277</v>
      </c>
    </row>
    <row r="6" spans="1:9" x14ac:dyDescent="0.2">
      <c r="A6" s="20">
        <v>11185</v>
      </c>
      <c r="B6" s="20" t="s">
        <v>119</v>
      </c>
      <c r="C6" s="20">
        <v>9781</v>
      </c>
      <c r="D6" s="20" t="s">
        <v>91</v>
      </c>
      <c r="E6" s="29">
        <v>-17667</v>
      </c>
      <c r="G6" s="6">
        <f t="shared" si="0"/>
        <v>-17667</v>
      </c>
    </row>
    <row r="7" spans="1:9" x14ac:dyDescent="0.2">
      <c r="A7" s="20">
        <v>6268</v>
      </c>
      <c r="B7" s="20" t="s">
        <v>96</v>
      </c>
      <c r="C7" s="20">
        <v>9764</v>
      </c>
      <c r="D7" s="20" t="s">
        <v>91</v>
      </c>
      <c r="E7" s="29">
        <v>31016</v>
      </c>
      <c r="F7" s="29">
        <f>-599-33-3636-431-31423-808-6286</f>
        <v>-43216</v>
      </c>
      <c r="G7" s="6">
        <f t="shared" si="0"/>
        <v>-12200</v>
      </c>
    </row>
    <row r="8" spans="1:9" x14ac:dyDescent="0.2">
      <c r="A8" s="20">
        <v>6075</v>
      </c>
      <c r="B8" s="20" t="s">
        <v>114</v>
      </c>
      <c r="C8" s="20">
        <v>9796</v>
      </c>
      <c r="D8" s="20" t="s">
        <v>91</v>
      </c>
      <c r="E8" s="29">
        <v>-12673</v>
      </c>
      <c r="F8" s="29">
        <v>3445</v>
      </c>
      <c r="G8" s="6">
        <f t="shared" si="0"/>
        <v>-9228</v>
      </c>
    </row>
    <row r="9" spans="1:9" x14ac:dyDescent="0.2">
      <c r="A9" s="20">
        <v>11516</v>
      </c>
      <c r="B9" s="20" t="s">
        <v>95</v>
      </c>
      <c r="C9" s="20">
        <v>9784</v>
      </c>
      <c r="D9" s="20" t="s">
        <v>91</v>
      </c>
      <c r="E9" s="29">
        <v>-9005</v>
      </c>
      <c r="G9" s="6">
        <f t="shared" si="0"/>
        <v>-9005</v>
      </c>
    </row>
    <row r="10" spans="1:9" x14ac:dyDescent="0.2">
      <c r="A10" s="20">
        <v>4120</v>
      </c>
      <c r="B10" s="20" t="s">
        <v>94</v>
      </c>
      <c r="C10" s="20">
        <v>9790</v>
      </c>
      <c r="D10" s="20" t="s">
        <v>91</v>
      </c>
      <c r="E10" s="29">
        <v>-8350</v>
      </c>
      <c r="G10" s="6">
        <f t="shared" si="0"/>
        <v>-8350</v>
      </c>
    </row>
    <row r="11" spans="1:9" x14ac:dyDescent="0.2">
      <c r="A11" s="20">
        <v>12907</v>
      </c>
      <c r="B11" s="20" t="s">
        <v>166</v>
      </c>
      <c r="C11" s="20">
        <v>9756</v>
      </c>
      <c r="D11" s="20" t="s">
        <v>91</v>
      </c>
      <c r="E11" s="29">
        <v>-12657</v>
      </c>
      <c r="F11" s="29">
        <f>185+5186</f>
        <v>5371</v>
      </c>
      <c r="G11" s="6">
        <f t="shared" si="0"/>
        <v>-7286</v>
      </c>
    </row>
    <row r="12" spans="1:9" x14ac:dyDescent="0.2">
      <c r="A12" s="20">
        <v>11793</v>
      </c>
      <c r="B12" s="20" t="s">
        <v>93</v>
      </c>
      <c r="C12" s="20">
        <v>9775</v>
      </c>
      <c r="D12" s="20" t="s">
        <v>91</v>
      </c>
      <c r="E12" s="29">
        <v>-50133</v>
      </c>
      <c r="F12" s="29">
        <f>24050-11438+31423</f>
        <v>44035</v>
      </c>
      <c r="G12" s="6">
        <f t="shared" si="0"/>
        <v>-6098</v>
      </c>
    </row>
    <row r="13" spans="1:9" x14ac:dyDescent="0.2">
      <c r="A13" s="20">
        <v>4084</v>
      </c>
      <c r="B13" s="20" t="s">
        <v>108</v>
      </c>
      <c r="C13" s="20">
        <v>9772</v>
      </c>
      <c r="D13" s="20" t="s">
        <v>101</v>
      </c>
      <c r="E13" s="29">
        <v>-1690</v>
      </c>
      <c r="G13" s="6">
        <f t="shared" si="0"/>
        <v>-1690</v>
      </c>
    </row>
    <row r="14" spans="1:9" x14ac:dyDescent="0.2">
      <c r="A14" s="20">
        <v>4079</v>
      </c>
      <c r="B14" s="20" t="s">
        <v>112</v>
      </c>
      <c r="C14" s="20">
        <v>9792</v>
      </c>
      <c r="D14" s="20" t="s">
        <v>91</v>
      </c>
      <c r="E14" s="29">
        <v>-1453</v>
      </c>
      <c r="G14" s="6">
        <f t="shared" si="0"/>
        <v>-1453</v>
      </c>
    </row>
    <row r="15" spans="1:9" x14ac:dyDescent="0.2">
      <c r="A15" s="20">
        <v>4175</v>
      </c>
      <c r="B15" s="20" t="s">
        <v>104</v>
      </c>
      <c r="C15" s="20">
        <v>9741</v>
      </c>
      <c r="D15" s="20" t="s">
        <v>101</v>
      </c>
      <c r="E15" s="29">
        <v>-13049</v>
      </c>
      <c r="F15" s="29">
        <v>12020</v>
      </c>
      <c r="G15" s="6">
        <f t="shared" si="0"/>
        <v>-1029</v>
      </c>
    </row>
    <row r="16" spans="1:9" x14ac:dyDescent="0.2">
      <c r="A16" s="20">
        <v>6268</v>
      </c>
      <c r="B16" s="20" t="s">
        <v>96</v>
      </c>
      <c r="C16" s="20">
        <v>9766</v>
      </c>
      <c r="D16" s="20" t="s">
        <v>101</v>
      </c>
      <c r="E16" s="29">
        <v>-1667</v>
      </c>
      <c r="F16" s="29">
        <v>1263</v>
      </c>
      <c r="G16" s="6">
        <f t="shared" si="0"/>
        <v>-404</v>
      </c>
    </row>
    <row r="17" spans="1:9" x14ac:dyDescent="0.2">
      <c r="A17" s="20">
        <v>4131</v>
      </c>
      <c r="B17" s="20" t="s">
        <v>118</v>
      </c>
      <c r="C17" s="20">
        <v>9800</v>
      </c>
      <c r="D17" s="20" t="s">
        <v>101</v>
      </c>
      <c r="E17" s="29">
        <v>-200</v>
      </c>
      <c r="G17" s="6">
        <f t="shared" si="0"/>
        <v>-200</v>
      </c>
    </row>
    <row r="18" spans="1:9" x14ac:dyDescent="0.2">
      <c r="A18" s="20">
        <v>11729</v>
      </c>
      <c r="B18" s="20" t="s">
        <v>109</v>
      </c>
      <c r="C18" s="20">
        <v>9773</v>
      </c>
      <c r="D18" s="20" t="s">
        <v>91</v>
      </c>
      <c r="E18" s="29">
        <v>-174</v>
      </c>
      <c r="G18" s="6">
        <f t="shared" si="0"/>
        <v>-174</v>
      </c>
    </row>
    <row r="19" spans="1:9" s="9" customFormat="1" x14ac:dyDescent="0.2">
      <c r="A19" s="24"/>
      <c r="B19" s="24" t="s">
        <v>217</v>
      </c>
      <c r="C19" s="24"/>
      <c r="D19" s="24"/>
      <c r="E19" s="10">
        <f>SUM(E5:E18)</f>
        <v>-172265</v>
      </c>
      <c r="F19" s="10">
        <f>SUM(F5:F18)</f>
        <v>29204</v>
      </c>
      <c r="G19" s="10">
        <f>SUM(G5:G18)</f>
        <v>-143061</v>
      </c>
      <c r="H19" s="14">
        <v>3.12</v>
      </c>
      <c r="I19" s="14">
        <f>ROUND(G19*H19,2)</f>
        <v>-446350.32</v>
      </c>
    </row>
    <row r="22" spans="1:9" x14ac:dyDescent="0.2">
      <c r="A22" s="20">
        <v>6228</v>
      </c>
      <c r="B22" s="20" t="s">
        <v>103</v>
      </c>
      <c r="C22" s="20">
        <v>9739</v>
      </c>
      <c r="D22" s="20" t="s">
        <v>91</v>
      </c>
      <c r="E22" s="29">
        <v>-808</v>
      </c>
      <c r="F22" s="29">
        <v>808</v>
      </c>
      <c r="G22" s="6">
        <f t="shared" si="0"/>
        <v>0</v>
      </c>
    </row>
    <row r="23" spans="1:9" x14ac:dyDescent="0.2">
      <c r="A23" s="20">
        <v>4175</v>
      </c>
      <c r="B23" s="20" t="s">
        <v>104</v>
      </c>
      <c r="C23" s="20">
        <v>9740</v>
      </c>
      <c r="D23" s="20" t="s">
        <v>91</v>
      </c>
      <c r="E23" s="29">
        <v>-3636</v>
      </c>
      <c r="F23" s="29">
        <v>3636</v>
      </c>
      <c r="G23" s="6">
        <f t="shared" si="0"/>
        <v>0</v>
      </c>
    </row>
    <row r="24" spans="1:9" x14ac:dyDescent="0.2">
      <c r="A24" s="20">
        <v>4179</v>
      </c>
      <c r="B24" s="20" t="s">
        <v>105</v>
      </c>
      <c r="C24" s="20">
        <v>9744</v>
      </c>
      <c r="D24" s="20" t="s">
        <v>91</v>
      </c>
      <c r="E24" s="29">
        <v>-11438</v>
      </c>
      <c r="F24" s="29">
        <v>11438</v>
      </c>
      <c r="G24" s="6">
        <f t="shared" si="0"/>
        <v>0</v>
      </c>
    </row>
    <row r="25" spans="1:9" x14ac:dyDescent="0.2">
      <c r="A25" s="20">
        <v>11687</v>
      </c>
      <c r="B25" s="20" t="s">
        <v>106</v>
      </c>
      <c r="C25" s="20">
        <v>9751</v>
      </c>
      <c r="D25" s="20" t="s">
        <v>91</v>
      </c>
      <c r="E25" s="29">
        <v>5186</v>
      </c>
      <c r="F25" s="29">
        <v>-5186</v>
      </c>
      <c r="G25" s="6">
        <f t="shared" si="0"/>
        <v>0</v>
      </c>
    </row>
    <row r="26" spans="1:9" x14ac:dyDescent="0.2">
      <c r="A26" s="20">
        <v>655</v>
      </c>
      <c r="B26" s="20" t="s">
        <v>90</v>
      </c>
      <c r="C26" s="20">
        <v>9768</v>
      </c>
      <c r="D26" s="20" t="s">
        <v>91</v>
      </c>
      <c r="E26" s="29">
        <v>-18851</v>
      </c>
      <c r="F26" s="29">
        <v>18851</v>
      </c>
      <c r="G26" s="6">
        <f t="shared" si="0"/>
        <v>0</v>
      </c>
    </row>
    <row r="27" spans="1:9" x14ac:dyDescent="0.2">
      <c r="A27" s="20">
        <v>13252</v>
      </c>
      <c r="B27" s="20" t="s">
        <v>157</v>
      </c>
      <c r="C27" s="20">
        <v>9778</v>
      </c>
      <c r="D27" s="20" t="s">
        <v>91</v>
      </c>
      <c r="E27" s="29">
        <v>-3993</v>
      </c>
      <c r="F27" s="29">
        <v>3993</v>
      </c>
      <c r="G27" s="6">
        <f t="shared" si="0"/>
        <v>0</v>
      </c>
    </row>
    <row r="28" spans="1:9" x14ac:dyDescent="0.2">
      <c r="A28" s="20">
        <v>4101</v>
      </c>
      <c r="B28" s="20" t="s">
        <v>110</v>
      </c>
      <c r="C28" s="20">
        <v>9780</v>
      </c>
      <c r="D28" s="20" t="s">
        <v>91</v>
      </c>
      <c r="E28" s="29">
        <v>42901</v>
      </c>
      <c r="F28" s="29">
        <f>-24050-18851</f>
        <v>-42901</v>
      </c>
      <c r="G28" s="6">
        <f t="shared" si="0"/>
        <v>0</v>
      </c>
    </row>
    <row r="29" spans="1:9" x14ac:dyDescent="0.2">
      <c r="A29" s="20">
        <v>11420</v>
      </c>
      <c r="B29" s="20" t="s">
        <v>97</v>
      </c>
      <c r="C29" s="20">
        <v>9782</v>
      </c>
      <c r="D29" s="20" t="s">
        <v>91</v>
      </c>
      <c r="E29" s="29">
        <v>7438</v>
      </c>
      <c r="F29" s="29">
        <f>-3445-3993</f>
        <v>-7438</v>
      </c>
      <c r="G29" s="6">
        <f t="shared" si="0"/>
        <v>0</v>
      </c>
    </row>
    <row r="30" spans="1:9" x14ac:dyDescent="0.2">
      <c r="A30" s="20">
        <v>4118</v>
      </c>
      <c r="B30" s="20" t="s">
        <v>99</v>
      </c>
      <c r="C30" s="20">
        <v>9786</v>
      </c>
      <c r="D30" s="20" t="s">
        <v>91</v>
      </c>
      <c r="E30" s="29">
        <v>185</v>
      </c>
      <c r="F30" s="29">
        <v>-185</v>
      </c>
      <c r="G30" s="6">
        <f t="shared" si="0"/>
        <v>0</v>
      </c>
    </row>
    <row r="31" spans="1:9" x14ac:dyDescent="0.2">
      <c r="A31" s="20">
        <v>2974</v>
      </c>
      <c r="B31" s="20" t="s">
        <v>111</v>
      </c>
      <c r="C31" s="20">
        <v>9787</v>
      </c>
      <c r="D31" s="20" t="s">
        <v>91</v>
      </c>
      <c r="E31" s="29">
        <v>-431</v>
      </c>
      <c r="F31" s="29">
        <v>431</v>
      </c>
      <c r="G31" s="6">
        <f t="shared" si="0"/>
        <v>0</v>
      </c>
    </row>
    <row r="32" spans="1:9" x14ac:dyDescent="0.2">
      <c r="A32" s="20">
        <v>6321</v>
      </c>
      <c r="B32" s="20" t="s">
        <v>113</v>
      </c>
      <c r="C32" s="20">
        <v>9795</v>
      </c>
      <c r="D32" s="20" t="s">
        <v>91</v>
      </c>
      <c r="E32" s="29">
        <v>-599</v>
      </c>
      <c r="F32" s="29">
        <v>599</v>
      </c>
      <c r="G32" s="6">
        <f t="shared" si="0"/>
        <v>0</v>
      </c>
    </row>
    <row r="33" spans="1:9" x14ac:dyDescent="0.2">
      <c r="A33" s="20">
        <v>4133</v>
      </c>
      <c r="B33" s="20" t="s">
        <v>116</v>
      </c>
      <c r="C33" s="20">
        <v>9802</v>
      </c>
      <c r="D33" s="20" t="s">
        <v>91</v>
      </c>
      <c r="E33" s="29">
        <v>-1994</v>
      </c>
      <c r="F33" s="29">
        <v>1994</v>
      </c>
      <c r="G33" s="6">
        <f t="shared" si="0"/>
        <v>0</v>
      </c>
    </row>
    <row r="34" spans="1:9" x14ac:dyDescent="0.2">
      <c r="A34" s="20">
        <v>4151</v>
      </c>
      <c r="B34" s="20" t="s">
        <v>195</v>
      </c>
      <c r="C34" s="20">
        <v>9807</v>
      </c>
      <c r="D34" s="20" t="s">
        <v>91</v>
      </c>
      <c r="E34" s="29">
        <v>0</v>
      </c>
      <c r="G34" s="6">
        <f t="shared" si="0"/>
        <v>0</v>
      </c>
    </row>
    <row r="35" spans="1:9" x14ac:dyDescent="0.2">
      <c r="A35" s="20">
        <v>11793</v>
      </c>
      <c r="B35" s="20" t="s">
        <v>93</v>
      </c>
      <c r="C35" s="20">
        <v>9776</v>
      </c>
      <c r="D35" s="20" t="s">
        <v>101</v>
      </c>
      <c r="E35" s="29">
        <v>-6321</v>
      </c>
      <c r="F35" s="29">
        <v>6321</v>
      </c>
      <c r="G35" s="6">
        <f t="shared" si="0"/>
        <v>0</v>
      </c>
    </row>
    <row r="36" spans="1:9" x14ac:dyDescent="0.2">
      <c r="A36" s="20">
        <v>6268</v>
      </c>
      <c r="B36" s="20" t="s">
        <v>96</v>
      </c>
      <c r="C36" s="20">
        <v>9765</v>
      </c>
      <c r="D36" s="20" t="s">
        <v>121</v>
      </c>
      <c r="E36" s="29">
        <v>-1</v>
      </c>
      <c r="F36" s="29">
        <v>33</v>
      </c>
      <c r="G36" s="6">
        <f>+E36+F36</f>
        <v>32</v>
      </c>
    </row>
    <row r="37" spans="1:9" x14ac:dyDescent="0.2">
      <c r="A37" s="20">
        <v>4131</v>
      </c>
      <c r="B37" s="20" t="s">
        <v>118</v>
      </c>
      <c r="C37" s="20">
        <v>9799</v>
      </c>
      <c r="D37" s="20" t="s">
        <v>91</v>
      </c>
      <c r="E37" s="29">
        <v>129</v>
      </c>
      <c r="G37" s="6">
        <f t="shared" si="0"/>
        <v>129</v>
      </c>
    </row>
    <row r="38" spans="1:9" x14ac:dyDescent="0.2">
      <c r="A38" s="20">
        <v>330</v>
      </c>
      <c r="B38" s="20" t="s">
        <v>165</v>
      </c>
      <c r="C38" s="20">
        <v>9759</v>
      </c>
      <c r="D38" s="20" t="s">
        <v>101</v>
      </c>
      <c r="E38" s="29">
        <v>380</v>
      </c>
      <c r="G38" s="6">
        <f t="shared" si="0"/>
        <v>380</v>
      </c>
    </row>
    <row r="39" spans="1:9" x14ac:dyDescent="0.2">
      <c r="A39" s="20">
        <v>287</v>
      </c>
      <c r="B39" s="20" t="s">
        <v>98</v>
      </c>
      <c r="C39" s="20">
        <v>9761</v>
      </c>
      <c r="D39" s="20" t="s">
        <v>91</v>
      </c>
      <c r="E39" s="29">
        <v>874</v>
      </c>
      <c r="G39" s="6">
        <f t="shared" si="0"/>
        <v>874</v>
      </c>
    </row>
    <row r="40" spans="1:9" x14ac:dyDescent="0.2">
      <c r="A40" s="20">
        <v>4084</v>
      </c>
      <c r="B40" s="20" t="s">
        <v>108</v>
      </c>
      <c r="C40" s="20">
        <v>9771</v>
      </c>
      <c r="D40" s="20" t="s">
        <v>91</v>
      </c>
      <c r="E40" s="29">
        <v>2887</v>
      </c>
      <c r="F40" s="29">
        <v>-1994</v>
      </c>
      <c r="G40" s="6">
        <f t="shared" si="0"/>
        <v>893</v>
      </c>
    </row>
    <row r="41" spans="1:9" x14ac:dyDescent="0.2">
      <c r="A41" s="20">
        <v>2974</v>
      </c>
      <c r="B41" s="20" t="s">
        <v>111</v>
      </c>
      <c r="C41" s="20">
        <v>9788</v>
      </c>
      <c r="D41" s="20" t="s">
        <v>101</v>
      </c>
      <c r="E41" s="29">
        <v>1029</v>
      </c>
      <c r="G41" s="6">
        <f t="shared" si="0"/>
        <v>1029</v>
      </c>
    </row>
    <row r="42" spans="1:9" x14ac:dyDescent="0.2">
      <c r="A42" s="20">
        <v>4109</v>
      </c>
      <c r="B42" s="20" t="s">
        <v>92</v>
      </c>
      <c r="C42" s="20">
        <v>9804</v>
      </c>
      <c r="D42" s="20" t="s">
        <v>91</v>
      </c>
      <c r="E42" s="29">
        <v>5192</v>
      </c>
      <c r="G42" s="6">
        <f t="shared" si="0"/>
        <v>5192</v>
      </c>
    </row>
    <row r="43" spans="1:9" x14ac:dyDescent="0.2">
      <c r="A43" s="20">
        <v>3974</v>
      </c>
      <c r="B43" s="20" t="s">
        <v>115</v>
      </c>
      <c r="C43" s="20">
        <v>9798</v>
      </c>
      <c r="D43" s="20" t="s">
        <v>91</v>
      </c>
      <c r="E43" s="29">
        <v>7563</v>
      </c>
      <c r="G43" s="6">
        <f t="shared" si="0"/>
        <v>7563</v>
      </c>
    </row>
    <row r="44" spans="1:9" x14ac:dyDescent="0.2">
      <c r="A44" s="20">
        <v>4120</v>
      </c>
      <c r="B44" s="20" t="s">
        <v>94</v>
      </c>
      <c r="C44" s="20">
        <v>9791</v>
      </c>
      <c r="D44" s="20" t="s">
        <v>101</v>
      </c>
      <c r="E44" s="29">
        <v>33039</v>
      </c>
      <c r="F44" s="29">
        <f>-6321-12020</f>
        <v>-18341</v>
      </c>
      <c r="G44" s="6">
        <f t="shared" si="0"/>
        <v>14698</v>
      </c>
    </row>
    <row r="45" spans="1:9" s="9" customFormat="1" x14ac:dyDescent="0.2">
      <c r="A45" s="24"/>
      <c r="B45" s="24" t="s">
        <v>218</v>
      </c>
      <c r="C45" s="24"/>
      <c r="D45" s="24"/>
      <c r="E45" s="10">
        <f>SUM(E22:E44)</f>
        <v>58731</v>
      </c>
      <c r="F45" s="10">
        <f>SUM(F22:F44)</f>
        <v>-27941</v>
      </c>
      <c r="G45" s="10">
        <f>SUM(G22:G44)</f>
        <v>30790</v>
      </c>
      <c r="H45" s="14">
        <v>3.17</v>
      </c>
      <c r="I45" s="14">
        <f>ROUND(G45*H45,2)</f>
        <v>97604.3</v>
      </c>
    </row>
    <row r="47" spans="1:9" s="9" customFormat="1" x14ac:dyDescent="0.2">
      <c r="A47" s="24"/>
      <c r="B47" s="24" t="s">
        <v>182</v>
      </c>
      <c r="C47" s="24"/>
      <c r="D47" s="24"/>
      <c r="E47" s="30"/>
      <c r="F47" s="10"/>
      <c r="G47" s="10">
        <f>+G45+G19</f>
        <v>-112271</v>
      </c>
      <c r="H47" s="14"/>
      <c r="I47" s="14"/>
    </row>
    <row r="48" spans="1:9" s="9" customFormat="1" x14ac:dyDescent="0.2">
      <c r="A48" s="24"/>
      <c r="B48" s="24"/>
      <c r="C48" s="24"/>
      <c r="D48" s="24"/>
      <c r="E48" s="30"/>
      <c r="F48" s="10"/>
      <c r="G48" s="10"/>
      <c r="H48" s="14"/>
      <c r="I48" s="14"/>
    </row>
    <row r="49" spans="1:9" s="9" customFormat="1" x14ac:dyDescent="0.2">
      <c r="A49" s="24"/>
      <c r="B49" s="24" t="s">
        <v>196</v>
      </c>
      <c r="C49" s="24"/>
      <c r="D49" s="24"/>
      <c r="E49" s="30"/>
      <c r="F49" s="10"/>
      <c r="G49" s="10">
        <v>-210403</v>
      </c>
      <c r="H49" s="14"/>
      <c r="I49" s="14"/>
    </row>
    <row r="50" spans="1:9" s="9" customFormat="1" x14ac:dyDescent="0.2">
      <c r="A50" s="24"/>
      <c r="B50" s="24" t="s">
        <v>197</v>
      </c>
      <c r="C50" s="24"/>
      <c r="D50" s="24"/>
      <c r="E50" s="30"/>
      <c r="F50" s="10"/>
      <c r="G50" s="10">
        <v>11245</v>
      </c>
      <c r="H50" s="14"/>
      <c r="I50" s="14"/>
    </row>
    <row r="51" spans="1:9" s="9" customFormat="1" x14ac:dyDescent="0.2">
      <c r="A51" s="24"/>
      <c r="B51" s="24" t="s">
        <v>198</v>
      </c>
      <c r="C51" s="24"/>
      <c r="D51" s="24"/>
      <c r="E51" s="30"/>
      <c r="F51" s="10"/>
      <c r="G51" s="10">
        <f>+G47-G49-G50</f>
        <v>86887</v>
      </c>
      <c r="H51" s="14"/>
      <c r="I51" s="14"/>
    </row>
    <row r="58" spans="1:9" x14ac:dyDescent="0.2">
      <c r="A58" s="20">
        <v>1455</v>
      </c>
      <c r="B58" s="20" t="s">
        <v>129</v>
      </c>
      <c r="C58" s="20">
        <v>9743</v>
      </c>
      <c r="D58" s="20" t="s">
        <v>127</v>
      </c>
      <c r="E58" s="29">
        <v>-16329</v>
      </c>
      <c r="G58" s="6">
        <f t="shared" si="0"/>
        <v>-16329</v>
      </c>
    </row>
    <row r="59" spans="1:9" x14ac:dyDescent="0.2">
      <c r="A59" s="20">
        <v>3974</v>
      </c>
      <c r="B59" s="20" t="s">
        <v>115</v>
      </c>
      <c r="C59" s="20">
        <v>9797</v>
      </c>
      <c r="D59" s="20" t="s">
        <v>127</v>
      </c>
      <c r="E59" s="29">
        <v>-626</v>
      </c>
      <c r="G59" s="6">
        <f t="shared" si="0"/>
        <v>-626</v>
      </c>
    </row>
    <row r="60" spans="1:9" x14ac:dyDescent="0.2">
      <c r="A60" s="20">
        <v>526</v>
      </c>
      <c r="B60" s="20" t="s">
        <v>200</v>
      </c>
      <c r="C60" s="20">
        <v>9760</v>
      </c>
      <c r="D60" s="20" t="s">
        <v>127</v>
      </c>
      <c r="E60" s="29">
        <v>-300</v>
      </c>
      <c r="G60" s="6">
        <f t="shared" si="0"/>
        <v>-300</v>
      </c>
    </row>
    <row r="61" spans="1:9" s="9" customFormat="1" x14ac:dyDescent="0.2">
      <c r="A61" s="24"/>
      <c r="B61" s="24"/>
      <c r="C61" s="24"/>
      <c r="D61" s="24"/>
      <c r="E61" s="10">
        <f>SUM(E58:E60)</f>
        <v>-17255</v>
      </c>
      <c r="F61" s="10">
        <f>SUM(F58:F60)</f>
        <v>0</v>
      </c>
      <c r="G61" s="10">
        <f>SUM(G58:G60)</f>
        <v>-17255</v>
      </c>
      <c r="H61" s="14">
        <v>3.12</v>
      </c>
      <c r="I61" s="14">
        <f>ROUND(G61*H61,2)</f>
        <v>-53835.6</v>
      </c>
    </row>
    <row r="64" spans="1:9" x14ac:dyDescent="0.2">
      <c r="A64" s="20">
        <v>11533</v>
      </c>
      <c r="B64" s="20" t="s">
        <v>185</v>
      </c>
      <c r="C64" s="20">
        <v>9734</v>
      </c>
      <c r="D64" s="20" t="s">
        <v>127</v>
      </c>
      <c r="E64" s="29">
        <v>2784</v>
      </c>
      <c r="F64" s="29">
        <v>-2784</v>
      </c>
      <c r="G64" s="6">
        <f t="shared" si="0"/>
        <v>0</v>
      </c>
    </row>
    <row r="65" spans="1:7" x14ac:dyDescent="0.2">
      <c r="A65" s="20">
        <v>11687</v>
      </c>
      <c r="B65" s="20" t="s">
        <v>106</v>
      </c>
      <c r="C65" s="20">
        <v>9749</v>
      </c>
      <c r="D65" s="20" t="s">
        <v>127</v>
      </c>
      <c r="E65" s="29">
        <v>-12938</v>
      </c>
      <c r="F65" s="29">
        <v>12938</v>
      </c>
      <c r="G65" s="6">
        <f t="shared" si="0"/>
        <v>0</v>
      </c>
    </row>
    <row r="66" spans="1:7" x14ac:dyDescent="0.2">
      <c r="A66" s="20">
        <v>330</v>
      </c>
      <c r="B66" s="20" t="s">
        <v>165</v>
      </c>
      <c r="C66" s="20">
        <v>9757</v>
      </c>
      <c r="D66" s="20" t="s">
        <v>127</v>
      </c>
      <c r="E66" s="29">
        <v>-13484</v>
      </c>
      <c r="F66" s="6">
        <f>13484</f>
        <v>13484</v>
      </c>
      <c r="G66" s="6">
        <f t="shared" si="0"/>
        <v>0</v>
      </c>
    </row>
    <row r="67" spans="1:7" x14ac:dyDescent="0.2">
      <c r="A67" s="20">
        <v>11793</v>
      </c>
      <c r="B67" s="20" t="s">
        <v>93</v>
      </c>
      <c r="C67" s="20">
        <v>9774</v>
      </c>
      <c r="D67" s="20" t="s">
        <v>127</v>
      </c>
      <c r="E67" s="29">
        <v>-16582</v>
      </c>
      <c r="F67" s="29">
        <v>16582</v>
      </c>
      <c r="G67" s="6">
        <f t="shared" si="0"/>
        <v>0</v>
      </c>
    </row>
    <row r="68" spans="1:7" x14ac:dyDescent="0.2">
      <c r="A68" s="20">
        <v>4086</v>
      </c>
      <c r="B68" s="20" t="s">
        <v>203</v>
      </c>
      <c r="C68" s="20">
        <v>9777</v>
      </c>
      <c r="D68" s="20" t="s">
        <v>127</v>
      </c>
      <c r="E68" s="29">
        <v>1</v>
      </c>
      <c r="F68" s="29">
        <v>-1</v>
      </c>
      <c r="G68" s="6">
        <f t="shared" si="0"/>
        <v>0</v>
      </c>
    </row>
    <row r="69" spans="1:7" x14ac:dyDescent="0.2">
      <c r="A69" s="20">
        <v>4118</v>
      </c>
      <c r="B69" s="20" t="s">
        <v>99</v>
      </c>
      <c r="C69" s="20">
        <v>9785</v>
      </c>
      <c r="D69" s="20" t="s">
        <v>127</v>
      </c>
      <c r="E69" s="29">
        <v>3977</v>
      </c>
      <c r="F69" s="29">
        <v>-3977</v>
      </c>
      <c r="G69" s="6">
        <f t="shared" si="0"/>
        <v>0</v>
      </c>
    </row>
    <row r="70" spans="1:7" x14ac:dyDescent="0.2">
      <c r="A70" s="20">
        <v>12673</v>
      </c>
      <c r="B70" s="20" t="s">
        <v>134</v>
      </c>
      <c r="C70" s="20">
        <v>9733</v>
      </c>
      <c r="D70" s="20" t="s">
        <v>127</v>
      </c>
      <c r="E70" s="29">
        <v>1</v>
      </c>
      <c r="G70" s="6">
        <f>+E70+F70</f>
        <v>1</v>
      </c>
    </row>
    <row r="71" spans="1:7" x14ac:dyDescent="0.2">
      <c r="A71" s="20">
        <v>6268</v>
      </c>
      <c r="B71" s="20" t="s">
        <v>96</v>
      </c>
      <c r="C71" s="20">
        <v>9763</v>
      </c>
      <c r="D71" s="20" t="s">
        <v>127</v>
      </c>
      <c r="E71" s="29">
        <v>49</v>
      </c>
      <c r="F71" s="29">
        <f>-22-15-11</f>
        <v>-48</v>
      </c>
      <c r="G71" s="6">
        <f t="shared" si="0"/>
        <v>1</v>
      </c>
    </row>
    <row r="72" spans="1:7" x14ac:dyDescent="0.2">
      <c r="A72" s="20">
        <v>4122</v>
      </c>
      <c r="B72" s="20" t="s">
        <v>143</v>
      </c>
      <c r="C72" s="20">
        <v>9738</v>
      </c>
      <c r="D72" s="20" t="s">
        <v>127</v>
      </c>
      <c r="E72" s="29">
        <v>2</v>
      </c>
      <c r="G72" s="6">
        <f t="shared" ref="G72:G89" si="1">+E72+F72</f>
        <v>2</v>
      </c>
    </row>
    <row r="73" spans="1:7" x14ac:dyDescent="0.2">
      <c r="A73" s="20">
        <v>4101</v>
      </c>
      <c r="B73" s="20" t="s">
        <v>110</v>
      </c>
      <c r="C73" s="20">
        <v>9779</v>
      </c>
      <c r="D73" s="20" t="s">
        <v>127</v>
      </c>
      <c r="E73" s="29">
        <v>6</v>
      </c>
      <c r="G73" s="6">
        <f t="shared" si="1"/>
        <v>6</v>
      </c>
    </row>
    <row r="74" spans="1:7" x14ac:dyDescent="0.2">
      <c r="A74" s="20">
        <v>4084</v>
      </c>
      <c r="B74" s="20" t="s">
        <v>108</v>
      </c>
      <c r="C74" s="20">
        <v>9770</v>
      </c>
      <c r="D74" s="20" t="s">
        <v>127</v>
      </c>
      <c r="E74" s="29">
        <v>8</v>
      </c>
      <c r="G74" s="6">
        <f t="shared" si="1"/>
        <v>8</v>
      </c>
    </row>
    <row r="75" spans="1:7" x14ac:dyDescent="0.2">
      <c r="A75" s="20">
        <v>7834</v>
      </c>
      <c r="B75" s="20" t="s">
        <v>160</v>
      </c>
      <c r="C75" s="20">
        <v>9737</v>
      </c>
      <c r="D75" s="20" t="s">
        <v>127</v>
      </c>
      <c r="E75" s="29">
        <v>3</v>
      </c>
      <c r="F75" s="29">
        <v>15</v>
      </c>
      <c r="G75" s="6">
        <f t="shared" si="1"/>
        <v>18</v>
      </c>
    </row>
    <row r="76" spans="1:7" x14ac:dyDescent="0.2">
      <c r="A76" s="20">
        <v>11611</v>
      </c>
      <c r="B76" s="20" t="s">
        <v>147</v>
      </c>
      <c r="C76" s="20">
        <v>9748</v>
      </c>
      <c r="D76" s="20" t="s">
        <v>127</v>
      </c>
      <c r="E76" s="29">
        <v>20</v>
      </c>
      <c r="G76" s="6">
        <f t="shared" si="1"/>
        <v>20</v>
      </c>
    </row>
    <row r="77" spans="1:7" x14ac:dyDescent="0.2">
      <c r="A77" s="20">
        <v>5544</v>
      </c>
      <c r="B77" s="20" t="s">
        <v>201</v>
      </c>
      <c r="C77" s="35" t="s">
        <v>202</v>
      </c>
      <c r="D77" s="20" t="s">
        <v>127</v>
      </c>
      <c r="E77" s="29">
        <v>0</v>
      </c>
      <c r="F77" s="6">
        <f>22+1</f>
        <v>23</v>
      </c>
      <c r="G77" s="6">
        <f t="shared" si="1"/>
        <v>23</v>
      </c>
    </row>
    <row r="78" spans="1:7" x14ac:dyDescent="0.2">
      <c r="A78" s="20">
        <v>13306</v>
      </c>
      <c r="B78" s="20" t="s">
        <v>199</v>
      </c>
      <c r="C78" s="20">
        <v>9747</v>
      </c>
      <c r="D78" s="20" t="s">
        <v>127</v>
      </c>
      <c r="E78" s="29">
        <v>35</v>
      </c>
      <c r="G78" s="6">
        <f t="shared" si="1"/>
        <v>35</v>
      </c>
    </row>
    <row r="79" spans="1:7" x14ac:dyDescent="0.2">
      <c r="A79" s="20">
        <v>655</v>
      </c>
      <c r="B79" s="20" t="s">
        <v>90</v>
      </c>
      <c r="C79" s="20">
        <v>9767</v>
      </c>
      <c r="D79" s="20" t="s">
        <v>127</v>
      </c>
      <c r="E79" s="29">
        <v>85</v>
      </c>
      <c r="G79" s="6">
        <f t="shared" si="1"/>
        <v>85</v>
      </c>
    </row>
    <row r="80" spans="1:7" x14ac:dyDescent="0.2">
      <c r="A80" s="20">
        <v>11893</v>
      </c>
      <c r="B80" s="20" t="s">
        <v>131</v>
      </c>
      <c r="C80" s="20">
        <v>9806</v>
      </c>
      <c r="D80" s="20" t="s">
        <v>127</v>
      </c>
      <c r="E80" s="29">
        <v>293</v>
      </c>
      <c r="G80" s="6">
        <f t="shared" si="1"/>
        <v>293</v>
      </c>
    </row>
    <row r="81" spans="1:9" x14ac:dyDescent="0.2">
      <c r="A81" s="20">
        <v>11641</v>
      </c>
      <c r="B81" s="20" t="s">
        <v>133</v>
      </c>
      <c r="C81" s="20">
        <v>9742</v>
      </c>
      <c r="D81" s="20" t="s">
        <v>127</v>
      </c>
      <c r="E81" s="29">
        <v>317</v>
      </c>
      <c r="F81" s="29">
        <v>11</v>
      </c>
      <c r="G81" s="6">
        <f t="shared" si="1"/>
        <v>328</v>
      </c>
    </row>
    <row r="82" spans="1:9" x14ac:dyDescent="0.2">
      <c r="A82" s="20">
        <v>4120</v>
      </c>
      <c r="B82" s="20" t="s">
        <v>94</v>
      </c>
      <c r="C82" s="20">
        <v>9789</v>
      </c>
      <c r="D82" s="20" t="s">
        <v>127</v>
      </c>
      <c r="E82" s="29">
        <v>613</v>
      </c>
      <c r="G82" s="6">
        <f t="shared" si="1"/>
        <v>613</v>
      </c>
    </row>
    <row r="83" spans="1:9" x14ac:dyDescent="0.2">
      <c r="A83" s="20">
        <v>4997</v>
      </c>
      <c r="B83" s="20" t="s">
        <v>132</v>
      </c>
      <c r="C83" s="20">
        <v>9752</v>
      </c>
      <c r="D83" s="20" t="s">
        <v>127</v>
      </c>
      <c r="E83" s="29">
        <v>1039</v>
      </c>
      <c r="G83" s="6">
        <f t="shared" si="1"/>
        <v>1039</v>
      </c>
    </row>
    <row r="84" spans="1:9" x14ac:dyDescent="0.2">
      <c r="A84" s="20">
        <v>11340</v>
      </c>
      <c r="B84" s="20" t="s">
        <v>190</v>
      </c>
      <c r="C84" s="20">
        <v>9805</v>
      </c>
      <c r="D84" s="20" t="s">
        <v>127</v>
      </c>
      <c r="E84" s="29">
        <v>1500</v>
      </c>
      <c r="G84" s="6">
        <f t="shared" si="1"/>
        <v>1500</v>
      </c>
    </row>
    <row r="85" spans="1:9" x14ac:dyDescent="0.2">
      <c r="A85" s="20">
        <v>4109</v>
      </c>
      <c r="B85" s="20" t="s">
        <v>92</v>
      </c>
      <c r="C85" s="20">
        <v>9803</v>
      </c>
      <c r="D85" s="20" t="s">
        <v>127</v>
      </c>
      <c r="E85" s="29">
        <v>3291</v>
      </c>
      <c r="G85" s="6">
        <f t="shared" si="1"/>
        <v>3291</v>
      </c>
    </row>
    <row r="86" spans="1:9" x14ac:dyDescent="0.2">
      <c r="A86" s="20">
        <v>7672</v>
      </c>
      <c r="B86" s="20" t="s">
        <v>156</v>
      </c>
      <c r="C86" s="20">
        <v>9745</v>
      </c>
      <c r="D86" s="20" t="s">
        <v>127</v>
      </c>
      <c r="E86" s="29">
        <v>3530</v>
      </c>
      <c r="G86" s="6">
        <f t="shared" si="1"/>
        <v>3530</v>
      </c>
    </row>
    <row r="87" spans="1:9" x14ac:dyDescent="0.2">
      <c r="A87" s="20">
        <v>11145</v>
      </c>
      <c r="B87" s="20" t="s">
        <v>153</v>
      </c>
      <c r="C87" s="20">
        <v>9783</v>
      </c>
      <c r="D87" s="20" t="s">
        <v>127</v>
      </c>
      <c r="E87" s="29">
        <v>3967</v>
      </c>
      <c r="G87" s="6">
        <f t="shared" si="1"/>
        <v>3967</v>
      </c>
    </row>
    <row r="88" spans="1:9" x14ac:dyDescent="0.2">
      <c r="A88" s="20">
        <v>12907</v>
      </c>
      <c r="B88" s="20" t="s">
        <v>166</v>
      </c>
      <c r="C88" s="20">
        <v>9754</v>
      </c>
      <c r="D88" s="20" t="s">
        <v>127</v>
      </c>
      <c r="E88" s="29">
        <v>56690</v>
      </c>
      <c r="F88" s="29">
        <f>-16582-12938-13484</f>
        <v>-43004</v>
      </c>
      <c r="G88" s="6">
        <f t="shared" si="1"/>
        <v>13686</v>
      </c>
    </row>
    <row r="89" spans="1:9" x14ac:dyDescent="0.2">
      <c r="A89" s="20">
        <v>6321</v>
      </c>
      <c r="B89" s="20" t="s">
        <v>113</v>
      </c>
      <c r="C89" s="20">
        <v>9793</v>
      </c>
      <c r="D89" s="20" t="s">
        <v>127</v>
      </c>
      <c r="E89" s="29">
        <v>31657</v>
      </c>
      <c r="F89" s="29">
        <f>2784+3977-1263-4084</f>
        <v>1414</v>
      </c>
      <c r="G89" s="6">
        <f t="shared" si="1"/>
        <v>33071</v>
      </c>
    </row>
    <row r="90" spans="1:9" s="9" customFormat="1" x14ac:dyDescent="0.2">
      <c r="A90" s="24"/>
      <c r="B90" s="24"/>
      <c r="C90" s="24"/>
      <c r="D90" s="24"/>
      <c r="E90" s="10">
        <f>SUM(E64:E89)</f>
        <v>66864</v>
      </c>
      <c r="F90" s="10">
        <f>SUM(F64:F89)</f>
        <v>-5347</v>
      </c>
      <c r="G90" s="10">
        <f>SUM(G64:G89)</f>
        <v>61517</v>
      </c>
      <c r="H90" s="14">
        <v>3.17</v>
      </c>
      <c r="I90" s="14">
        <f>ROUND(G90*H90,2)</f>
        <v>195008.89</v>
      </c>
    </row>
    <row r="93" spans="1:9" x14ac:dyDescent="0.2">
      <c r="A93" s="20">
        <v>6321</v>
      </c>
      <c r="B93" s="20" t="s">
        <v>113</v>
      </c>
      <c r="C93" s="20">
        <v>9794</v>
      </c>
      <c r="D93" s="20" t="s">
        <v>154</v>
      </c>
      <c r="E93" s="29">
        <v>614</v>
      </c>
      <c r="F93" s="29">
        <f>-614-33071</f>
        <v>-33685</v>
      </c>
      <c r="G93" s="6">
        <f t="shared" ref="G93:G104" si="2">+E93+F93</f>
        <v>-33071</v>
      </c>
    </row>
    <row r="94" spans="1:9" x14ac:dyDescent="0.2">
      <c r="A94" s="20">
        <v>11905</v>
      </c>
      <c r="B94" s="20" t="s">
        <v>141</v>
      </c>
      <c r="C94" s="20">
        <v>9736</v>
      </c>
      <c r="D94" s="20" t="s">
        <v>154</v>
      </c>
      <c r="E94" s="29">
        <v>-7998</v>
      </c>
      <c r="F94" s="29">
        <v>4084</v>
      </c>
      <c r="G94" s="6">
        <f t="shared" si="2"/>
        <v>-3914</v>
      </c>
    </row>
    <row r="95" spans="1:9" x14ac:dyDescent="0.2">
      <c r="A95" s="20">
        <v>11687</v>
      </c>
      <c r="B95" s="20" t="s">
        <v>106</v>
      </c>
      <c r="C95" s="20">
        <v>9750</v>
      </c>
      <c r="D95" s="20" t="s">
        <v>154</v>
      </c>
      <c r="E95" s="29">
        <v>-1899</v>
      </c>
      <c r="G95" s="6">
        <f t="shared" si="2"/>
        <v>-1899</v>
      </c>
    </row>
    <row r="96" spans="1:9" x14ac:dyDescent="0.2">
      <c r="A96" s="20">
        <v>4997</v>
      </c>
      <c r="B96" s="20" t="s">
        <v>132</v>
      </c>
      <c r="C96" s="20">
        <v>9753</v>
      </c>
      <c r="D96" s="20" t="s">
        <v>154</v>
      </c>
      <c r="E96" s="29">
        <v>-1275</v>
      </c>
      <c r="G96" s="6">
        <f t="shared" si="2"/>
        <v>-1275</v>
      </c>
    </row>
    <row r="97" spans="1:9" x14ac:dyDescent="0.2">
      <c r="A97" s="20">
        <v>11821</v>
      </c>
      <c r="B97" s="20" t="s">
        <v>155</v>
      </c>
      <c r="C97" s="20">
        <v>9801</v>
      </c>
      <c r="D97" s="20" t="s">
        <v>154</v>
      </c>
      <c r="E97" s="29">
        <v>-14</v>
      </c>
      <c r="G97" s="6">
        <f t="shared" si="2"/>
        <v>-14</v>
      </c>
    </row>
    <row r="98" spans="1:9" s="9" customFormat="1" x14ac:dyDescent="0.2">
      <c r="A98" s="24"/>
      <c r="B98" s="24"/>
      <c r="C98" s="24"/>
      <c r="D98" s="24"/>
      <c r="E98" s="10">
        <f>SUM(E93:E97)</f>
        <v>-10572</v>
      </c>
      <c r="F98" s="10">
        <f>SUM(F93:F97)</f>
        <v>-29601</v>
      </c>
      <c r="G98" s="10">
        <f>SUM(G93:G97)</f>
        <v>-40173</v>
      </c>
      <c r="H98" s="14">
        <v>3.12</v>
      </c>
      <c r="I98" s="14">
        <f>ROUND(G98*H98,2)</f>
        <v>-125339.76</v>
      </c>
    </row>
    <row r="101" spans="1:9" x14ac:dyDescent="0.2">
      <c r="A101" s="20">
        <v>11533</v>
      </c>
      <c r="B101" s="20" t="s">
        <v>185</v>
      </c>
      <c r="C101" s="20">
        <v>9735</v>
      </c>
      <c r="D101" s="20" t="s">
        <v>154</v>
      </c>
      <c r="E101" s="29">
        <v>-33685</v>
      </c>
      <c r="F101" s="29">
        <f>614+33071</f>
        <v>33685</v>
      </c>
      <c r="G101" s="6">
        <f t="shared" si="2"/>
        <v>0</v>
      </c>
    </row>
    <row r="102" spans="1:9" x14ac:dyDescent="0.2">
      <c r="A102" s="20">
        <v>330</v>
      </c>
      <c r="B102" s="20" t="s">
        <v>165</v>
      </c>
      <c r="C102" s="20">
        <v>9758</v>
      </c>
      <c r="D102" s="20" t="s">
        <v>154</v>
      </c>
      <c r="E102" s="29">
        <v>1504</v>
      </c>
      <c r="G102" s="6">
        <f t="shared" si="2"/>
        <v>1504</v>
      </c>
    </row>
    <row r="103" spans="1:9" x14ac:dyDescent="0.2">
      <c r="A103" s="20">
        <v>12907</v>
      </c>
      <c r="B103" s="20" t="s">
        <v>166</v>
      </c>
      <c r="C103" s="20">
        <v>9755</v>
      </c>
      <c r="D103" s="20" t="s">
        <v>154</v>
      </c>
      <c r="E103" s="29">
        <v>18204</v>
      </c>
      <c r="G103" s="6">
        <f t="shared" si="2"/>
        <v>18204</v>
      </c>
    </row>
    <row r="104" spans="1:9" x14ac:dyDescent="0.2">
      <c r="A104" s="20">
        <v>7672</v>
      </c>
      <c r="B104" s="20" t="s">
        <v>156</v>
      </c>
      <c r="C104" s="20">
        <v>9746</v>
      </c>
      <c r="D104" s="20" t="s">
        <v>154</v>
      </c>
      <c r="E104" s="29">
        <v>28000</v>
      </c>
      <c r="G104" s="6">
        <f t="shared" si="2"/>
        <v>28000</v>
      </c>
    </row>
    <row r="105" spans="1:9" s="9" customFormat="1" x14ac:dyDescent="0.2">
      <c r="A105" s="24"/>
      <c r="B105" s="24"/>
      <c r="C105" s="24"/>
      <c r="D105" s="24"/>
      <c r="E105" s="30">
        <f>SUM(E101:E104)</f>
        <v>14023</v>
      </c>
      <c r="F105" s="30">
        <f>SUM(F101:F104)</f>
        <v>33685</v>
      </c>
      <c r="G105" s="30">
        <f>SUM(G101:G104)</f>
        <v>47708</v>
      </c>
      <c r="H105" s="14">
        <v>3.17</v>
      </c>
      <c r="I105" s="14">
        <f>ROUND(G105*H105,2)</f>
        <v>151234.35999999999</v>
      </c>
    </row>
    <row r="108" spans="1:9" s="9" customFormat="1" x14ac:dyDescent="0.2">
      <c r="A108" s="24"/>
      <c r="B108" s="24" t="s">
        <v>216</v>
      </c>
      <c r="C108" s="24"/>
      <c r="D108" s="24"/>
      <c r="E108" s="30">
        <f>+E105+E98+E90+E61+E45+E19</f>
        <v>-60474</v>
      </c>
      <c r="F108" s="30">
        <f>+F105+F98+F90+F61+F45+F19</f>
        <v>0</v>
      </c>
      <c r="G108" s="30">
        <f>+G105+G98+G90+G61+G45+G19</f>
        <v>-60474</v>
      </c>
      <c r="H108" s="14"/>
      <c r="I108" s="27">
        <f>+I105+I98+I90+I61+I45+I19</f>
        <v>-181678.13</v>
      </c>
    </row>
    <row r="109" spans="1:9" s="9" customFormat="1" x14ac:dyDescent="0.2">
      <c r="A109" s="24"/>
      <c r="C109" s="24"/>
      <c r="D109" s="24"/>
      <c r="E109" s="30"/>
      <c r="F109" s="30"/>
      <c r="G109" s="30"/>
      <c r="H109" s="14"/>
      <c r="I109" s="14"/>
    </row>
    <row r="111" spans="1:9" x14ac:dyDescent="0.2">
      <c r="B111" s="20" t="s">
        <v>225</v>
      </c>
      <c r="G111" s="6">
        <f>+G98+G61+G19</f>
        <v>-200489</v>
      </c>
      <c r="I111" s="13">
        <f>+I98+I61+I19</f>
        <v>-625525.67999999993</v>
      </c>
    </row>
    <row r="113" spans="2:9" x14ac:dyDescent="0.2">
      <c r="B113" s="20" t="s">
        <v>226</v>
      </c>
      <c r="G113" s="6">
        <f>+G105+G90+G45</f>
        <v>140015</v>
      </c>
      <c r="I113" s="13">
        <f>+I105+I90+I45</f>
        <v>443847.55</v>
      </c>
    </row>
    <row r="115" spans="2:9" x14ac:dyDescent="0.2">
      <c r="B115" s="20" t="s">
        <v>227</v>
      </c>
      <c r="G115" s="6">
        <f>SUM(G111:G114)</f>
        <v>-60474</v>
      </c>
      <c r="I115" s="13">
        <f>SUM(I111:I114)</f>
        <v>-181678.12999999995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A106" sqref="A106:IV106"/>
    </sheetView>
  </sheetViews>
  <sheetFormatPr defaultRowHeight="12.75" x14ac:dyDescent="0.2"/>
  <cols>
    <col min="1" max="1" width="7.28515625" customWidth="1"/>
    <col min="2" max="2" width="36.85546875" customWidth="1"/>
    <col min="3" max="3" width="7.5703125" customWidth="1"/>
    <col min="4" max="4" width="21.42578125" customWidth="1"/>
    <col min="5" max="5" width="10.28515625" style="6" customWidth="1"/>
    <col min="6" max="6" width="10.140625" style="6" customWidth="1"/>
    <col min="7" max="7" width="11.28515625" style="6" customWidth="1"/>
    <col min="8" max="8" width="9.140625" style="13"/>
    <col min="9" max="9" width="14" style="13" bestFit="1" customWidth="1"/>
  </cols>
  <sheetData>
    <row r="1" spans="1:9" s="9" customFormat="1" ht="15.75" customHeight="1" x14ac:dyDescent="0.25">
      <c r="A1" s="9" t="s">
        <v>73</v>
      </c>
      <c r="B1" s="36"/>
      <c r="D1" s="36"/>
      <c r="E1" s="37"/>
      <c r="F1" s="10"/>
      <c r="G1" s="10"/>
      <c r="H1" s="14"/>
      <c r="I1" s="14"/>
    </row>
    <row r="2" spans="1:9" s="9" customFormat="1" ht="15.75" customHeight="1" x14ac:dyDescent="0.25">
      <c r="A2" s="15">
        <v>37104</v>
      </c>
      <c r="B2" s="36"/>
      <c r="D2" s="36"/>
      <c r="E2" s="37"/>
      <c r="F2" s="10"/>
      <c r="G2" s="10"/>
      <c r="H2" s="14"/>
      <c r="I2" s="14"/>
    </row>
    <row r="3" spans="1:9" s="9" customFormat="1" ht="15.75" customHeight="1" x14ac:dyDescent="0.25">
      <c r="B3" s="36"/>
      <c r="D3" s="36"/>
      <c r="E3" s="37"/>
      <c r="F3" s="10"/>
      <c r="G3" s="38"/>
      <c r="H3" s="14"/>
      <c r="I3" s="14"/>
    </row>
    <row r="4" spans="1:9" s="42" customFormat="1" ht="37.5" customHeight="1" x14ac:dyDescent="0.2">
      <c r="A4" s="39" t="s">
        <v>204</v>
      </c>
      <c r="B4" s="39" t="s">
        <v>164</v>
      </c>
      <c r="C4" s="39" t="s">
        <v>2</v>
      </c>
      <c r="D4" s="39" t="s">
        <v>3</v>
      </c>
      <c r="E4" s="40" t="s">
        <v>4</v>
      </c>
      <c r="F4" s="40" t="s">
        <v>88</v>
      </c>
      <c r="G4" s="40" t="s">
        <v>89</v>
      </c>
      <c r="H4" s="41"/>
      <c r="I4" s="41"/>
    </row>
    <row r="5" spans="1:9" x14ac:dyDescent="0.2">
      <c r="A5" s="3">
        <v>4120</v>
      </c>
      <c r="B5" t="s">
        <v>94</v>
      </c>
      <c r="C5" s="3">
        <v>9871</v>
      </c>
      <c r="D5" t="s">
        <v>101</v>
      </c>
      <c r="E5" s="6">
        <v>-110247</v>
      </c>
      <c r="F5" s="6">
        <v>0</v>
      </c>
      <c r="G5" s="6">
        <f t="shared" ref="G5:G68" si="0">E5+F5</f>
        <v>-110247</v>
      </c>
    </row>
    <row r="6" spans="1:9" x14ac:dyDescent="0.2">
      <c r="A6" s="3">
        <v>11793</v>
      </c>
      <c r="B6" t="s">
        <v>93</v>
      </c>
      <c r="C6" s="3">
        <v>9848</v>
      </c>
      <c r="D6" t="s">
        <v>91</v>
      </c>
      <c r="E6" s="6">
        <v>-116523</v>
      </c>
      <c r="F6" s="6">
        <f>6038+4515-1933</f>
        <v>8620</v>
      </c>
      <c r="G6" s="6">
        <f t="shared" si="0"/>
        <v>-107903</v>
      </c>
    </row>
    <row r="7" spans="1:9" x14ac:dyDescent="0.2">
      <c r="A7" s="3">
        <v>4120</v>
      </c>
      <c r="B7" t="s">
        <v>94</v>
      </c>
      <c r="C7" s="3">
        <v>9870</v>
      </c>
      <c r="D7" t="s">
        <v>91</v>
      </c>
      <c r="E7" s="6">
        <v>-69884</v>
      </c>
      <c r="F7" s="6">
        <v>0</v>
      </c>
      <c r="G7" s="6">
        <f t="shared" si="0"/>
        <v>-69884</v>
      </c>
    </row>
    <row r="8" spans="1:9" x14ac:dyDescent="0.2">
      <c r="A8" s="3">
        <v>5736</v>
      </c>
      <c r="B8" t="s">
        <v>123</v>
      </c>
      <c r="C8" s="3">
        <v>9842</v>
      </c>
      <c r="D8" t="s">
        <v>91</v>
      </c>
      <c r="E8" s="6">
        <v>92650</v>
      </c>
      <c r="F8" s="6">
        <v>-146823</v>
      </c>
      <c r="G8" s="6">
        <f t="shared" si="0"/>
        <v>-54173</v>
      </c>
    </row>
    <row r="9" spans="1:9" x14ac:dyDescent="0.2">
      <c r="A9" s="3">
        <v>6075</v>
      </c>
      <c r="B9" t="s">
        <v>114</v>
      </c>
      <c r="C9" s="3">
        <v>9876</v>
      </c>
      <c r="D9" t="s">
        <v>91</v>
      </c>
      <c r="E9" s="6">
        <v>-49636</v>
      </c>
      <c r="F9" s="6">
        <v>0</v>
      </c>
      <c r="G9" s="6">
        <f t="shared" si="0"/>
        <v>-49636</v>
      </c>
    </row>
    <row r="10" spans="1:9" x14ac:dyDescent="0.2">
      <c r="A10" s="3">
        <v>655</v>
      </c>
      <c r="B10" t="s">
        <v>90</v>
      </c>
      <c r="C10" s="3">
        <v>9841</v>
      </c>
      <c r="D10" t="s">
        <v>91</v>
      </c>
      <c r="E10" s="6">
        <v>-39534</v>
      </c>
      <c r="F10" s="6">
        <v>1565</v>
      </c>
      <c r="G10" s="6">
        <f t="shared" si="0"/>
        <v>-37969</v>
      </c>
    </row>
    <row r="11" spans="1:9" x14ac:dyDescent="0.2">
      <c r="A11" s="3">
        <v>12907</v>
      </c>
      <c r="B11" t="s">
        <v>166</v>
      </c>
      <c r="C11" s="3">
        <v>9829</v>
      </c>
      <c r="D11" t="s">
        <v>91</v>
      </c>
      <c r="E11" s="6">
        <v>-27679</v>
      </c>
      <c r="F11" s="6">
        <v>0</v>
      </c>
      <c r="G11" s="6">
        <f t="shared" si="0"/>
        <v>-27679</v>
      </c>
    </row>
    <row r="12" spans="1:9" x14ac:dyDescent="0.2">
      <c r="A12" s="3">
        <v>11516</v>
      </c>
      <c r="B12" t="s">
        <v>95</v>
      </c>
      <c r="C12" s="3">
        <v>9863</v>
      </c>
      <c r="D12" t="s">
        <v>91</v>
      </c>
      <c r="E12" s="6">
        <v>-18693</v>
      </c>
      <c r="F12" s="6">
        <v>0</v>
      </c>
      <c r="G12" s="6">
        <f t="shared" si="0"/>
        <v>-18693</v>
      </c>
    </row>
    <row r="13" spans="1:9" x14ac:dyDescent="0.2">
      <c r="A13" s="3">
        <v>13252</v>
      </c>
      <c r="B13" t="s">
        <v>157</v>
      </c>
      <c r="C13" s="3">
        <v>9851</v>
      </c>
      <c r="D13" t="s">
        <v>91</v>
      </c>
      <c r="E13" s="6">
        <v>-13937</v>
      </c>
      <c r="F13" s="6">
        <v>0</v>
      </c>
      <c r="G13" s="6">
        <f t="shared" si="0"/>
        <v>-13937</v>
      </c>
    </row>
    <row r="14" spans="1:9" x14ac:dyDescent="0.2">
      <c r="A14" s="3">
        <v>11185</v>
      </c>
      <c r="B14" t="s">
        <v>119</v>
      </c>
      <c r="C14" s="3">
        <v>9855</v>
      </c>
      <c r="D14" t="s">
        <v>91</v>
      </c>
      <c r="E14" s="6">
        <v>-13310</v>
      </c>
      <c r="F14" s="6">
        <v>0</v>
      </c>
      <c r="G14" s="6">
        <f t="shared" si="0"/>
        <v>-13310</v>
      </c>
    </row>
    <row r="15" spans="1:9" x14ac:dyDescent="0.2">
      <c r="A15" s="3">
        <v>4109</v>
      </c>
      <c r="B15" t="s">
        <v>92</v>
      </c>
      <c r="C15" s="3">
        <v>9884</v>
      </c>
      <c r="D15" t="s">
        <v>91</v>
      </c>
      <c r="E15" s="6">
        <v>-10278</v>
      </c>
      <c r="F15" s="6">
        <v>0</v>
      </c>
      <c r="G15" s="6">
        <f t="shared" si="0"/>
        <v>-10278</v>
      </c>
    </row>
    <row r="16" spans="1:9" x14ac:dyDescent="0.2">
      <c r="A16" s="3">
        <v>4118</v>
      </c>
      <c r="B16" t="s">
        <v>99</v>
      </c>
      <c r="C16" s="3">
        <v>9866</v>
      </c>
      <c r="D16" t="s">
        <v>91</v>
      </c>
      <c r="E16" s="6">
        <v>-7266</v>
      </c>
      <c r="F16" s="6">
        <v>0</v>
      </c>
      <c r="G16" s="6">
        <f t="shared" si="0"/>
        <v>-7266</v>
      </c>
    </row>
    <row r="17" spans="1:9" x14ac:dyDescent="0.2">
      <c r="A17" s="3">
        <v>4133</v>
      </c>
      <c r="B17" t="s">
        <v>116</v>
      </c>
      <c r="C17" s="3">
        <v>9882</v>
      </c>
      <c r="D17" t="s">
        <v>91</v>
      </c>
      <c r="E17" s="6">
        <v>-4957</v>
      </c>
      <c r="F17" s="6">
        <v>0</v>
      </c>
      <c r="G17" s="6">
        <f t="shared" si="0"/>
        <v>-4957</v>
      </c>
    </row>
    <row r="18" spans="1:9" x14ac:dyDescent="0.2">
      <c r="A18" s="3">
        <v>6268</v>
      </c>
      <c r="B18" t="s">
        <v>96</v>
      </c>
      <c r="C18" s="3">
        <v>9839</v>
      </c>
      <c r="D18" t="s">
        <v>101</v>
      </c>
      <c r="E18" s="6">
        <v>-4417</v>
      </c>
      <c r="F18" s="6">
        <v>0</v>
      </c>
      <c r="G18" s="6">
        <f t="shared" si="0"/>
        <v>-4417</v>
      </c>
    </row>
    <row r="19" spans="1:9" x14ac:dyDescent="0.2">
      <c r="A19" s="3">
        <v>3974</v>
      </c>
      <c r="B19" t="s">
        <v>115</v>
      </c>
      <c r="C19" s="3">
        <v>9878</v>
      </c>
      <c r="D19" t="s">
        <v>91</v>
      </c>
      <c r="E19" s="6">
        <v>-2796</v>
      </c>
      <c r="F19" s="6">
        <v>0</v>
      </c>
      <c r="G19" s="6">
        <f t="shared" si="0"/>
        <v>-2796</v>
      </c>
    </row>
    <row r="20" spans="1:9" x14ac:dyDescent="0.2">
      <c r="A20" s="3">
        <v>2974</v>
      </c>
      <c r="B20" t="s">
        <v>111</v>
      </c>
      <c r="C20" s="3">
        <v>9867</v>
      </c>
      <c r="D20" t="s">
        <v>91</v>
      </c>
      <c r="E20" s="6">
        <v>-2424</v>
      </c>
      <c r="F20" s="6">
        <v>0</v>
      </c>
      <c r="G20" s="6">
        <f t="shared" si="0"/>
        <v>-2424</v>
      </c>
    </row>
    <row r="21" spans="1:9" x14ac:dyDescent="0.2">
      <c r="A21" s="3">
        <v>330</v>
      </c>
      <c r="B21" t="s">
        <v>165</v>
      </c>
      <c r="C21" s="3">
        <v>9832</v>
      </c>
      <c r="D21" t="s">
        <v>101</v>
      </c>
      <c r="E21" s="6">
        <v>-1744</v>
      </c>
      <c r="F21" s="6">
        <v>0</v>
      </c>
      <c r="G21" s="6">
        <f t="shared" si="0"/>
        <v>-1744</v>
      </c>
    </row>
    <row r="22" spans="1:9" x14ac:dyDescent="0.2">
      <c r="A22" s="3">
        <v>4084</v>
      </c>
      <c r="B22" t="s">
        <v>108</v>
      </c>
      <c r="C22" s="3">
        <v>9845</v>
      </c>
      <c r="D22" t="s">
        <v>101</v>
      </c>
      <c r="E22" s="6">
        <v>-8295</v>
      </c>
      <c r="F22" s="6">
        <v>6578</v>
      </c>
      <c r="G22" s="6">
        <f t="shared" si="0"/>
        <v>-1717</v>
      </c>
    </row>
    <row r="23" spans="1:9" x14ac:dyDescent="0.2">
      <c r="A23" s="3">
        <v>4079</v>
      </c>
      <c r="B23" t="s">
        <v>112</v>
      </c>
      <c r="C23" s="3">
        <v>9872</v>
      </c>
      <c r="D23" t="s">
        <v>91</v>
      </c>
      <c r="E23" s="6">
        <v>-2331</v>
      </c>
      <c r="F23" s="6">
        <v>1280</v>
      </c>
      <c r="G23" s="6">
        <f t="shared" si="0"/>
        <v>-1051</v>
      </c>
    </row>
    <row r="24" spans="1:9" x14ac:dyDescent="0.2">
      <c r="A24" s="3">
        <v>6268</v>
      </c>
      <c r="B24" t="s">
        <v>96</v>
      </c>
      <c r="C24" s="3">
        <v>9838</v>
      </c>
      <c r="D24" t="s">
        <v>91</v>
      </c>
      <c r="E24" s="6">
        <v>-147575</v>
      </c>
      <c r="F24" s="6">
        <f>146823</f>
        <v>146823</v>
      </c>
      <c r="G24" s="6">
        <f t="shared" si="0"/>
        <v>-752</v>
      </c>
    </row>
    <row r="25" spans="1:9" x14ac:dyDescent="0.2">
      <c r="A25" s="3">
        <v>11687</v>
      </c>
      <c r="B25" t="s">
        <v>106</v>
      </c>
      <c r="C25" s="3">
        <v>9824</v>
      </c>
      <c r="D25" t="s">
        <v>91</v>
      </c>
      <c r="E25" s="6">
        <v>-751</v>
      </c>
      <c r="F25" s="6">
        <v>0</v>
      </c>
      <c r="G25" s="6">
        <f t="shared" si="0"/>
        <v>-751</v>
      </c>
    </row>
    <row r="26" spans="1:9" x14ac:dyDescent="0.2">
      <c r="A26" s="3">
        <v>287</v>
      </c>
      <c r="B26" t="s">
        <v>98</v>
      </c>
      <c r="C26" s="3">
        <v>9833</v>
      </c>
      <c r="D26" t="s">
        <v>91</v>
      </c>
      <c r="E26" s="6">
        <v>-647</v>
      </c>
      <c r="F26" s="6">
        <v>0</v>
      </c>
      <c r="G26" s="6">
        <f t="shared" si="0"/>
        <v>-647</v>
      </c>
    </row>
    <row r="27" spans="1:9" x14ac:dyDescent="0.2">
      <c r="A27" s="3">
        <v>11729</v>
      </c>
      <c r="B27" t="s">
        <v>109</v>
      </c>
      <c r="C27" s="3">
        <v>9846</v>
      </c>
      <c r="D27" t="s">
        <v>91</v>
      </c>
      <c r="E27" s="6">
        <v>-569</v>
      </c>
      <c r="F27" s="6">
        <v>0</v>
      </c>
      <c r="G27" s="6">
        <f t="shared" si="0"/>
        <v>-569</v>
      </c>
    </row>
    <row r="28" spans="1:9" x14ac:dyDescent="0.2">
      <c r="A28" s="3">
        <v>4084</v>
      </c>
      <c r="B28" t="s">
        <v>108</v>
      </c>
      <c r="C28" s="3">
        <v>9844</v>
      </c>
      <c r="D28" t="s">
        <v>91</v>
      </c>
      <c r="E28" s="6">
        <v>-275</v>
      </c>
      <c r="F28" s="6">
        <v>0</v>
      </c>
      <c r="G28" s="6">
        <f t="shared" si="0"/>
        <v>-275</v>
      </c>
    </row>
    <row r="29" spans="1:9" x14ac:dyDescent="0.2">
      <c r="A29" s="3">
        <v>4131</v>
      </c>
      <c r="B29" t="s">
        <v>118</v>
      </c>
      <c r="C29" s="3">
        <v>9879</v>
      </c>
      <c r="D29" t="s">
        <v>91</v>
      </c>
      <c r="E29" s="6">
        <v>-133</v>
      </c>
      <c r="F29" s="6">
        <v>0</v>
      </c>
      <c r="G29" s="6">
        <f t="shared" si="0"/>
        <v>-133</v>
      </c>
    </row>
    <row r="30" spans="1:9" x14ac:dyDescent="0.2">
      <c r="A30" s="3">
        <v>6321</v>
      </c>
      <c r="B30" t="s">
        <v>113</v>
      </c>
      <c r="C30" s="3">
        <v>9875</v>
      </c>
      <c r="D30" t="s">
        <v>91</v>
      </c>
      <c r="E30" s="6">
        <v>-51</v>
      </c>
      <c r="F30" s="6">
        <v>0</v>
      </c>
      <c r="G30" s="6">
        <f t="shared" si="0"/>
        <v>-51</v>
      </c>
    </row>
    <row r="31" spans="1:9" s="9" customFormat="1" x14ac:dyDescent="0.2">
      <c r="A31" s="12"/>
      <c r="B31" s="9" t="s">
        <v>217</v>
      </c>
      <c r="C31" s="12"/>
      <c r="E31" s="10">
        <f>SUM(E5:E30)</f>
        <v>-561302</v>
      </c>
      <c r="F31" s="10">
        <f>SUM(F5:F30)</f>
        <v>18043</v>
      </c>
      <c r="G31" s="10">
        <f>SUM(G5:G30)</f>
        <v>-543259</v>
      </c>
      <c r="H31" s="14">
        <v>2.9</v>
      </c>
      <c r="I31" s="14">
        <f>ROUND(G31*H31,2)</f>
        <v>-1575451.1</v>
      </c>
    </row>
    <row r="32" spans="1:9" x14ac:dyDescent="0.2">
      <c r="A32" s="3"/>
      <c r="C32" s="3"/>
    </row>
    <row r="33" spans="1:9" x14ac:dyDescent="0.2">
      <c r="A33" s="3"/>
      <c r="C33" s="3"/>
    </row>
    <row r="34" spans="1:9" x14ac:dyDescent="0.2">
      <c r="A34" s="3">
        <v>6228</v>
      </c>
      <c r="B34" t="s">
        <v>103</v>
      </c>
      <c r="C34" s="3">
        <v>9815</v>
      </c>
      <c r="D34" t="s">
        <v>91</v>
      </c>
      <c r="E34" s="6">
        <v>1280</v>
      </c>
      <c r="F34" s="6">
        <v>-1280</v>
      </c>
      <c r="G34" s="6">
        <f t="shared" si="0"/>
        <v>0</v>
      </c>
    </row>
    <row r="35" spans="1:9" x14ac:dyDescent="0.2">
      <c r="A35" s="3">
        <v>4179</v>
      </c>
      <c r="B35" t="s">
        <v>105</v>
      </c>
      <c r="C35" s="3">
        <v>9819</v>
      </c>
      <c r="D35" t="s">
        <v>91</v>
      </c>
      <c r="E35" s="6">
        <v>-1933</v>
      </c>
      <c r="F35" s="6">
        <v>1933</v>
      </c>
      <c r="G35" s="6">
        <f t="shared" si="0"/>
        <v>0</v>
      </c>
    </row>
    <row r="36" spans="1:9" x14ac:dyDescent="0.2">
      <c r="A36" s="3">
        <v>4101</v>
      </c>
      <c r="B36" t="s">
        <v>110</v>
      </c>
      <c r="C36" s="3">
        <v>9853</v>
      </c>
      <c r="D36" t="s">
        <v>91</v>
      </c>
      <c r="E36" s="6">
        <v>1565</v>
      </c>
      <c r="F36" s="6">
        <v>-1565</v>
      </c>
      <c r="G36" s="6">
        <f t="shared" si="0"/>
        <v>0</v>
      </c>
    </row>
    <row r="37" spans="1:9" x14ac:dyDescent="0.2">
      <c r="A37" s="3">
        <v>11420</v>
      </c>
      <c r="B37" t="s">
        <v>97</v>
      </c>
      <c r="C37" s="3">
        <v>9858</v>
      </c>
      <c r="D37" t="s">
        <v>91</v>
      </c>
      <c r="E37" s="6">
        <v>4515</v>
      </c>
      <c r="F37" s="6">
        <v>-4515</v>
      </c>
      <c r="G37" s="6">
        <f t="shared" si="0"/>
        <v>0</v>
      </c>
    </row>
    <row r="38" spans="1:9" x14ac:dyDescent="0.2">
      <c r="A38" s="3">
        <v>11793</v>
      </c>
      <c r="B38" t="s">
        <v>93</v>
      </c>
      <c r="C38" s="3">
        <v>9850</v>
      </c>
      <c r="D38" t="s">
        <v>101</v>
      </c>
      <c r="E38" s="6">
        <v>6578</v>
      </c>
      <c r="F38" s="6">
        <v>-6578</v>
      </c>
      <c r="G38" s="6">
        <f t="shared" si="0"/>
        <v>0</v>
      </c>
    </row>
    <row r="39" spans="1:9" x14ac:dyDescent="0.2">
      <c r="A39" s="3">
        <v>4131</v>
      </c>
      <c r="B39" t="s">
        <v>118</v>
      </c>
      <c r="C39" s="3">
        <v>9880</v>
      </c>
      <c r="D39" t="s">
        <v>101</v>
      </c>
      <c r="E39" s="6">
        <v>233</v>
      </c>
      <c r="F39" s="6">
        <v>0</v>
      </c>
      <c r="G39" s="6">
        <f t="shared" si="0"/>
        <v>233</v>
      </c>
    </row>
    <row r="40" spans="1:9" x14ac:dyDescent="0.2">
      <c r="A40" s="3">
        <v>2974</v>
      </c>
      <c r="B40" t="s">
        <v>111</v>
      </c>
      <c r="C40" s="3">
        <v>9868</v>
      </c>
      <c r="D40" t="s">
        <v>101</v>
      </c>
      <c r="E40" s="6">
        <v>1227</v>
      </c>
      <c r="F40" s="6">
        <v>0</v>
      </c>
      <c r="G40" s="6">
        <f t="shared" si="0"/>
        <v>1227</v>
      </c>
    </row>
    <row r="41" spans="1:9" x14ac:dyDescent="0.2">
      <c r="A41" s="3">
        <v>11793</v>
      </c>
      <c r="B41" t="s">
        <v>93</v>
      </c>
      <c r="C41" s="3">
        <v>9849</v>
      </c>
      <c r="D41" t="s">
        <v>121</v>
      </c>
      <c r="E41" s="6">
        <v>2292</v>
      </c>
      <c r="F41" s="6">
        <v>0</v>
      </c>
      <c r="G41" s="6">
        <f>E41+F41</f>
        <v>2292</v>
      </c>
    </row>
    <row r="42" spans="1:9" x14ac:dyDescent="0.2">
      <c r="A42" s="3">
        <v>4175</v>
      </c>
      <c r="B42" t="s">
        <v>104</v>
      </c>
      <c r="C42" s="3">
        <v>9816</v>
      </c>
      <c r="D42" t="s">
        <v>91</v>
      </c>
      <c r="E42" s="6">
        <v>8462</v>
      </c>
      <c r="F42" s="6">
        <v>-6038</v>
      </c>
      <c r="G42" s="6">
        <f t="shared" si="0"/>
        <v>2424</v>
      </c>
    </row>
    <row r="43" spans="1:9" x14ac:dyDescent="0.2">
      <c r="A43" s="3">
        <v>4175</v>
      </c>
      <c r="B43" t="s">
        <v>104</v>
      </c>
      <c r="C43" s="3">
        <v>9817</v>
      </c>
      <c r="D43" t="s">
        <v>101</v>
      </c>
      <c r="E43" s="6">
        <v>12808</v>
      </c>
      <c r="F43" s="6">
        <v>0</v>
      </c>
      <c r="G43" s="6">
        <f t="shared" si="0"/>
        <v>12808</v>
      </c>
    </row>
    <row r="44" spans="1:9" s="9" customFormat="1" x14ac:dyDescent="0.2">
      <c r="A44" s="12"/>
      <c r="B44" s="9" t="s">
        <v>218</v>
      </c>
      <c r="C44" s="12"/>
      <c r="E44" s="10">
        <f>SUM(E34:E43)</f>
        <v>37027</v>
      </c>
      <c r="F44" s="10">
        <f>SUM(F34:F43)</f>
        <v>-18043</v>
      </c>
      <c r="G44" s="10">
        <f>SUM(G34:G43)</f>
        <v>18984</v>
      </c>
      <c r="H44" s="14">
        <v>2.98</v>
      </c>
      <c r="I44" s="14">
        <f>ROUND(G44*H44,2)</f>
        <v>56572.32</v>
      </c>
    </row>
    <row r="45" spans="1:9" ht="13.5" customHeight="1" x14ac:dyDescent="0.2">
      <c r="A45" s="3"/>
      <c r="C45" s="3"/>
    </row>
    <row r="46" spans="1:9" s="9" customFormat="1" x14ac:dyDescent="0.2">
      <c r="A46" s="12"/>
      <c r="B46" s="9" t="s">
        <v>182</v>
      </c>
      <c r="C46" s="12"/>
      <c r="E46" s="10"/>
      <c r="F46" s="10"/>
      <c r="G46" s="10">
        <f>+G44+G31</f>
        <v>-524275</v>
      </c>
      <c r="H46" s="14"/>
      <c r="I46" s="14"/>
    </row>
    <row r="47" spans="1:9" x14ac:dyDescent="0.2">
      <c r="A47" s="3"/>
      <c r="C47" s="3"/>
    </row>
    <row r="48" spans="1:9" s="9" customFormat="1" x14ac:dyDescent="0.2">
      <c r="A48" s="12"/>
      <c r="B48" s="9" t="s">
        <v>205</v>
      </c>
      <c r="C48" s="12"/>
      <c r="E48" s="10"/>
      <c r="F48" s="10"/>
      <c r="G48" s="10">
        <v>-420808</v>
      </c>
      <c r="H48" s="14"/>
      <c r="I48" s="14"/>
    </row>
    <row r="49" spans="1:9" s="9" customFormat="1" x14ac:dyDescent="0.2">
      <c r="A49" s="12"/>
      <c r="B49" s="9" t="s">
        <v>206</v>
      </c>
      <c r="C49" s="12"/>
      <c r="E49" s="10"/>
      <c r="F49" s="10"/>
      <c r="G49" s="10">
        <v>-101364</v>
      </c>
      <c r="H49" s="14"/>
      <c r="I49" s="14"/>
    </row>
    <row r="50" spans="1:9" s="9" customFormat="1" x14ac:dyDescent="0.2">
      <c r="A50" s="12"/>
      <c r="B50" s="9" t="s">
        <v>71</v>
      </c>
      <c r="C50" s="12"/>
      <c r="E50" s="10"/>
      <c r="F50" s="10"/>
      <c r="G50" s="10">
        <f>+G46-G48-G49</f>
        <v>-2103</v>
      </c>
      <c r="H50" s="14"/>
      <c r="I50" s="14"/>
    </row>
    <row r="51" spans="1:9" x14ac:dyDescent="0.2">
      <c r="A51" s="3"/>
      <c r="C51" s="3"/>
    </row>
    <row r="52" spans="1:9" x14ac:dyDescent="0.2">
      <c r="A52" s="3"/>
      <c r="C52" s="3"/>
    </row>
    <row r="53" spans="1:9" x14ac:dyDescent="0.2">
      <c r="A53" s="3"/>
      <c r="C53" s="3"/>
    </row>
    <row r="54" spans="1:9" x14ac:dyDescent="0.2">
      <c r="A54" s="3"/>
      <c r="C54" s="3"/>
    </row>
    <row r="55" spans="1:9" x14ac:dyDescent="0.2">
      <c r="A55" s="3"/>
      <c r="C55" s="3"/>
    </row>
    <row r="56" spans="1:9" x14ac:dyDescent="0.2">
      <c r="A56" s="3"/>
      <c r="C56" s="3"/>
    </row>
    <row r="57" spans="1:9" x14ac:dyDescent="0.2">
      <c r="A57" s="3"/>
      <c r="C57" s="3"/>
    </row>
    <row r="58" spans="1:9" x14ac:dyDescent="0.2">
      <c r="A58" s="3">
        <v>12673</v>
      </c>
      <c r="B58" t="s">
        <v>134</v>
      </c>
      <c r="C58" s="3">
        <v>9809</v>
      </c>
      <c r="D58" t="s">
        <v>127</v>
      </c>
      <c r="E58" s="6">
        <v>2</v>
      </c>
      <c r="F58" s="6">
        <v>0</v>
      </c>
      <c r="G58" s="6">
        <f>E58+F58</f>
        <v>2</v>
      </c>
    </row>
    <row r="59" spans="1:9" x14ac:dyDescent="0.2">
      <c r="A59" s="3">
        <v>11533</v>
      </c>
      <c r="B59" t="s">
        <v>185</v>
      </c>
      <c r="C59" s="3">
        <v>9810</v>
      </c>
      <c r="D59" t="s">
        <v>127</v>
      </c>
      <c r="E59" s="6">
        <v>-6652</v>
      </c>
      <c r="F59" s="6">
        <v>0</v>
      </c>
      <c r="G59" s="6">
        <f t="shared" si="0"/>
        <v>-6652</v>
      </c>
    </row>
    <row r="60" spans="1:9" x14ac:dyDescent="0.2">
      <c r="A60" s="3">
        <v>7692</v>
      </c>
      <c r="B60" t="s">
        <v>207</v>
      </c>
      <c r="C60" s="3">
        <v>9813</v>
      </c>
      <c r="D60" t="s">
        <v>127</v>
      </c>
      <c r="E60" s="6">
        <v>2007</v>
      </c>
      <c r="F60" s="6">
        <v>0</v>
      </c>
      <c r="G60" s="6">
        <f t="shared" si="0"/>
        <v>2007</v>
      </c>
    </row>
    <row r="61" spans="1:9" x14ac:dyDescent="0.2">
      <c r="A61" s="3">
        <v>7834</v>
      </c>
      <c r="B61" t="s">
        <v>208</v>
      </c>
      <c r="C61" s="3" t="s">
        <v>209</v>
      </c>
      <c r="D61" t="s">
        <v>127</v>
      </c>
      <c r="E61" s="6">
        <v>0</v>
      </c>
      <c r="F61" s="6">
        <v>1</v>
      </c>
      <c r="G61" s="6">
        <f t="shared" si="0"/>
        <v>1</v>
      </c>
    </row>
    <row r="62" spans="1:9" x14ac:dyDescent="0.2">
      <c r="A62" s="3">
        <v>4122</v>
      </c>
      <c r="B62" t="s">
        <v>143</v>
      </c>
      <c r="C62" s="3">
        <v>9814</v>
      </c>
      <c r="D62" t="s">
        <v>127</v>
      </c>
      <c r="E62" s="6">
        <v>4</v>
      </c>
      <c r="F62" s="6">
        <v>0</v>
      </c>
      <c r="G62" s="6">
        <f t="shared" si="0"/>
        <v>4</v>
      </c>
    </row>
    <row r="63" spans="1:9" x14ac:dyDescent="0.2">
      <c r="A63" s="3">
        <v>11641</v>
      </c>
      <c r="B63" t="s">
        <v>210</v>
      </c>
      <c r="C63" s="3" t="s">
        <v>209</v>
      </c>
      <c r="D63" t="s">
        <v>127</v>
      </c>
      <c r="E63" s="6">
        <v>0</v>
      </c>
      <c r="F63" s="6">
        <f>-195-236</f>
        <v>-431</v>
      </c>
      <c r="G63" s="6">
        <f t="shared" si="0"/>
        <v>-431</v>
      </c>
    </row>
    <row r="64" spans="1:9" x14ac:dyDescent="0.2">
      <c r="A64" s="3">
        <v>1455</v>
      </c>
      <c r="B64" t="s">
        <v>129</v>
      </c>
      <c r="C64" s="3">
        <v>9818</v>
      </c>
      <c r="D64" t="s">
        <v>127</v>
      </c>
      <c r="E64" s="6">
        <v>247</v>
      </c>
      <c r="F64" s="6">
        <v>0</v>
      </c>
      <c r="G64" s="6">
        <f t="shared" si="0"/>
        <v>247</v>
      </c>
    </row>
    <row r="65" spans="1:7" x14ac:dyDescent="0.2">
      <c r="A65" s="3">
        <v>7672</v>
      </c>
      <c r="B65" t="s">
        <v>156</v>
      </c>
      <c r="C65" s="3">
        <v>9820</v>
      </c>
      <c r="D65" t="s">
        <v>127</v>
      </c>
      <c r="E65" s="6">
        <v>4</v>
      </c>
      <c r="F65" s="6">
        <v>0</v>
      </c>
      <c r="G65" s="6">
        <f t="shared" si="0"/>
        <v>4</v>
      </c>
    </row>
    <row r="66" spans="1:7" x14ac:dyDescent="0.2">
      <c r="A66" s="3">
        <v>11611</v>
      </c>
      <c r="B66" t="s">
        <v>147</v>
      </c>
      <c r="C66" s="3">
        <v>9822</v>
      </c>
      <c r="D66" t="s">
        <v>127</v>
      </c>
      <c r="E66" s="6">
        <v>6</v>
      </c>
      <c r="F66" s="6">
        <v>0</v>
      </c>
      <c r="G66" s="6">
        <f t="shared" si="0"/>
        <v>6</v>
      </c>
    </row>
    <row r="67" spans="1:7" x14ac:dyDescent="0.2">
      <c r="A67" s="3">
        <v>11687</v>
      </c>
      <c r="B67" t="s">
        <v>106</v>
      </c>
      <c r="C67" s="3">
        <v>9823</v>
      </c>
      <c r="D67" t="s">
        <v>127</v>
      </c>
      <c r="E67" s="6">
        <v>-22482</v>
      </c>
      <c r="F67" s="6">
        <v>-2</v>
      </c>
      <c r="G67" s="6">
        <f t="shared" si="0"/>
        <v>-22484</v>
      </c>
    </row>
    <row r="68" spans="1:7" x14ac:dyDescent="0.2">
      <c r="A68" s="3">
        <v>4997</v>
      </c>
      <c r="B68" t="s">
        <v>132</v>
      </c>
      <c r="C68" s="3">
        <v>9825</v>
      </c>
      <c r="D68" t="s">
        <v>127</v>
      </c>
      <c r="E68" s="6">
        <v>-7376</v>
      </c>
      <c r="F68" s="6">
        <v>0</v>
      </c>
      <c r="G68" s="6">
        <f t="shared" si="0"/>
        <v>-7376</v>
      </c>
    </row>
    <row r="69" spans="1:7" x14ac:dyDescent="0.2">
      <c r="A69" s="3">
        <v>12907</v>
      </c>
      <c r="B69" t="s">
        <v>166</v>
      </c>
      <c r="C69" s="3">
        <v>9827</v>
      </c>
      <c r="D69" t="s">
        <v>127</v>
      </c>
      <c r="E69" s="6">
        <v>-25743</v>
      </c>
      <c r="F69" s="6">
        <v>9745</v>
      </c>
      <c r="G69" s="6">
        <f t="shared" ref="G69:G90" si="1">E69+F69</f>
        <v>-15998</v>
      </c>
    </row>
    <row r="70" spans="1:7" x14ac:dyDescent="0.2">
      <c r="A70" s="3">
        <v>330</v>
      </c>
      <c r="B70" t="s">
        <v>165</v>
      </c>
      <c r="C70" s="3">
        <v>9830</v>
      </c>
      <c r="D70" t="s">
        <v>127</v>
      </c>
      <c r="E70" s="6">
        <v>-19618</v>
      </c>
      <c r="F70" s="6">
        <v>0</v>
      </c>
      <c r="G70" s="6">
        <f t="shared" si="1"/>
        <v>-19618</v>
      </c>
    </row>
    <row r="71" spans="1:7" x14ac:dyDescent="0.2">
      <c r="A71" s="3">
        <v>5975</v>
      </c>
      <c r="B71" t="s">
        <v>211</v>
      </c>
      <c r="C71" s="3">
        <v>9834</v>
      </c>
      <c r="D71" t="s">
        <v>127</v>
      </c>
      <c r="E71" s="6">
        <v>1</v>
      </c>
      <c r="F71" s="6">
        <v>-1</v>
      </c>
      <c r="G71" s="6">
        <f t="shared" si="1"/>
        <v>0</v>
      </c>
    </row>
    <row r="72" spans="1:7" x14ac:dyDescent="0.2">
      <c r="A72" s="3">
        <v>6268</v>
      </c>
      <c r="B72" t="s">
        <v>96</v>
      </c>
      <c r="C72" s="3">
        <v>9837</v>
      </c>
      <c r="D72" t="s">
        <v>127</v>
      </c>
      <c r="E72" s="6">
        <v>-2170</v>
      </c>
      <c r="F72" s="6">
        <f>2+1811+121+236</f>
        <v>2170</v>
      </c>
      <c r="G72" s="6">
        <f t="shared" si="1"/>
        <v>0</v>
      </c>
    </row>
    <row r="73" spans="1:7" x14ac:dyDescent="0.2">
      <c r="A73" s="3">
        <v>655</v>
      </c>
      <c r="B73" t="s">
        <v>90</v>
      </c>
      <c r="C73" s="3">
        <v>9840</v>
      </c>
      <c r="D73" t="s">
        <v>127</v>
      </c>
      <c r="E73" s="6">
        <v>-623</v>
      </c>
      <c r="F73" s="6">
        <v>0</v>
      </c>
      <c r="G73" s="6">
        <f t="shared" si="1"/>
        <v>-623</v>
      </c>
    </row>
    <row r="74" spans="1:7" x14ac:dyDescent="0.2">
      <c r="A74" s="3">
        <v>4084</v>
      </c>
      <c r="B74" t="s">
        <v>108</v>
      </c>
      <c r="C74" s="3">
        <v>9843</v>
      </c>
      <c r="D74" t="s">
        <v>127</v>
      </c>
      <c r="E74" s="6">
        <v>23</v>
      </c>
      <c r="F74" s="6">
        <v>0</v>
      </c>
      <c r="G74" s="6">
        <f t="shared" si="1"/>
        <v>23</v>
      </c>
    </row>
    <row r="75" spans="1:7" x14ac:dyDescent="0.2">
      <c r="A75" s="3">
        <v>5544</v>
      </c>
      <c r="B75" t="s">
        <v>212</v>
      </c>
      <c r="C75" s="3" t="s">
        <v>209</v>
      </c>
      <c r="D75" t="s">
        <v>127</v>
      </c>
      <c r="E75" s="6">
        <v>0</v>
      </c>
      <c r="F75" s="6">
        <v>-1811</v>
      </c>
      <c r="G75" s="6">
        <f t="shared" si="1"/>
        <v>-1811</v>
      </c>
    </row>
    <row r="76" spans="1:7" x14ac:dyDescent="0.2">
      <c r="A76" s="3">
        <v>11793</v>
      </c>
      <c r="B76" t="s">
        <v>93</v>
      </c>
      <c r="C76" s="3">
        <v>9847</v>
      </c>
      <c r="D76" t="s">
        <v>127</v>
      </c>
      <c r="E76" s="6">
        <v>9745</v>
      </c>
      <c r="F76" s="6">
        <v>-9745</v>
      </c>
      <c r="G76" s="6">
        <f t="shared" si="1"/>
        <v>0</v>
      </c>
    </row>
    <row r="77" spans="1:7" x14ac:dyDescent="0.2">
      <c r="A77" s="3">
        <v>4101</v>
      </c>
      <c r="B77" t="s">
        <v>110</v>
      </c>
      <c r="C77" s="3">
        <v>9852</v>
      </c>
      <c r="D77" t="s">
        <v>127</v>
      </c>
      <c r="E77" s="6">
        <v>4</v>
      </c>
      <c r="F77" s="6">
        <v>0</v>
      </c>
      <c r="G77" s="6">
        <f t="shared" si="1"/>
        <v>4</v>
      </c>
    </row>
    <row r="78" spans="1:7" x14ac:dyDescent="0.2">
      <c r="A78" s="3">
        <v>11509</v>
      </c>
      <c r="B78" t="s">
        <v>126</v>
      </c>
      <c r="C78" s="3">
        <v>9856</v>
      </c>
      <c r="D78" t="s">
        <v>127</v>
      </c>
      <c r="E78" s="6">
        <v>6298</v>
      </c>
      <c r="F78" s="6">
        <v>0</v>
      </c>
      <c r="G78" s="6">
        <f t="shared" si="1"/>
        <v>6298</v>
      </c>
    </row>
    <row r="79" spans="1:7" x14ac:dyDescent="0.2">
      <c r="A79" s="3">
        <v>11420</v>
      </c>
      <c r="B79" t="s">
        <v>97</v>
      </c>
      <c r="C79" s="3">
        <v>9857</v>
      </c>
      <c r="D79" t="s">
        <v>127</v>
      </c>
      <c r="E79" s="6">
        <v>275</v>
      </c>
      <c r="F79" s="6">
        <v>0</v>
      </c>
      <c r="G79" s="6">
        <f t="shared" si="1"/>
        <v>275</v>
      </c>
    </row>
    <row r="80" spans="1:7" x14ac:dyDescent="0.2">
      <c r="A80" s="3">
        <v>11035</v>
      </c>
      <c r="B80" t="s">
        <v>193</v>
      </c>
      <c r="C80" s="3">
        <v>9859</v>
      </c>
      <c r="D80" t="s">
        <v>127</v>
      </c>
      <c r="E80" s="6">
        <v>267</v>
      </c>
      <c r="F80" s="6">
        <v>0</v>
      </c>
      <c r="G80" s="6">
        <f t="shared" si="1"/>
        <v>267</v>
      </c>
    </row>
    <row r="81" spans="1:9" x14ac:dyDescent="0.2">
      <c r="A81" s="3">
        <v>13285</v>
      </c>
      <c r="B81" t="s">
        <v>194</v>
      </c>
      <c r="C81" s="3">
        <v>9860</v>
      </c>
      <c r="D81" t="s">
        <v>127</v>
      </c>
      <c r="E81" s="6">
        <v>-56</v>
      </c>
      <c r="F81" s="6">
        <v>0</v>
      </c>
      <c r="G81" s="6">
        <f t="shared" si="1"/>
        <v>-56</v>
      </c>
    </row>
    <row r="82" spans="1:9" x14ac:dyDescent="0.2">
      <c r="A82" s="3">
        <v>11145</v>
      </c>
      <c r="B82" t="s">
        <v>153</v>
      </c>
      <c r="C82" s="3">
        <v>9861</v>
      </c>
      <c r="D82" t="s">
        <v>127</v>
      </c>
      <c r="E82" s="6">
        <v>31</v>
      </c>
      <c r="F82" s="6">
        <v>0</v>
      </c>
      <c r="G82" s="6">
        <f t="shared" si="1"/>
        <v>31</v>
      </c>
    </row>
    <row r="83" spans="1:9" x14ac:dyDescent="0.2">
      <c r="A83" s="3">
        <v>11516</v>
      </c>
      <c r="B83" t="s">
        <v>95</v>
      </c>
      <c r="C83" s="3">
        <v>9862</v>
      </c>
      <c r="D83" t="s">
        <v>127</v>
      </c>
      <c r="E83" s="6">
        <v>4</v>
      </c>
      <c r="F83" s="6">
        <v>0</v>
      </c>
      <c r="G83" s="6">
        <f t="shared" si="1"/>
        <v>4</v>
      </c>
    </row>
    <row r="84" spans="1:9" x14ac:dyDescent="0.2">
      <c r="A84" s="3">
        <v>11517</v>
      </c>
      <c r="B84" t="s">
        <v>144</v>
      </c>
      <c r="C84" s="3">
        <v>9864</v>
      </c>
      <c r="D84" t="s">
        <v>127</v>
      </c>
      <c r="E84" s="6">
        <v>3</v>
      </c>
      <c r="F84" s="6">
        <v>0</v>
      </c>
      <c r="G84" s="6">
        <f t="shared" si="1"/>
        <v>3</v>
      </c>
    </row>
    <row r="85" spans="1:9" x14ac:dyDescent="0.2">
      <c r="A85" s="3">
        <v>4118</v>
      </c>
      <c r="B85" t="s">
        <v>99</v>
      </c>
      <c r="C85" s="3">
        <v>9865</v>
      </c>
      <c r="D85" t="s">
        <v>127</v>
      </c>
      <c r="E85" s="6">
        <v>-792</v>
      </c>
      <c r="F85" s="6">
        <f>29+195</f>
        <v>224</v>
      </c>
      <c r="G85" s="6">
        <f t="shared" si="1"/>
        <v>-568</v>
      </c>
    </row>
    <row r="86" spans="1:9" x14ac:dyDescent="0.2">
      <c r="A86" s="3">
        <v>4120</v>
      </c>
      <c r="B86" t="s">
        <v>94</v>
      </c>
      <c r="C86" s="3">
        <v>9869</v>
      </c>
      <c r="D86" t="s">
        <v>127</v>
      </c>
      <c r="E86" s="6">
        <v>-3917</v>
      </c>
      <c r="F86" s="6">
        <v>0</v>
      </c>
      <c r="G86" s="6">
        <f t="shared" si="1"/>
        <v>-3917</v>
      </c>
    </row>
    <row r="87" spans="1:9" x14ac:dyDescent="0.2">
      <c r="A87" s="3">
        <v>6321</v>
      </c>
      <c r="B87" t="s">
        <v>113</v>
      </c>
      <c r="C87" s="3">
        <v>9873</v>
      </c>
      <c r="D87" t="s">
        <v>127</v>
      </c>
      <c r="E87" s="6">
        <v>-29833</v>
      </c>
      <c r="F87" s="6">
        <f>-29-121</f>
        <v>-150</v>
      </c>
      <c r="G87" s="6">
        <f t="shared" si="1"/>
        <v>-29983</v>
      </c>
    </row>
    <row r="88" spans="1:9" x14ac:dyDescent="0.2">
      <c r="A88" s="3">
        <v>3974</v>
      </c>
      <c r="B88" t="s">
        <v>115</v>
      </c>
      <c r="C88" s="3">
        <v>9877</v>
      </c>
      <c r="D88" t="s">
        <v>127</v>
      </c>
      <c r="E88" s="6">
        <v>-4981</v>
      </c>
      <c r="F88" s="6">
        <v>0</v>
      </c>
      <c r="G88" s="6">
        <f t="shared" si="1"/>
        <v>-4981</v>
      </c>
    </row>
    <row r="89" spans="1:9" x14ac:dyDescent="0.2">
      <c r="A89" s="3">
        <v>4109</v>
      </c>
      <c r="B89" t="s">
        <v>92</v>
      </c>
      <c r="C89" s="3">
        <v>9883</v>
      </c>
      <c r="D89" t="s">
        <v>127</v>
      </c>
      <c r="E89" s="6">
        <v>-3380</v>
      </c>
      <c r="F89" s="6">
        <v>0</v>
      </c>
      <c r="G89" s="6">
        <f t="shared" si="1"/>
        <v>-3380</v>
      </c>
    </row>
    <row r="90" spans="1:9" x14ac:dyDescent="0.2">
      <c r="A90" s="3">
        <v>11893</v>
      </c>
      <c r="B90" t="s">
        <v>131</v>
      </c>
      <c r="C90" s="3">
        <v>9885</v>
      </c>
      <c r="D90" t="s">
        <v>127</v>
      </c>
      <c r="E90" s="6">
        <v>-1834</v>
      </c>
      <c r="F90" s="43">
        <v>0</v>
      </c>
      <c r="G90" s="6">
        <f t="shared" si="1"/>
        <v>-1834</v>
      </c>
    </row>
    <row r="91" spans="1:9" s="9" customFormat="1" x14ac:dyDescent="0.2">
      <c r="E91" s="10">
        <f>SUM(E58:E90)</f>
        <v>-110536</v>
      </c>
      <c r="F91" s="10">
        <f>SUM(F58:F90)</f>
        <v>0</v>
      </c>
      <c r="G91" s="10">
        <f>SUM(G58:G90)</f>
        <v>-110536</v>
      </c>
      <c r="H91" s="14"/>
      <c r="I91" s="14"/>
    </row>
    <row r="94" spans="1:9" x14ac:dyDescent="0.2">
      <c r="A94" s="3">
        <v>11533</v>
      </c>
      <c r="B94" t="s">
        <v>185</v>
      </c>
      <c r="C94" s="3">
        <v>9811</v>
      </c>
      <c r="D94" t="s">
        <v>154</v>
      </c>
      <c r="E94" s="6">
        <v>64448</v>
      </c>
      <c r="F94" s="6">
        <v>0</v>
      </c>
      <c r="G94" s="6">
        <f t="shared" ref="G94:G102" si="2">E94+F94</f>
        <v>64448</v>
      </c>
    </row>
    <row r="95" spans="1:9" x14ac:dyDescent="0.2">
      <c r="A95" s="3">
        <v>11905</v>
      </c>
      <c r="B95" t="s">
        <v>141</v>
      </c>
      <c r="C95" s="3">
        <v>9812</v>
      </c>
      <c r="D95" t="s">
        <v>154</v>
      </c>
      <c r="E95" s="6">
        <v>16172</v>
      </c>
      <c r="F95" s="6">
        <v>0</v>
      </c>
      <c r="G95" s="6">
        <f t="shared" si="2"/>
        <v>16172</v>
      </c>
    </row>
    <row r="96" spans="1:9" x14ac:dyDescent="0.2">
      <c r="A96" s="3">
        <v>7672</v>
      </c>
      <c r="B96" t="s">
        <v>156</v>
      </c>
      <c r="C96" s="3">
        <v>9821</v>
      </c>
      <c r="D96" t="s">
        <v>154</v>
      </c>
      <c r="E96" s="6">
        <v>5022</v>
      </c>
      <c r="F96" s="6">
        <v>0</v>
      </c>
      <c r="G96" s="6">
        <f t="shared" si="2"/>
        <v>5022</v>
      </c>
    </row>
    <row r="97" spans="1:9" x14ac:dyDescent="0.2">
      <c r="A97" s="3">
        <v>4997</v>
      </c>
      <c r="B97" t="s">
        <v>132</v>
      </c>
      <c r="C97" s="3">
        <v>9826</v>
      </c>
      <c r="D97" t="s">
        <v>154</v>
      </c>
      <c r="E97" s="6">
        <v>905</v>
      </c>
      <c r="F97" s="6">
        <v>0</v>
      </c>
      <c r="G97" s="6">
        <f t="shared" si="2"/>
        <v>905</v>
      </c>
    </row>
    <row r="98" spans="1:9" x14ac:dyDescent="0.2">
      <c r="A98" s="3">
        <v>12907</v>
      </c>
      <c r="B98" t="s">
        <v>166</v>
      </c>
      <c r="C98" s="3">
        <v>9828</v>
      </c>
      <c r="D98" t="s">
        <v>154</v>
      </c>
      <c r="E98" s="6">
        <v>1427</v>
      </c>
      <c r="F98" s="6">
        <v>0</v>
      </c>
      <c r="G98" s="6">
        <f t="shared" si="2"/>
        <v>1427</v>
      </c>
    </row>
    <row r="99" spans="1:9" x14ac:dyDescent="0.2">
      <c r="A99" s="3">
        <v>330</v>
      </c>
      <c r="B99" t="s">
        <v>165</v>
      </c>
      <c r="C99" s="3">
        <v>9831</v>
      </c>
      <c r="D99" t="s">
        <v>154</v>
      </c>
      <c r="E99" s="6">
        <v>-107</v>
      </c>
      <c r="F99" s="6">
        <v>0</v>
      </c>
      <c r="G99" s="6">
        <f t="shared" si="2"/>
        <v>-107</v>
      </c>
    </row>
    <row r="100" spans="1:9" x14ac:dyDescent="0.2">
      <c r="A100" s="3">
        <v>13226</v>
      </c>
      <c r="B100" t="s">
        <v>213</v>
      </c>
      <c r="C100" s="3">
        <v>9854</v>
      </c>
      <c r="D100" t="s">
        <v>154</v>
      </c>
      <c r="E100" s="6">
        <v>3912</v>
      </c>
      <c r="F100" s="6">
        <v>0</v>
      </c>
      <c r="G100" s="6">
        <f t="shared" si="2"/>
        <v>3912</v>
      </c>
    </row>
    <row r="101" spans="1:9" x14ac:dyDescent="0.2">
      <c r="A101" s="3">
        <v>6321</v>
      </c>
      <c r="B101" t="s">
        <v>113</v>
      </c>
      <c r="C101" s="3">
        <v>9874</v>
      </c>
      <c r="D101" t="s">
        <v>154</v>
      </c>
      <c r="E101" s="6">
        <v>6026</v>
      </c>
      <c r="F101" s="6">
        <v>0</v>
      </c>
      <c r="G101" s="6">
        <f t="shared" si="2"/>
        <v>6026</v>
      </c>
    </row>
    <row r="102" spans="1:9" x14ac:dyDescent="0.2">
      <c r="A102" s="3">
        <v>11821</v>
      </c>
      <c r="B102" t="s">
        <v>155</v>
      </c>
      <c r="C102" s="3">
        <v>9881</v>
      </c>
      <c r="D102" t="s">
        <v>154</v>
      </c>
      <c r="E102" s="6">
        <v>47</v>
      </c>
      <c r="F102" s="44">
        <v>0</v>
      </c>
      <c r="G102" s="6">
        <f t="shared" si="2"/>
        <v>47</v>
      </c>
    </row>
    <row r="103" spans="1:9" s="9" customFormat="1" x14ac:dyDescent="0.2">
      <c r="E103" s="45">
        <f>SUM(E94:E102)</f>
        <v>97852</v>
      </c>
      <c r="F103" s="45">
        <f>SUM(F94:F102)</f>
        <v>0</v>
      </c>
      <c r="G103" s="45">
        <f>SUM(G94:G102)</f>
        <v>97852</v>
      </c>
      <c r="H103" s="14"/>
      <c r="I103" s="14"/>
    </row>
    <row r="106" spans="1:9" s="9" customFormat="1" x14ac:dyDescent="0.2">
      <c r="B106" s="9" t="s">
        <v>216</v>
      </c>
      <c r="E106" s="10">
        <f>+E103+E91+E44+E31</f>
        <v>-536959</v>
      </c>
      <c r="F106" s="10">
        <f>+F103+F91+F44+F31</f>
        <v>0</v>
      </c>
      <c r="G106" s="10">
        <f>+G103+G91+G44+G31</f>
        <v>-536959</v>
      </c>
      <c r="H106" s="14"/>
      <c r="I106" s="14"/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A5" sqref="A5"/>
    </sheetView>
  </sheetViews>
  <sheetFormatPr defaultRowHeight="12.75" x14ac:dyDescent="0.2"/>
  <cols>
    <col min="1" max="1" width="7.140625" bestFit="1" customWidth="1"/>
    <col min="2" max="2" width="10.28515625" style="6" bestFit="1" customWidth="1"/>
    <col min="3" max="3" width="12.28515625" style="50" bestFit="1" customWidth="1"/>
    <col min="4" max="4" width="10.28515625" style="6" bestFit="1" customWidth="1"/>
    <col min="5" max="5" width="12.28515625" style="50" bestFit="1" customWidth="1"/>
    <col min="6" max="6" width="9.7109375" bestFit="1" customWidth="1"/>
    <col min="7" max="7" width="10.7109375" bestFit="1" customWidth="1"/>
    <col min="8" max="8" width="2.42578125" customWidth="1"/>
    <col min="9" max="9" width="9.7109375" style="6" bestFit="1" customWidth="1"/>
    <col min="10" max="10" width="10.7109375" style="50" bestFit="1" customWidth="1"/>
    <col min="11" max="11" width="9.7109375" bestFit="1" customWidth="1"/>
    <col min="12" max="12" width="11.140625" bestFit="1" customWidth="1"/>
  </cols>
  <sheetData>
    <row r="1" spans="1:12" x14ac:dyDescent="0.2">
      <c r="A1" t="s">
        <v>243</v>
      </c>
    </row>
    <row r="2" spans="1:12" x14ac:dyDescent="0.2">
      <c r="A2" t="s">
        <v>244</v>
      </c>
    </row>
    <row r="5" spans="1:12" x14ac:dyDescent="0.2">
      <c r="I5" s="6" t="s">
        <v>239</v>
      </c>
    </row>
    <row r="6" spans="1:12" x14ac:dyDescent="0.2">
      <c r="I6" s="6" t="s">
        <v>240</v>
      </c>
    </row>
    <row r="7" spans="1:12" s="3" customFormat="1" x14ac:dyDescent="0.2">
      <c r="B7" s="51" t="s">
        <v>234</v>
      </c>
      <c r="C7" s="52" t="s">
        <v>234</v>
      </c>
      <c r="D7" s="51" t="s">
        <v>235</v>
      </c>
      <c r="E7" s="52" t="s">
        <v>235</v>
      </c>
      <c r="F7" s="3" t="s">
        <v>236</v>
      </c>
      <c r="G7" s="3" t="s">
        <v>236</v>
      </c>
      <c r="I7" s="51"/>
      <c r="J7" s="52"/>
    </row>
    <row r="8" spans="1:12" s="3" customFormat="1" x14ac:dyDescent="0.2">
      <c r="B8" s="51" t="s">
        <v>229</v>
      </c>
      <c r="C8" s="52" t="s">
        <v>229</v>
      </c>
      <c r="D8" s="51" t="s">
        <v>232</v>
      </c>
      <c r="E8" s="52" t="s">
        <v>232</v>
      </c>
      <c r="F8" s="3" t="s">
        <v>233</v>
      </c>
      <c r="G8" s="3" t="s">
        <v>233</v>
      </c>
      <c r="I8" s="51" t="s">
        <v>237</v>
      </c>
      <c r="J8" s="52" t="s">
        <v>237</v>
      </c>
      <c r="K8" s="3" t="s">
        <v>238</v>
      </c>
      <c r="L8" s="3" t="s">
        <v>242</v>
      </c>
    </row>
    <row r="9" spans="1:12" s="3" customFormat="1" x14ac:dyDescent="0.2">
      <c r="A9" s="3" t="s">
        <v>228</v>
      </c>
      <c r="B9" s="51" t="s">
        <v>230</v>
      </c>
      <c r="C9" s="52" t="s">
        <v>231</v>
      </c>
      <c r="D9" s="51" t="s">
        <v>230</v>
      </c>
      <c r="E9" s="52" t="s">
        <v>231</v>
      </c>
      <c r="F9" s="3" t="s">
        <v>230</v>
      </c>
      <c r="G9" s="3" t="s">
        <v>231</v>
      </c>
      <c r="I9" s="51" t="s">
        <v>238</v>
      </c>
      <c r="J9" s="52" t="s">
        <v>231</v>
      </c>
      <c r="K9" s="3" t="s">
        <v>241</v>
      </c>
      <c r="L9" s="3" t="s">
        <v>241</v>
      </c>
    </row>
    <row r="10" spans="1:12" x14ac:dyDescent="0.2">
      <c r="F10" s="3" t="s">
        <v>234</v>
      </c>
      <c r="G10" s="3" t="s">
        <v>234</v>
      </c>
      <c r="I10" s="51" t="s">
        <v>235</v>
      </c>
      <c r="J10" s="52" t="s">
        <v>235</v>
      </c>
      <c r="K10" s="3" t="s">
        <v>236</v>
      </c>
      <c r="L10" s="3" t="s">
        <v>236</v>
      </c>
    </row>
    <row r="11" spans="1:12" x14ac:dyDescent="0.2">
      <c r="A11" s="49">
        <v>36739</v>
      </c>
      <c r="B11" s="6">
        <v>-181350</v>
      </c>
      <c r="C11" s="50">
        <v>-627549</v>
      </c>
      <c r="D11" s="6">
        <v>-183678</v>
      </c>
      <c r="E11" s="50">
        <v>-745295</v>
      </c>
      <c r="F11" s="6">
        <f>+B11-D11</f>
        <v>2328</v>
      </c>
      <c r="G11" s="50">
        <f>+C11-E11</f>
        <v>117746</v>
      </c>
      <c r="K11" s="6">
        <f t="shared" ref="K11:K21" si="0">+F11-I11</f>
        <v>2328</v>
      </c>
      <c r="L11" s="50">
        <f t="shared" ref="L11:L21" si="1">+G11-J11</f>
        <v>117746</v>
      </c>
    </row>
    <row r="12" spans="1:12" x14ac:dyDescent="0.2">
      <c r="A12" s="49">
        <v>36770</v>
      </c>
      <c r="B12" s="6">
        <v>-259324</v>
      </c>
      <c r="C12" s="50">
        <v>-1150345</v>
      </c>
      <c r="D12" s="6">
        <v>-305150</v>
      </c>
      <c r="E12" s="50">
        <v>-1482312.68</v>
      </c>
      <c r="F12" s="6">
        <f t="shared" ref="F12:F22" si="2">+B12-D12</f>
        <v>45826</v>
      </c>
      <c r="G12" s="50">
        <f t="shared" ref="G12:G22" si="3">+C12-E12</f>
        <v>331967.67999999993</v>
      </c>
      <c r="K12" s="6">
        <f t="shared" si="0"/>
        <v>45826</v>
      </c>
      <c r="L12" s="50">
        <f t="shared" si="1"/>
        <v>331967.67999999993</v>
      </c>
    </row>
    <row r="13" spans="1:12" x14ac:dyDescent="0.2">
      <c r="A13" s="49">
        <v>36800</v>
      </c>
      <c r="B13" s="6">
        <v>-218397</v>
      </c>
      <c r="C13" s="50">
        <v>-1076044</v>
      </c>
      <c r="D13" s="6">
        <v>-218930</v>
      </c>
      <c r="E13" s="50">
        <v>-1096461.69</v>
      </c>
      <c r="F13" s="6">
        <f t="shared" si="2"/>
        <v>533</v>
      </c>
      <c r="G13" s="50">
        <f t="shared" si="3"/>
        <v>20417.689999999944</v>
      </c>
      <c r="K13" s="6">
        <f t="shared" si="0"/>
        <v>533</v>
      </c>
      <c r="L13" s="50">
        <f t="shared" si="1"/>
        <v>20417.689999999944</v>
      </c>
    </row>
    <row r="14" spans="1:12" x14ac:dyDescent="0.2">
      <c r="A14" s="49">
        <v>36831</v>
      </c>
      <c r="B14" s="6">
        <v>-72422</v>
      </c>
      <c r="C14" s="50">
        <v>-276655</v>
      </c>
      <c r="D14" s="6">
        <v>-74695</v>
      </c>
      <c r="E14" s="50">
        <v>-308493.26</v>
      </c>
      <c r="F14" s="6">
        <f t="shared" si="2"/>
        <v>2273</v>
      </c>
      <c r="G14" s="50">
        <f t="shared" si="3"/>
        <v>31838.260000000009</v>
      </c>
      <c r="K14" s="6">
        <f t="shared" si="0"/>
        <v>2273</v>
      </c>
      <c r="L14" s="50">
        <f t="shared" si="1"/>
        <v>31838.260000000009</v>
      </c>
    </row>
    <row r="15" spans="1:12" x14ac:dyDescent="0.2">
      <c r="A15" s="49">
        <v>36861</v>
      </c>
      <c r="B15" s="6">
        <v>-283675</v>
      </c>
      <c r="C15" s="50">
        <v>-1873781</v>
      </c>
      <c r="D15" s="6">
        <v>-283797</v>
      </c>
      <c r="E15" s="50">
        <v>-1902965.52</v>
      </c>
      <c r="F15" s="6">
        <f t="shared" si="2"/>
        <v>122</v>
      </c>
      <c r="G15" s="50">
        <f t="shared" si="3"/>
        <v>29184.520000000019</v>
      </c>
      <c r="K15" s="6">
        <f t="shared" si="0"/>
        <v>122</v>
      </c>
      <c r="L15" s="50">
        <f t="shared" si="1"/>
        <v>29184.520000000019</v>
      </c>
    </row>
    <row r="16" spans="1:12" x14ac:dyDescent="0.2">
      <c r="A16" s="49">
        <v>36892</v>
      </c>
      <c r="B16" s="6">
        <v>-966435</v>
      </c>
      <c r="C16" s="50">
        <v>-8722384</v>
      </c>
      <c r="D16" s="6">
        <v>-969025</v>
      </c>
      <c r="E16" s="50">
        <v>-8781957.1899999995</v>
      </c>
      <c r="F16" s="6">
        <f t="shared" si="2"/>
        <v>2590</v>
      </c>
      <c r="G16" s="50">
        <f t="shared" si="3"/>
        <v>59573.189999999478</v>
      </c>
      <c r="K16" s="6">
        <f t="shared" si="0"/>
        <v>2590</v>
      </c>
      <c r="L16" s="50">
        <f t="shared" si="1"/>
        <v>59573.189999999478</v>
      </c>
    </row>
    <row r="17" spans="1:12" x14ac:dyDescent="0.2">
      <c r="A17" s="49">
        <v>36923</v>
      </c>
      <c r="B17" s="6">
        <v>-395656</v>
      </c>
      <c r="C17" s="50">
        <v>-2255552</v>
      </c>
      <c r="D17" s="6">
        <v>-415840</v>
      </c>
      <c r="E17" s="50">
        <v>-2397204.7999999998</v>
      </c>
      <c r="F17" s="6">
        <f t="shared" si="2"/>
        <v>20184</v>
      </c>
      <c r="G17" s="50">
        <f t="shared" si="3"/>
        <v>141652.79999999981</v>
      </c>
      <c r="K17" s="6">
        <f t="shared" si="0"/>
        <v>20184</v>
      </c>
      <c r="L17" s="50">
        <f t="shared" si="1"/>
        <v>141652.79999999981</v>
      </c>
    </row>
    <row r="18" spans="1:12" x14ac:dyDescent="0.2">
      <c r="A18" s="49">
        <v>36951</v>
      </c>
      <c r="B18" s="6">
        <v>356008</v>
      </c>
      <c r="C18" s="50">
        <v>1970144</v>
      </c>
      <c r="D18" s="6">
        <v>322469</v>
      </c>
      <c r="E18" s="50">
        <v>1664715.29</v>
      </c>
      <c r="F18" s="6">
        <f t="shared" si="2"/>
        <v>33539</v>
      </c>
      <c r="G18" s="50">
        <f t="shared" si="3"/>
        <v>305428.70999999996</v>
      </c>
      <c r="K18" s="6">
        <f t="shared" si="0"/>
        <v>33539</v>
      </c>
      <c r="L18" s="50">
        <f t="shared" si="1"/>
        <v>305428.70999999996</v>
      </c>
    </row>
    <row r="19" spans="1:12" x14ac:dyDescent="0.2">
      <c r="A19" s="49">
        <v>36982</v>
      </c>
      <c r="B19" s="6">
        <v>-525416</v>
      </c>
      <c r="C19" s="50">
        <v>-3216869</v>
      </c>
      <c r="D19" s="6">
        <v>-897070</v>
      </c>
      <c r="E19" s="50">
        <v>-4658841.22</v>
      </c>
      <c r="F19" s="6">
        <f t="shared" si="2"/>
        <v>371654</v>
      </c>
      <c r="G19" s="50">
        <f t="shared" si="3"/>
        <v>1441972.2199999997</v>
      </c>
      <c r="K19" s="6">
        <f t="shared" si="0"/>
        <v>371654</v>
      </c>
      <c r="L19" s="50">
        <f t="shared" si="1"/>
        <v>1441972.2199999997</v>
      </c>
    </row>
    <row r="20" spans="1:12" x14ac:dyDescent="0.2">
      <c r="A20" s="49">
        <v>37012</v>
      </c>
      <c r="B20" s="6">
        <v>182236</v>
      </c>
      <c r="C20" s="50">
        <v>1088539</v>
      </c>
      <c r="D20" s="6">
        <v>-263449</v>
      </c>
      <c r="E20" s="50">
        <v>-1075458.51</v>
      </c>
      <c r="F20" s="6">
        <f t="shared" si="2"/>
        <v>445685</v>
      </c>
      <c r="G20" s="50">
        <f t="shared" si="3"/>
        <v>2163997.5099999998</v>
      </c>
      <c r="K20" s="6">
        <f t="shared" si="0"/>
        <v>445685</v>
      </c>
      <c r="L20" s="50">
        <f t="shared" si="1"/>
        <v>2163997.5099999998</v>
      </c>
    </row>
    <row r="21" spans="1:12" x14ac:dyDescent="0.2">
      <c r="A21" s="49">
        <v>37043</v>
      </c>
      <c r="B21" s="6">
        <v>-434285</v>
      </c>
      <c r="C21" s="50">
        <v>-1642092</v>
      </c>
      <c r="D21" s="6">
        <v>-629737</v>
      </c>
      <c r="E21" s="50">
        <v>-2367041.34</v>
      </c>
      <c r="F21" s="6">
        <f t="shared" si="2"/>
        <v>195452</v>
      </c>
      <c r="G21" s="50">
        <f t="shared" si="3"/>
        <v>724949.33999999985</v>
      </c>
      <c r="K21" s="6">
        <f t="shared" si="0"/>
        <v>195452</v>
      </c>
      <c r="L21" s="50">
        <f t="shared" si="1"/>
        <v>724949.33999999985</v>
      </c>
    </row>
    <row r="22" spans="1:12" x14ac:dyDescent="0.2">
      <c r="A22" s="49">
        <v>37073</v>
      </c>
      <c r="B22" s="6">
        <v>1390164</v>
      </c>
      <c r="C22" s="50">
        <v>4284423</v>
      </c>
      <c r="D22" s="6">
        <v>-60474</v>
      </c>
      <c r="E22" s="50">
        <v>-181678.13</v>
      </c>
      <c r="F22" s="6">
        <f t="shared" si="2"/>
        <v>1450638</v>
      </c>
      <c r="G22" s="50">
        <f t="shared" si="3"/>
        <v>4466101.13</v>
      </c>
      <c r="I22" s="6">
        <f>170000+130000+180000+639146+338000</f>
        <v>1457146</v>
      </c>
      <c r="J22" s="50">
        <f>484500+434200+559800+2026092.82+967000</f>
        <v>4471592.82</v>
      </c>
      <c r="K22" s="6">
        <f>+F22-I22</f>
        <v>-6508</v>
      </c>
      <c r="L22" s="50">
        <f>+G22-J22</f>
        <v>-5491.6900000004098</v>
      </c>
    </row>
    <row r="24" spans="1:12" x14ac:dyDescent="0.2">
      <c r="B24" s="6">
        <f t="shared" ref="B24:G24" si="4">SUM(B11:B23)</f>
        <v>-1408552</v>
      </c>
      <c r="C24" s="50">
        <f t="shared" si="4"/>
        <v>-13498165</v>
      </c>
      <c r="D24" s="6">
        <f t="shared" si="4"/>
        <v>-3979376</v>
      </c>
      <c r="E24" s="50">
        <f t="shared" si="4"/>
        <v>-23332994.050000001</v>
      </c>
      <c r="F24" s="6">
        <f t="shared" si="4"/>
        <v>2570824</v>
      </c>
      <c r="G24" s="50">
        <f t="shared" si="4"/>
        <v>9834829.049999997</v>
      </c>
      <c r="I24" s="6">
        <f>SUM(I11:I23)</f>
        <v>1457146</v>
      </c>
      <c r="J24" s="50">
        <f>SUM(J11:J23)</f>
        <v>4471592.82</v>
      </c>
      <c r="K24" s="6">
        <f>SUM(K11:K23)</f>
        <v>1113678</v>
      </c>
      <c r="L24" s="50">
        <f>SUM(L11:L23)</f>
        <v>5363236.2299999977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>
      <selection activeCell="B1" sqref="B1"/>
    </sheetView>
  </sheetViews>
  <sheetFormatPr defaultRowHeight="12.75" x14ac:dyDescent="0.2"/>
  <cols>
    <col min="1" max="1" width="9.140625" style="3"/>
    <col min="2" max="2" width="38.85546875" customWidth="1"/>
    <col min="3" max="3" width="7.5703125" style="3" customWidth="1"/>
    <col min="4" max="4" width="20.5703125" customWidth="1"/>
    <col min="5" max="5" width="11.140625" style="7" customWidth="1"/>
    <col min="6" max="6" width="9.140625" style="6"/>
    <col min="7" max="7" width="10.28515625" style="6" customWidth="1"/>
    <col min="8" max="8" width="9.140625" style="13"/>
    <col min="9" max="9" width="14" style="13" bestFit="1" customWidth="1"/>
  </cols>
  <sheetData>
    <row r="1" spans="1:9" x14ac:dyDescent="0.2">
      <c r="A1" s="4" t="s">
        <v>73</v>
      </c>
    </row>
    <row r="2" spans="1:9" x14ac:dyDescent="0.2">
      <c r="A2" s="5">
        <v>36770</v>
      </c>
    </row>
    <row r="3" spans="1:9" s="1" customFormat="1" ht="38.25" x14ac:dyDescent="0.2">
      <c r="A3" s="2" t="s">
        <v>0</v>
      </c>
      <c r="B3" s="1" t="s">
        <v>1</v>
      </c>
      <c r="C3" s="2" t="s">
        <v>2</v>
      </c>
      <c r="D3" s="1" t="s">
        <v>3</v>
      </c>
      <c r="E3" s="8" t="s">
        <v>4</v>
      </c>
      <c r="F3" s="16" t="s">
        <v>88</v>
      </c>
      <c r="G3" s="16" t="s">
        <v>214</v>
      </c>
      <c r="H3" s="17"/>
      <c r="I3" s="17"/>
    </row>
    <row r="4" spans="1:9" x14ac:dyDescent="0.2">
      <c r="A4" s="3">
        <v>5736</v>
      </c>
      <c r="B4" t="s">
        <v>33</v>
      </c>
      <c r="C4" s="3">
        <v>8937</v>
      </c>
      <c r="D4" t="s">
        <v>9</v>
      </c>
      <c r="E4" s="7">
        <v>75339</v>
      </c>
      <c r="F4" s="6">
        <v>-221283</v>
      </c>
      <c r="G4" s="6">
        <f>+E4+F4</f>
        <v>-145944</v>
      </c>
    </row>
    <row r="5" spans="1:9" x14ac:dyDescent="0.2">
      <c r="A5" s="3">
        <v>4101</v>
      </c>
      <c r="B5" t="s">
        <v>38</v>
      </c>
      <c r="C5" s="3">
        <v>8948</v>
      </c>
      <c r="D5" t="s">
        <v>9</v>
      </c>
      <c r="E5" s="7">
        <v>-76912</v>
      </c>
      <c r="G5" s="6">
        <f t="shared" ref="G5:G83" si="0">+E5+F5</f>
        <v>-76912</v>
      </c>
    </row>
    <row r="6" spans="1:9" x14ac:dyDescent="0.2">
      <c r="A6" s="3">
        <v>6075</v>
      </c>
      <c r="B6" t="s">
        <v>51</v>
      </c>
      <c r="C6" s="3">
        <v>8970</v>
      </c>
      <c r="D6" t="s">
        <v>9</v>
      </c>
      <c r="E6" s="7">
        <v>-46832</v>
      </c>
      <c r="G6" s="6">
        <f t="shared" si="0"/>
        <v>-46832</v>
      </c>
    </row>
    <row r="7" spans="1:9" x14ac:dyDescent="0.2">
      <c r="A7" s="3">
        <v>12907</v>
      </c>
      <c r="B7" t="s">
        <v>26</v>
      </c>
      <c r="C7" s="3">
        <v>8922</v>
      </c>
      <c r="D7" t="s">
        <v>9</v>
      </c>
      <c r="E7" s="7">
        <v>-48517</v>
      </c>
      <c r="F7" s="6">
        <f>245+7635</f>
        <v>7880</v>
      </c>
      <c r="G7" s="6">
        <f t="shared" si="0"/>
        <v>-40637</v>
      </c>
    </row>
    <row r="8" spans="1:9" x14ac:dyDescent="0.2">
      <c r="A8" s="3">
        <v>4175</v>
      </c>
      <c r="B8" t="s">
        <v>18</v>
      </c>
      <c r="C8" s="3">
        <v>8909</v>
      </c>
      <c r="D8" t="s">
        <v>9</v>
      </c>
      <c r="E8" s="7">
        <v>-35930</v>
      </c>
      <c r="F8" s="6">
        <v>0</v>
      </c>
      <c r="G8" s="6">
        <f t="shared" si="0"/>
        <v>-35930</v>
      </c>
    </row>
    <row r="9" spans="1:9" x14ac:dyDescent="0.2">
      <c r="A9" s="3">
        <v>11687</v>
      </c>
      <c r="B9" t="s">
        <v>23</v>
      </c>
      <c r="C9" s="3">
        <v>8917</v>
      </c>
      <c r="D9" t="s">
        <v>9</v>
      </c>
      <c r="E9" s="7">
        <v>-31402</v>
      </c>
      <c r="G9" s="6">
        <f t="shared" si="0"/>
        <v>-31402</v>
      </c>
    </row>
    <row r="10" spans="1:9" x14ac:dyDescent="0.2">
      <c r="A10" s="3">
        <v>4109</v>
      </c>
      <c r="B10" t="s">
        <v>55</v>
      </c>
      <c r="C10" s="3">
        <v>8978</v>
      </c>
      <c r="D10" t="s">
        <v>9</v>
      </c>
      <c r="E10" s="7">
        <v>-25284</v>
      </c>
      <c r="G10" s="6">
        <f t="shared" si="0"/>
        <v>-25284</v>
      </c>
    </row>
    <row r="11" spans="1:9" x14ac:dyDescent="0.2">
      <c r="A11" s="3">
        <v>6431</v>
      </c>
      <c r="B11" t="s">
        <v>59</v>
      </c>
      <c r="C11" s="3">
        <v>8980</v>
      </c>
      <c r="D11" t="s">
        <v>9</v>
      </c>
      <c r="E11" s="7">
        <v>-19599</v>
      </c>
      <c r="G11" s="6">
        <f t="shared" si="0"/>
        <v>-19599</v>
      </c>
    </row>
    <row r="12" spans="1:9" x14ac:dyDescent="0.2">
      <c r="A12" s="3">
        <v>1004</v>
      </c>
      <c r="B12" t="s">
        <v>8</v>
      </c>
      <c r="C12" s="3">
        <v>8898</v>
      </c>
      <c r="D12" t="s">
        <v>9</v>
      </c>
      <c r="E12" s="7">
        <v>-13010</v>
      </c>
      <c r="G12" s="6">
        <f t="shared" si="0"/>
        <v>-13010</v>
      </c>
    </row>
    <row r="13" spans="1:9" x14ac:dyDescent="0.2">
      <c r="A13" s="3">
        <v>11185</v>
      </c>
      <c r="B13" t="s">
        <v>39</v>
      </c>
      <c r="C13" s="3">
        <v>8950</v>
      </c>
      <c r="D13" t="s">
        <v>9</v>
      </c>
      <c r="E13" s="7">
        <v>-12761</v>
      </c>
      <c r="G13" s="6">
        <f t="shared" si="0"/>
        <v>-12761</v>
      </c>
    </row>
    <row r="14" spans="1:9" x14ac:dyDescent="0.2">
      <c r="A14" s="3">
        <v>11516</v>
      </c>
      <c r="B14" t="s">
        <v>43</v>
      </c>
      <c r="C14" s="3">
        <v>8957</v>
      </c>
      <c r="D14" t="s">
        <v>9</v>
      </c>
      <c r="E14" s="7">
        <v>-11669</v>
      </c>
      <c r="G14" s="6">
        <f t="shared" si="0"/>
        <v>-11669</v>
      </c>
    </row>
    <row r="15" spans="1:9" x14ac:dyDescent="0.2">
      <c r="A15" s="3">
        <v>4133</v>
      </c>
      <c r="B15" t="s">
        <v>54</v>
      </c>
      <c r="C15" s="3">
        <v>8976</v>
      </c>
      <c r="D15" t="s">
        <v>9</v>
      </c>
      <c r="E15" s="7">
        <v>-5123</v>
      </c>
      <c r="G15" s="6">
        <f t="shared" si="0"/>
        <v>-5123</v>
      </c>
    </row>
    <row r="16" spans="1:9" x14ac:dyDescent="0.2">
      <c r="A16" s="3">
        <v>6268</v>
      </c>
      <c r="B16" t="s">
        <v>30</v>
      </c>
      <c r="C16" s="3">
        <v>8932</v>
      </c>
      <c r="D16" t="s">
        <v>9</v>
      </c>
      <c r="E16" s="7">
        <v>-226213</v>
      </c>
      <c r="F16" s="6">
        <f>135+221283</f>
        <v>221418</v>
      </c>
      <c r="G16" s="6">
        <f t="shared" si="0"/>
        <v>-4795</v>
      </c>
    </row>
    <row r="17" spans="1:9" x14ac:dyDescent="0.2">
      <c r="A17" s="3">
        <v>4084</v>
      </c>
      <c r="B17" t="s">
        <v>34</v>
      </c>
      <c r="C17" s="3">
        <v>8940</v>
      </c>
      <c r="D17" t="s">
        <v>13</v>
      </c>
      <c r="E17" s="7">
        <v>-4506</v>
      </c>
      <c r="G17" s="6">
        <f t="shared" si="0"/>
        <v>-4506</v>
      </c>
    </row>
    <row r="18" spans="1:9" x14ac:dyDescent="0.2">
      <c r="A18" s="3">
        <v>3974</v>
      </c>
      <c r="B18" t="s">
        <v>52</v>
      </c>
      <c r="C18" s="3">
        <v>8971</v>
      </c>
      <c r="D18" t="s">
        <v>9</v>
      </c>
      <c r="E18" s="7">
        <v>-3537</v>
      </c>
      <c r="G18" s="6">
        <f t="shared" si="0"/>
        <v>-3537</v>
      </c>
    </row>
    <row r="19" spans="1:9" x14ac:dyDescent="0.2">
      <c r="A19" s="3">
        <v>287</v>
      </c>
      <c r="B19" t="s">
        <v>29</v>
      </c>
      <c r="C19" s="3">
        <v>8927</v>
      </c>
      <c r="D19" t="s">
        <v>9</v>
      </c>
      <c r="E19" s="7">
        <v>-3377</v>
      </c>
      <c r="G19" s="6">
        <f t="shared" si="0"/>
        <v>-3377</v>
      </c>
    </row>
    <row r="20" spans="1:9" x14ac:dyDescent="0.2">
      <c r="A20" s="3">
        <v>2974</v>
      </c>
      <c r="B20" t="s">
        <v>46</v>
      </c>
      <c r="C20" s="3">
        <v>8961</v>
      </c>
      <c r="D20" t="s">
        <v>9</v>
      </c>
      <c r="E20" s="7">
        <v>-10823</v>
      </c>
      <c r="F20" s="6">
        <f>1823+5851</f>
        <v>7674</v>
      </c>
      <c r="G20" s="6">
        <f t="shared" si="0"/>
        <v>-3149</v>
      </c>
    </row>
    <row r="21" spans="1:9" x14ac:dyDescent="0.2">
      <c r="A21" s="3">
        <v>655</v>
      </c>
      <c r="B21" t="s">
        <v>32</v>
      </c>
      <c r="C21" s="3">
        <v>8935</v>
      </c>
      <c r="D21" t="s">
        <v>9</v>
      </c>
      <c r="E21" s="7">
        <v>-2342</v>
      </c>
      <c r="G21" s="6">
        <f t="shared" si="0"/>
        <v>-2342</v>
      </c>
    </row>
    <row r="22" spans="1:9" x14ac:dyDescent="0.2">
      <c r="A22" s="3">
        <v>4079</v>
      </c>
      <c r="B22" t="s">
        <v>49</v>
      </c>
      <c r="C22" s="3">
        <v>8967</v>
      </c>
      <c r="D22" t="s">
        <v>9</v>
      </c>
      <c r="E22" s="7">
        <v>-2081</v>
      </c>
      <c r="G22" s="6">
        <f t="shared" si="0"/>
        <v>-2081</v>
      </c>
    </row>
    <row r="23" spans="1:9" x14ac:dyDescent="0.2">
      <c r="A23" s="3">
        <v>6228</v>
      </c>
      <c r="B23" t="s">
        <v>17</v>
      </c>
      <c r="C23" s="3">
        <v>8908</v>
      </c>
      <c r="D23" t="s">
        <v>9</v>
      </c>
      <c r="E23" s="7">
        <v>-2038</v>
      </c>
      <c r="G23" s="6">
        <f t="shared" si="0"/>
        <v>-2038</v>
      </c>
    </row>
    <row r="24" spans="1:9" x14ac:dyDescent="0.2">
      <c r="A24" s="3">
        <v>11594</v>
      </c>
      <c r="B24" t="s">
        <v>12</v>
      </c>
      <c r="C24" s="3">
        <v>8901</v>
      </c>
      <c r="D24" t="s">
        <v>9</v>
      </c>
      <c r="E24" s="7">
        <v>-825</v>
      </c>
      <c r="G24" s="6">
        <f t="shared" si="0"/>
        <v>-825</v>
      </c>
    </row>
    <row r="25" spans="1:9" x14ac:dyDescent="0.2">
      <c r="A25" s="3">
        <v>330</v>
      </c>
      <c r="B25" t="s">
        <v>28</v>
      </c>
      <c r="C25" s="3">
        <v>8926</v>
      </c>
      <c r="D25" t="s">
        <v>13</v>
      </c>
      <c r="E25" s="7">
        <v>-689</v>
      </c>
      <c r="G25" s="6">
        <f t="shared" si="0"/>
        <v>-689</v>
      </c>
    </row>
    <row r="26" spans="1:9" x14ac:dyDescent="0.2">
      <c r="A26" s="3">
        <v>11594</v>
      </c>
      <c r="B26" t="s">
        <v>12</v>
      </c>
      <c r="C26" s="3">
        <v>8902</v>
      </c>
      <c r="D26" t="s">
        <v>13</v>
      </c>
      <c r="E26" s="7">
        <v>-610</v>
      </c>
      <c r="G26" s="6">
        <f t="shared" si="0"/>
        <v>-610</v>
      </c>
    </row>
    <row r="27" spans="1:9" x14ac:dyDescent="0.2">
      <c r="A27" s="3">
        <v>11729</v>
      </c>
      <c r="B27" t="s">
        <v>35</v>
      </c>
      <c r="C27" s="3">
        <v>8941</v>
      </c>
      <c r="D27" t="s">
        <v>9</v>
      </c>
      <c r="E27" s="7">
        <v>-82</v>
      </c>
      <c r="G27" s="6">
        <f t="shared" si="0"/>
        <v>-82</v>
      </c>
    </row>
    <row r="28" spans="1:9" s="9" customFormat="1" x14ac:dyDescent="0.2">
      <c r="A28" s="12"/>
      <c r="B28" s="9" t="s">
        <v>217</v>
      </c>
      <c r="C28" s="12"/>
      <c r="E28" s="10">
        <f>SUM(E4:E27)</f>
        <v>-508823</v>
      </c>
      <c r="F28" s="10">
        <f>SUM(F4:F27)</f>
        <v>15689</v>
      </c>
      <c r="G28" s="10">
        <f>SUM(G4:G27)</f>
        <v>-493134</v>
      </c>
      <c r="H28" s="14">
        <v>4.9000000000000004</v>
      </c>
      <c r="I28" s="14">
        <f>ROUND(G28*H28,2)</f>
        <v>-2416356.6</v>
      </c>
    </row>
    <row r="31" spans="1:9" x14ac:dyDescent="0.2">
      <c r="A31" s="3">
        <v>4084</v>
      </c>
      <c r="B31" t="s">
        <v>34</v>
      </c>
      <c r="C31" s="3">
        <v>8939</v>
      </c>
      <c r="D31" t="s">
        <v>9</v>
      </c>
      <c r="E31" s="7">
        <v>5851</v>
      </c>
      <c r="F31" s="6">
        <v>-5851</v>
      </c>
      <c r="G31" s="6">
        <f t="shared" si="0"/>
        <v>0</v>
      </c>
    </row>
    <row r="32" spans="1:9" x14ac:dyDescent="0.2">
      <c r="A32" s="3">
        <v>4118</v>
      </c>
      <c r="B32" t="s">
        <v>45</v>
      </c>
      <c r="C32" s="3">
        <v>8960</v>
      </c>
      <c r="D32" t="s">
        <v>9</v>
      </c>
      <c r="E32" s="7">
        <v>245</v>
      </c>
      <c r="F32" s="6">
        <v>-245</v>
      </c>
      <c r="G32" s="6">
        <f t="shared" si="0"/>
        <v>0</v>
      </c>
    </row>
    <row r="33" spans="1:9" x14ac:dyDescent="0.2">
      <c r="A33" s="3">
        <v>4120</v>
      </c>
      <c r="B33" t="s">
        <v>47</v>
      </c>
      <c r="C33" s="3">
        <v>8964</v>
      </c>
      <c r="D33" t="s">
        <v>9</v>
      </c>
      <c r="E33" s="7">
        <v>46497</v>
      </c>
      <c r="F33" s="6">
        <v>-46497</v>
      </c>
      <c r="G33" s="6">
        <f t="shared" si="0"/>
        <v>0</v>
      </c>
    </row>
    <row r="34" spans="1:9" x14ac:dyDescent="0.2">
      <c r="A34" s="3">
        <v>4179</v>
      </c>
      <c r="B34" t="s">
        <v>21</v>
      </c>
      <c r="C34" s="3">
        <v>8913</v>
      </c>
      <c r="D34" t="s">
        <v>9</v>
      </c>
      <c r="E34" s="7">
        <v>-12928</v>
      </c>
      <c r="F34" s="6">
        <v>12928</v>
      </c>
      <c r="G34" s="6">
        <f t="shared" si="0"/>
        <v>0</v>
      </c>
    </row>
    <row r="35" spans="1:9" x14ac:dyDescent="0.2">
      <c r="A35" s="3">
        <v>11299</v>
      </c>
      <c r="B35" t="s">
        <v>15</v>
      </c>
      <c r="C35" s="3">
        <v>8905</v>
      </c>
      <c r="D35" t="s">
        <v>9</v>
      </c>
      <c r="E35" s="7">
        <v>1823</v>
      </c>
      <c r="F35" s="6">
        <v>-1823</v>
      </c>
      <c r="G35" s="6">
        <f t="shared" si="0"/>
        <v>0</v>
      </c>
    </row>
    <row r="36" spans="1:9" x14ac:dyDescent="0.2">
      <c r="A36" s="3">
        <v>11420</v>
      </c>
      <c r="B36" t="s">
        <v>40</v>
      </c>
      <c r="C36" s="3">
        <v>8953</v>
      </c>
      <c r="D36" t="s">
        <v>9</v>
      </c>
      <c r="E36" s="7">
        <v>-1572</v>
      </c>
      <c r="F36" s="6">
        <v>1572</v>
      </c>
      <c r="G36" s="6">
        <f t="shared" si="0"/>
        <v>0</v>
      </c>
    </row>
    <row r="37" spans="1:9" x14ac:dyDescent="0.2">
      <c r="A37" s="3">
        <v>11793</v>
      </c>
      <c r="B37" t="s">
        <v>37</v>
      </c>
      <c r="C37" s="3">
        <v>8944</v>
      </c>
      <c r="D37" t="s">
        <v>9</v>
      </c>
      <c r="E37" s="7">
        <v>-24362</v>
      </c>
      <c r="F37" s="6">
        <v>24362</v>
      </c>
      <c r="G37" s="6">
        <f t="shared" si="0"/>
        <v>0</v>
      </c>
    </row>
    <row r="38" spans="1:9" x14ac:dyDescent="0.2">
      <c r="A38" s="3">
        <v>2974</v>
      </c>
      <c r="B38" t="s">
        <v>46</v>
      </c>
      <c r="C38" s="3">
        <v>8962</v>
      </c>
      <c r="D38" t="s">
        <v>13</v>
      </c>
      <c r="E38" s="7">
        <v>608</v>
      </c>
      <c r="F38" s="6">
        <v>-608</v>
      </c>
      <c r="G38" s="6">
        <f t="shared" si="0"/>
        <v>0</v>
      </c>
    </row>
    <row r="39" spans="1:9" x14ac:dyDescent="0.2">
      <c r="A39" s="3">
        <v>4120</v>
      </c>
      <c r="B39" t="s">
        <v>47</v>
      </c>
      <c r="C39" s="3">
        <v>8965</v>
      </c>
      <c r="D39" t="s">
        <v>13</v>
      </c>
      <c r="E39" s="7">
        <v>-62218</v>
      </c>
      <c r="F39" s="6">
        <v>62218</v>
      </c>
      <c r="G39" s="6">
        <f t="shared" si="0"/>
        <v>0</v>
      </c>
    </row>
    <row r="40" spans="1:9" x14ac:dyDescent="0.2">
      <c r="A40" s="3">
        <v>4175</v>
      </c>
      <c r="B40" t="s">
        <v>18</v>
      </c>
      <c r="C40" s="3">
        <v>8910</v>
      </c>
      <c r="D40" t="s">
        <v>13</v>
      </c>
      <c r="E40" s="7">
        <v>-11847</v>
      </c>
      <c r="F40" s="6">
        <v>11847</v>
      </c>
      <c r="G40" s="6">
        <f t="shared" si="0"/>
        <v>0</v>
      </c>
    </row>
    <row r="41" spans="1:9" x14ac:dyDescent="0.2">
      <c r="A41" s="3">
        <v>11793</v>
      </c>
      <c r="B41" t="s">
        <v>37</v>
      </c>
      <c r="C41" s="3">
        <v>8945</v>
      </c>
      <c r="D41" t="s">
        <v>13</v>
      </c>
      <c r="E41" s="7">
        <v>1062</v>
      </c>
      <c r="F41" s="6">
        <v>-1062</v>
      </c>
      <c r="G41" s="6">
        <f t="shared" si="0"/>
        <v>0</v>
      </c>
    </row>
    <row r="42" spans="1:9" x14ac:dyDescent="0.2">
      <c r="A42" s="3">
        <v>6268</v>
      </c>
      <c r="B42" t="s">
        <v>30</v>
      </c>
      <c r="C42" s="3">
        <v>8933</v>
      </c>
      <c r="D42" t="s">
        <v>31</v>
      </c>
      <c r="E42" s="7">
        <v>135</v>
      </c>
      <c r="F42" s="6">
        <v>-135</v>
      </c>
      <c r="G42" s="6">
        <f>+E42+F42</f>
        <v>0</v>
      </c>
    </row>
    <row r="43" spans="1:9" x14ac:dyDescent="0.2">
      <c r="A43" s="3">
        <v>6321</v>
      </c>
      <c r="B43" t="s">
        <v>50</v>
      </c>
      <c r="C43" s="3">
        <v>8969</v>
      </c>
      <c r="D43" t="s">
        <v>9</v>
      </c>
      <c r="E43" s="7">
        <v>34</v>
      </c>
      <c r="G43" s="6">
        <f t="shared" si="0"/>
        <v>34</v>
      </c>
    </row>
    <row r="44" spans="1:9" x14ac:dyDescent="0.2">
      <c r="A44" s="3">
        <v>4131</v>
      </c>
      <c r="B44" t="s">
        <v>60</v>
      </c>
      <c r="C44" s="3">
        <v>8972</v>
      </c>
      <c r="D44" t="s">
        <v>13</v>
      </c>
      <c r="E44" s="7">
        <v>95</v>
      </c>
      <c r="G44" s="6">
        <f t="shared" si="0"/>
        <v>95</v>
      </c>
    </row>
    <row r="45" spans="1:9" x14ac:dyDescent="0.2">
      <c r="A45" s="3">
        <v>11299</v>
      </c>
      <c r="B45" t="s">
        <v>15</v>
      </c>
      <c r="C45" s="3">
        <v>8906</v>
      </c>
      <c r="D45" t="s">
        <v>13</v>
      </c>
      <c r="E45" s="7">
        <v>15361</v>
      </c>
      <c r="F45" s="6">
        <v>-11239</v>
      </c>
      <c r="G45" s="6">
        <f t="shared" si="0"/>
        <v>4122</v>
      </c>
    </row>
    <row r="46" spans="1:9" s="9" customFormat="1" x14ac:dyDescent="0.2">
      <c r="A46" s="12"/>
      <c r="B46" s="9" t="s">
        <v>218</v>
      </c>
      <c r="C46" s="12"/>
      <c r="E46" s="10">
        <f>SUM(E31:E45)</f>
        <v>-41216</v>
      </c>
      <c r="F46" s="10">
        <f>SUM(F31:F45)</f>
        <v>45467</v>
      </c>
      <c r="G46" s="10">
        <f>SUM(G31:G45)</f>
        <v>4251</v>
      </c>
      <c r="H46" s="14">
        <v>4.96</v>
      </c>
      <c r="I46" s="14">
        <f>ROUND(G46*H46,2)</f>
        <v>21084.959999999999</v>
      </c>
    </row>
    <row r="48" spans="1:9" s="9" customFormat="1" x14ac:dyDescent="0.2">
      <c r="A48" s="12"/>
      <c r="B48" s="9" t="s">
        <v>74</v>
      </c>
      <c r="C48" s="12"/>
      <c r="E48" s="11"/>
      <c r="F48" s="10"/>
      <c r="G48" s="10">
        <f>+G28+G46</f>
        <v>-488883</v>
      </c>
      <c r="H48" s="14"/>
      <c r="I48" s="14"/>
    </row>
    <row r="50" spans="1:9" s="9" customFormat="1" x14ac:dyDescent="0.2">
      <c r="A50" s="12"/>
      <c r="B50" s="9" t="s">
        <v>75</v>
      </c>
      <c r="C50" s="12"/>
      <c r="E50" s="11"/>
      <c r="F50" s="10"/>
      <c r="G50" s="10">
        <v>-475162</v>
      </c>
      <c r="H50" s="14"/>
      <c r="I50" s="14"/>
    </row>
    <row r="51" spans="1:9" s="9" customFormat="1" x14ac:dyDescent="0.2">
      <c r="A51" s="12"/>
      <c r="B51" s="9" t="s">
        <v>76</v>
      </c>
      <c r="C51" s="12"/>
      <c r="E51" s="11"/>
      <c r="F51" s="10"/>
      <c r="G51" s="10">
        <v>-60868</v>
      </c>
      <c r="H51" s="14"/>
      <c r="I51" s="14"/>
    </row>
    <row r="52" spans="1:9" s="9" customFormat="1" x14ac:dyDescent="0.2">
      <c r="A52" s="12"/>
      <c r="B52" s="9" t="s">
        <v>71</v>
      </c>
      <c r="C52" s="12"/>
      <c r="E52" s="11"/>
      <c r="F52" s="10"/>
      <c r="G52" s="10">
        <f>+G48-G50-G51</f>
        <v>47147</v>
      </c>
      <c r="H52" s="14"/>
      <c r="I52" s="14"/>
    </row>
    <row r="59" spans="1:9" x14ac:dyDescent="0.2">
      <c r="A59" s="3">
        <v>5736</v>
      </c>
      <c r="B59" t="s">
        <v>33</v>
      </c>
      <c r="C59" s="3">
        <v>8936</v>
      </c>
      <c r="D59" t="s">
        <v>5</v>
      </c>
      <c r="E59" s="7">
        <v>-5121</v>
      </c>
      <c r="G59" s="6">
        <f t="shared" si="0"/>
        <v>-5121</v>
      </c>
    </row>
    <row r="60" spans="1:9" x14ac:dyDescent="0.2">
      <c r="A60" s="3">
        <v>15</v>
      </c>
      <c r="B60" t="s">
        <v>36</v>
      </c>
      <c r="C60" s="3">
        <v>8942</v>
      </c>
      <c r="D60" t="s">
        <v>5</v>
      </c>
      <c r="E60" s="7">
        <v>-3414</v>
      </c>
      <c r="G60" s="6">
        <f t="shared" si="0"/>
        <v>-3414</v>
      </c>
    </row>
    <row r="61" spans="1:9" x14ac:dyDescent="0.2">
      <c r="A61" s="3">
        <v>11687</v>
      </c>
      <c r="B61" t="s">
        <v>23</v>
      </c>
      <c r="C61" s="3">
        <v>8916</v>
      </c>
      <c r="D61" t="s">
        <v>5</v>
      </c>
      <c r="E61" s="7">
        <v>-2605</v>
      </c>
      <c r="F61" s="6">
        <v>1458</v>
      </c>
      <c r="G61" s="6">
        <f t="shared" si="0"/>
        <v>-1147</v>
      </c>
    </row>
    <row r="62" spans="1:9" x14ac:dyDescent="0.2">
      <c r="A62" s="3">
        <v>11893</v>
      </c>
      <c r="B62" t="s">
        <v>57</v>
      </c>
      <c r="C62" s="3">
        <v>8982</v>
      </c>
      <c r="D62" t="s">
        <v>5</v>
      </c>
      <c r="E62" s="7">
        <v>-640</v>
      </c>
      <c r="G62" s="6">
        <f t="shared" si="0"/>
        <v>-640</v>
      </c>
    </row>
    <row r="63" spans="1:9" x14ac:dyDescent="0.2">
      <c r="A63" s="3">
        <v>757</v>
      </c>
      <c r="B63" t="s">
        <v>56</v>
      </c>
      <c r="C63" s="3">
        <v>8981</v>
      </c>
      <c r="D63" t="s">
        <v>5</v>
      </c>
      <c r="E63" s="7">
        <v>-312</v>
      </c>
      <c r="G63" s="6">
        <f t="shared" si="0"/>
        <v>-312</v>
      </c>
    </row>
    <row r="64" spans="1:9" x14ac:dyDescent="0.2">
      <c r="A64" s="3">
        <v>11641</v>
      </c>
      <c r="B64" t="s">
        <v>19</v>
      </c>
      <c r="C64" s="3">
        <v>8911</v>
      </c>
      <c r="D64" t="s">
        <v>5</v>
      </c>
      <c r="E64" s="7">
        <v>-308</v>
      </c>
      <c r="G64" s="6">
        <f t="shared" si="0"/>
        <v>-308</v>
      </c>
    </row>
    <row r="65" spans="1:9" s="9" customFormat="1" x14ac:dyDescent="0.2">
      <c r="A65" s="12"/>
      <c r="C65" s="12"/>
      <c r="E65" s="10">
        <f>SUM(E59:E64)</f>
        <v>-12400</v>
      </c>
      <c r="F65" s="10">
        <f>SUM(F59:F64)</f>
        <v>1458</v>
      </c>
      <c r="G65" s="10">
        <f>SUM(G59:G64)</f>
        <v>-10942</v>
      </c>
      <c r="H65" s="14">
        <v>4.9000000000000004</v>
      </c>
      <c r="I65" s="14">
        <f>ROUND(G65*H65,2)</f>
        <v>-53615.8</v>
      </c>
    </row>
    <row r="68" spans="1:9" x14ac:dyDescent="0.2">
      <c r="A68" s="3">
        <v>285</v>
      </c>
      <c r="B68" t="s">
        <v>11</v>
      </c>
      <c r="C68" s="3">
        <v>8900</v>
      </c>
      <c r="D68" t="s">
        <v>5</v>
      </c>
      <c r="E68" s="7">
        <v>198</v>
      </c>
      <c r="F68" s="6">
        <v>-198</v>
      </c>
      <c r="G68" s="6">
        <f t="shared" si="0"/>
        <v>0</v>
      </c>
    </row>
    <row r="69" spans="1:9" x14ac:dyDescent="0.2">
      <c r="A69" s="3">
        <v>4118</v>
      </c>
      <c r="B69" t="s">
        <v>45</v>
      </c>
      <c r="C69" s="3">
        <v>8959</v>
      </c>
      <c r="D69" t="s">
        <v>5</v>
      </c>
      <c r="E69" s="7">
        <v>255</v>
      </c>
      <c r="F69" s="6">
        <v>-255</v>
      </c>
      <c r="G69" s="6">
        <f t="shared" si="0"/>
        <v>0</v>
      </c>
    </row>
    <row r="70" spans="1:9" x14ac:dyDescent="0.2">
      <c r="A70" s="3">
        <v>4120</v>
      </c>
      <c r="B70" t="s">
        <v>47</v>
      </c>
      <c r="C70" s="3">
        <v>8963</v>
      </c>
      <c r="D70" t="s">
        <v>5</v>
      </c>
      <c r="E70" s="7">
        <v>1797</v>
      </c>
      <c r="F70" s="6">
        <v>-1797</v>
      </c>
      <c r="G70" s="6">
        <f>+E70+F70</f>
        <v>0</v>
      </c>
    </row>
    <row r="71" spans="1:9" x14ac:dyDescent="0.2">
      <c r="A71" s="3">
        <v>6268</v>
      </c>
      <c r="B71" t="s">
        <v>30</v>
      </c>
      <c r="C71" s="3">
        <v>8931</v>
      </c>
      <c r="D71" t="s">
        <v>5</v>
      </c>
      <c r="E71" s="7">
        <v>601</v>
      </c>
      <c r="F71" s="6">
        <v>-601</v>
      </c>
      <c r="G71" s="6">
        <f t="shared" si="0"/>
        <v>0</v>
      </c>
    </row>
    <row r="72" spans="1:9" x14ac:dyDescent="0.2">
      <c r="A72" s="3">
        <v>11128</v>
      </c>
      <c r="B72" t="s">
        <v>48</v>
      </c>
      <c r="C72" s="3">
        <v>8966</v>
      </c>
      <c r="D72" t="s">
        <v>5</v>
      </c>
      <c r="E72" s="7">
        <v>12</v>
      </c>
      <c r="F72" s="6">
        <v>-12</v>
      </c>
      <c r="G72" s="6">
        <f t="shared" ref="G72:G108" si="1">+E72+F72</f>
        <v>0</v>
      </c>
    </row>
    <row r="73" spans="1:9" x14ac:dyDescent="0.2">
      <c r="A73" s="3">
        <v>11143</v>
      </c>
      <c r="B73" t="s">
        <v>42</v>
      </c>
      <c r="C73" s="3">
        <v>8955</v>
      </c>
      <c r="D73" t="s">
        <v>5</v>
      </c>
      <c r="E73" s="7">
        <v>2241</v>
      </c>
      <c r="F73" s="6">
        <v>-2241</v>
      </c>
      <c r="G73" s="6">
        <f t="shared" si="1"/>
        <v>0</v>
      </c>
    </row>
    <row r="74" spans="1:9" x14ac:dyDescent="0.2">
      <c r="A74" s="3">
        <v>11420</v>
      </c>
      <c r="B74" t="s">
        <v>40</v>
      </c>
      <c r="C74" s="3">
        <v>8952</v>
      </c>
      <c r="D74" t="s">
        <v>5</v>
      </c>
      <c r="E74" s="7">
        <v>-339</v>
      </c>
      <c r="F74" s="6">
        <v>339</v>
      </c>
      <c r="G74" s="6">
        <f t="shared" si="1"/>
        <v>0</v>
      </c>
    </row>
    <row r="75" spans="1:9" x14ac:dyDescent="0.2">
      <c r="A75" s="3">
        <v>11793</v>
      </c>
      <c r="B75" t="s">
        <v>37</v>
      </c>
      <c r="C75" s="3">
        <v>8943</v>
      </c>
      <c r="D75" t="s">
        <v>5</v>
      </c>
      <c r="E75" s="7">
        <v>51455</v>
      </c>
      <c r="F75" s="6">
        <v>-51455</v>
      </c>
      <c r="G75" s="6">
        <f t="shared" si="1"/>
        <v>0</v>
      </c>
    </row>
    <row r="76" spans="1:9" x14ac:dyDescent="0.2">
      <c r="A76" s="3">
        <v>12673</v>
      </c>
      <c r="B76" t="s">
        <v>61</v>
      </c>
      <c r="C76" s="3">
        <v>8896</v>
      </c>
      <c r="D76" t="s">
        <v>5</v>
      </c>
      <c r="E76" s="7">
        <v>-16857</v>
      </c>
      <c r="F76" s="6">
        <v>16857</v>
      </c>
      <c r="G76" s="6">
        <f t="shared" si="1"/>
        <v>0</v>
      </c>
    </row>
    <row r="77" spans="1:9" x14ac:dyDescent="0.2">
      <c r="A77" s="3">
        <v>4084</v>
      </c>
      <c r="B77" t="s">
        <v>34</v>
      </c>
      <c r="C77" s="3">
        <v>8938</v>
      </c>
      <c r="D77" t="s">
        <v>5</v>
      </c>
      <c r="E77" s="7">
        <v>1</v>
      </c>
      <c r="G77" s="6">
        <f t="shared" si="1"/>
        <v>1</v>
      </c>
    </row>
    <row r="78" spans="1:9" x14ac:dyDescent="0.2">
      <c r="A78" s="3">
        <v>4101</v>
      </c>
      <c r="B78" t="s">
        <v>38</v>
      </c>
      <c r="C78" s="3">
        <v>8947</v>
      </c>
      <c r="D78" t="s">
        <v>5</v>
      </c>
      <c r="E78" s="7">
        <v>1</v>
      </c>
      <c r="G78" s="6">
        <f t="shared" si="1"/>
        <v>1</v>
      </c>
    </row>
    <row r="79" spans="1:9" x14ac:dyDescent="0.2">
      <c r="A79" s="3">
        <v>7637</v>
      </c>
      <c r="B79" t="s">
        <v>79</v>
      </c>
      <c r="C79" s="3">
        <v>8949</v>
      </c>
      <c r="D79" t="s">
        <v>5</v>
      </c>
      <c r="E79" s="7">
        <v>2</v>
      </c>
      <c r="G79" s="6">
        <f t="shared" si="1"/>
        <v>2</v>
      </c>
    </row>
    <row r="80" spans="1:9" x14ac:dyDescent="0.2">
      <c r="A80" s="3">
        <v>11516</v>
      </c>
      <c r="B80" t="s">
        <v>43</v>
      </c>
      <c r="C80" s="3">
        <v>8956</v>
      </c>
      <c r="D80" t="s">
        <v>5</v>
      </c>
      <c r="E80" s="7">
        <v>3</v>
      </c>
      <c r="G80" s="6">
        <f t="shared" si="1"/>
        <v>3</v>
      </c>
    </row>
    <row r="81" spans="1:7" x14ac:dyDescent="0.2">
      <c r="A81" s="3">
        <v>11517</v>
      </c>
      <c r="B81" t="s">
        <v>44</v>
      </c>
      <c r="C81" s="3">
        <v>8958</v>
      </c>
      <c r="D81" t="s">
        <v>5</v>
      </c>
      <c r="E81" s="7">
        <v>5</v>
      </c>
      <c r="G81" s="6">
        <f t="shared" si="1"/>
        <v>5</v>
      </c>
    </row>
    <row r="82" spans="1:7" x14ac:dyDescent="0.2">
      <c r="A82" s="3">
        <v>11611</v>
      </c>
      <c r="B82" t="s">
        <v>63</v>
      </c>
      <c r="C82" s="3">
        <v>8915</v>
      </c>
      <c r="D82" t="s">
        <v>5</v>
      </c>
      <c r="E82" s="7">
        <v>5</v>
      </c>
      <c r="G82" s="6">
        <f t="shared" si="1"/>
        <v>5</v>
      </c>
    </row>
    <row r="83" spans="1:7" x14ac:dyDescent="0.2">
      <c r="A83" s="3">
        <v>4052</v>
      </c>
      <c r="B83" t="s">
        <v>67</v>
      </c>
      <c r="C83" s="3">
        <v>8984</v>
      </c>
      <c r="D83" t="s">
        <v>5</v>
      </c>
      <c r="E83" s="7">
        <v>1</v>
      </c>
      <c r="F83" s="6">
        <v>24</v>
      </c>
      <c r="G83" s="6">
        <f t="shared" si="0"/>
        <v>25</v>
      </c>
    </row>
    <row r="84" spans="1:7" x14ac:dyDescent="0.2">
      <c r="A84" s="3">
        <v>8667</v>
      </c>
      <c r="B84" t="s">
        <v>80</v>
      </c>
      <c r="C84" s="3">
        <v>8979</v>
      </c>
      <c r="D84" t="s">
        <v>5</v>
      </c>
      <c r="E84" s="7">
        <v>29</v>
      </c>
      <c r="G84" s="6">
        <f t="shared" si="1"/>
        <v>29</v>
      </c>
    </row>
    <row r="85" spans="1:7" x14ac:dyDescent="0.2">
      <c r="A85" s="3">
        <v>7009</v>
      </c>
      <c r="B85" t="s">
        <v>78</v>
      </c>
      <c r="C85" s="3">
        <v>8946</v>
      </c>
      <c r="D85" t="s">
        <v>5</v>
      </c>
      <c r="E85" s="7">
        <v>77</v>
      </c>
      <c r="G85" s="6">
        <f t="shared" si="1"/>
        <v>77</v>
      </c>
    </row>
    <row r="86" spans="1:7" x14ac:dyDescent="0.2">
      <c r="A86" s="3">
        <v>1863</v>
      </c>
      <c r="B86" t="s">
        <v>77</v>
      </c>
      <c r="C86" s="3">
        <v>8928</v>
      </c>
      <c r="D86" t="s">
        <v>5</v>
      </c>
      <c r="E86" s="7">
        <v>83</v>
      </c>
      <c r="G86" s="6">
        <f t="shared" si="1"/>
        <v>83</v>
      </c>
    </row>
    <row r="87" spans="1:7" x14ac:dyDescent="0.2">
      <c r="A87" s="3">
        <v>11759</v>
      </c>
      <c r="B87" t="s">
        <v>83</v>
      </c>
      <c r="C87" s="3">
        <v>8920</v>
      </c>
      <c r="D87" t="s">
        <v>5</v>
      </c>
      <c r="E87" s="7">
        <v>101</v>
      </c>
      <c r="G87" s="6">
        <f t="shared" si="1"/>
        <v>101</v>
      </c>
    </row>
    <row r="88" spans="1:7" x14ac:dyDescent="0.2">
      <c r="A88" s="3">
        <v>7834</v>
      </c>
      <c r="B88" t="s">
        <v>10</v>
      </c>
      <c r="C88" s="3">
        <v>8899</v>
      </c>
      <c r="D88" t="s">
        <v>5</v>
      </c>
      <c r="E88" s="7">
        <v>121</v>
      </c>
      <c r="G88" s="6">
        <f t="shared" si="1"/>
        <v>121</v>
      </c>
    </row>
    <row r="89" spans="1:7" x14ac:dyDescent="0.2">
      <c r="A89" s="3">
        <v>4109</v>
      </c>
      <c r="B89" t="s">
        <v>55</v>
      </c>
      <c r="C89" s="3">
        <v>8977</v>
      </c>
      <c r="D89" t="s">
        <v>5</v>
      </c>
      <c r="E89" s="7">
        <v>556</v>
      </c>
      <c r="G89" s="6">
        <f t="shared" si="1"/>
        <v>556</v>
      </c>
    </row>
    <row r="90" spans="1:7" x14ac:dyDescent="0.2">
      <c r="A90" s="3">
        <v>7812</v>
      </c>
      <c r="B90" t="s">
        <v>66</v>
      </c>
      <c r="C90" s="3">
        <v>8983</v>
      </c>
      <c r="D90" t="s">
        <v>5</v>
      </c>
      <c r="E90" s="7">
        <v>1</v>
      </c>
      <c r="F90" s="6">
        <v>577</v>
      </c>
      <c r="G90" s="6">
        <f>+E90+F90</f>
        <v>578</v>
      </c>
    </row>
    <row r="91" spans="1:7" x14ac:dyDescent="0.2">
      <c r="A91" s="3">
        <v>11509</v>
      </c>
      <c r="B91" t="s">
        <v>82</v>
      </c>
      <c r="C91" s="3">
        <v>8951</v>
      </c>
      <c r="D91" t="s">
        <v>5</v>
      </c>
      <c r="E91" s="7">
        <v>646</v>
      </c>
      <c r="G91" s="6">
        <f t="shared" si="1"/>
        <v>646</v>
      </c>
    </row>
    <row r="92" spans="1:7" x14ac:dyDescent="0.2">
      <c r="A92" s="3">
        <v>12907</v>
      </c>
      <c r="B92" t="s">
        <v>26</v>
      </c>
      <c r="C92" s="3">
        <v>8921</v>
      </c>
      <c r="D92" t="s">
        <v>5</v>
      </c>
      <c r="E92" s="7">
        <v>10226</v>
      </c>
      <c r="F92" s="6">
        <f>255-9701-1446+2241</f>
        <v>-8651</v>
      </c>
      <c r="G92" s="6">
        <f t="shared" si="1"/>
        <v>1575</v>
      </c>
    </row>
    <row r="93" spans="1:7" x14ac:dyDescent="0.2">
      <c r="A93" s="3">
        <v>4997</v>
      </c>
      <c r="B93" t="s">
        <v>24</v>
      </c>
      <c r="C93" s="3">
        <v>8918</v>
      </c>
      <c r="D93" t="s">
        <v>5</v>
      </c>
      <c r="E93" s="7">
        <v>18886</v>
      </c>
      <c r="F93" s="6">
        <f>-16857+12+198</f>
        <v>-16647</v>
      </c>
      <c r="G93" s="6">
        <f t="shared" si="1"/>
        <v>2239</v>
      </c>
    </row>
    <row r="94" spans="1:7" x14ac:dyDescent="0.2">
      <c r="A94" s="3">
        <v>6321</v>
      </c>
      <c r="B94" t="s">
        <v>50</v>
      </c>
      <c r="C94" s="3">
        <v>8968</v>
      </c>
      <c r="D94" t="s">
        <v>5</v>
      </c>
      <c r="E94" s="7">
        <v>2351</v>
      </c>
      <c r="G94" s="6">
        <f t="shared" si="1"/>
        <v>2351</v>
      </c>
    </row>
    <row r="95" spans="1:7" x14ac:dyDescent="0.2">
      <c r="A95" s="3">
        <v>2707</v>
      </c>
      <c r="B95" t="s">
        <v>16</v>
      </c>
      <c r="C95" s="3">
        <v>8907</v>
      </c>
      <c r="D95" t="s">
        <v>5</v>
      </c>
      <c r="E95" s="7">
        <v>4766</v>
      </c>
      <c r="G95" s="6">
        <f t="shared" si="1"/>
        <v>4766</v>
      </c>
    </row>
    <row r="96" spans="1:7" x14ac:dyDescent="0.2">
      <c r="A96" s="3">
        <v>1141</v>
      </c>
      <c r="B96" t="s">
        <v>14</v>
      </c>
      <c r="C96" s="3">
        <v>8904</v>
      </c>
      <c r="D96" t="s">
        <v>5</v>
      </c>
      <c r="E96" s="7">
        <v>6475</v>
      </c>
      <c r="G96" s="6">
        <f t="shared" si="1"/>
        <v>6475</v>
      </c>
    </row>
    <row r="97" spans="1:9" x14ac:dyDescent="0.2">
      <c r="A97" s="3">
        <v>1455</v>
      </c>
      <c r="B97" t="s">
        <v>20</v>
      </c>
      <c r="C97" s="3">
        <v>8912</v>
      </c>
      <c r="D97" t="s">
        <v>5</v>
      </c>
      <c r="E97" s="7">
        <v>9409</v>
      </c>
      <c r="F97" s="6">
        <v>1446</v>
      </c>
      <c r="G97" s="6">
        <f t="shared" si="1"/>
        <v>10855</v>
      </c>
    </row>
    <row r="98" spans="1:9" x14ac:dyDescent="0.2">
      <c r="A98" s="3">
        <v>330</v>
      </c>
      <c r="B98" t="s">
        <v>28</v>
      </c>
      <c r="C98" s="3">
        <v>8924</v>
      </c>
      <c r="D98" t="s">
        <v>5</v>
      </c>
      <c r="E98" s="7">
        <v>14453</v>
      </c>
      <c r="G98" s="6">
        <f t="shared" si="1"/>
        <v>14453</v>
      </c>
    </row>
    <row r="99" spans="1:9" x14ac:dyDescent="0.2">
      <c r="A99" s="3">
        <v>655</v>
      </c>
      <c r="B99" t="s">
        <v>32</v>
      </c>
      <c r="C99" s="3">
        <v>8934</v>
      </c>
      <c r="D99" t="s">
        <v>5</v>
      </c>
      <c r="E99" s="7">
        <v>19783</v>
      </c>
      <c r="G99" s="6">
        <f t="shared" si="1"/>
        <v>19783</v>
      </c>
    </row>
    <row r="100" spans="1:9" x14ac:dyDescent="0.2">
      <c r="A100" s="3">
        <v>8573</v>
      </c>
      <c r="B100" t="s">
        <v>53</v>
      </c>
      <c r="C100" s="3">
        <v>8973</v>
      </c>
      <c r="D100" t="s">
        <v>5</v>
      </c>
      <c r="E100" s="7">
        <v>22824</v>
      </c>
      <c r="G100" s="6">
        <f t="shared" si="1"/>
        <v>22824</v>
      </c>
    </row>
    <row r="101" spans="1:9" x14ac:dyDescent="0.2">
      <c r="A101" s="3">
        <v>11248</v>
      </c>
      <c r="B101" t="s">
        <v>81</v>
      </c>
      <c r="C101" s="3">
        <v>8903</v>
      </c>
      <c r="D101" t="s">
        <v>5</v>
      </c>
      <c r="E101" s="7">
        <v>35015</v>
      </c>
      <c r="G101" s="6">
        <f t="shared" si="1"/>
        <v>35015</v>
      </c>
    </row>
    <row r="102" spans="1:9" x14ac:dyDescent="0.2">
      <c r="A102" s="3">
        <v>11145</v>
      </c>
      <c r="B102" t="s">
        <v>41</v>
      </c>
      <c r="C102" s="3">
        <v>8954</v>
      </c>
      <c r="D102" t="s">
        <v>5</v>
      </c>
      <c r="E102" s="7">
        <v>86105</v>
      </c>
      <c r="G102" s="6">
        <f t="shared" si="1"/>
        <v>86105</v>
      </c>
    </row>
    <row r="103" spans="1:9" s="9" customFormat="1" x14ac:dyDescent="0.2">
      <c r="A103" s="12"/>
      <c r="C103" s="12"/>
      <c r="E103" s="11">
        <f>SUM(E68:E102)</f>
        <v>271288</v>
      </c>
      <c r="F103" s="11">
        <f>SUM(F68:F102)</f>
        <v>-62614</v>
      </c>
      <c r="G103" s="11">
        <f>SUM(G68:G102)</f>
        <v>208674</v>
      </c>
      <c r="H103" s="14">
        <v>4.96</v>
      </c>
      <c r="I103" s="14">
        <f>ROUND(G103*H103,2)</f>
        <v>1035023.04</v>
      </c>
    </row>
    <row r="106" spans="1:9" x14ac:dyDescent="0.2">
      <c r="A106" s="3">
        <v>7672</v>
      </c>
      <c r="B106" t="s">
        <v>22</v>
      </c>
      <c r="C106" s="3">
        <v>8914</v>
      </c>
      <c r="D106" t="s">
        <v>7</v>
      </c>
      <c r="E106" s="7">
        <v>-8723</v>
      </c>
      <c r="G106" s="6">
        <f>+E106+F106</f>
        <v>-8723</v>
      </c>
    </row>
    <row r="107" spans="1:9" x14ac:dyDescent="0.2">
      <c r="A107" s="3">
        <v>11905</v>
      </c>
      <c r="B107" t="s">
        <v>6</v>
      </c>
      <c r="C107" s="3">
        <v>8897</v>
      </c>
      <c r="D107" t="s">
        <v>7</v>
      </c>
      <c r="E107" s="7">
        <v>-3589</v>
      </c>
      <c r="G107" s="6">
        <f>+E107+F107</f>
        <v>-3589</v>
      </c>
    </row>
    <row r="108" spans="1:9" x14ac:dyDescent="0.2">
      <c r="A108" s="3">
        <v>8573</v>
      </c>
      <c r="B108" t="s">
        <v>53</v>
      </c>
      <c r="C108" s="3">
        <v>8974</v>
      </c>
      <c r="D108" t="s">
        <v>7</v>
      </c>
      <c r="E108" s="7">
        <v>-2699</v>
      </c>
      <c r="G108" s="6">
        <f t="shared" si="1"/>
        <v>-2699</v>
      </c>
    </row>
    <row r="109" spans="1:9" x14ac:dyDescent="0.2">
      <c r="A109" s="3">
        <v>4997</v>
      </c>
      <c r="B109" t="s">
        <v>24</v>
      </c>
      <c r="C109" s="3">
        <v>8919</v>
      </c>
      <c r="D109" t="s">
        <v>7</v>
      </c>
      <c r="E109" s="7">
        <v>-1419</v>
      </c>
      <c r="G109" s="6">
        <f>+E109+F109</f>
        <v>-1419</v>
      </c>
    </row>
    <row r="110" spans="1:9" x14ac:dyDescent="0.2">
      <c r="A110" s="3">
        <v>11821</v>
      </c>
      <c r="B110" t="s">
        <v>58</v>
      </c>
      <c r="C110" s="3">
        <v>8975</v>
      </c>
      <c r="D110" t="s">
        <v>7</v>
      </c>
      <c r="E110" s="7">
        <v>-16</v>
      </c>
      <c r="G110" s="6">
        <f>+E110+F110</f>
        <v>-16</v>
      </c>
    </row>
    <row r="111" spans="1:9" s="9" customFormat="1" x14ac:dyDescent="0.2">
      <c r="A111" s="12"/>
      <c r="C111" s="12"/>
      <c r="E111" s="10">
        <f>SUM(E106:E110)</f>
        <v>-16446</v>
      </c>
      <c r="F111" s="10">
        <f>SUM(F106:F110)</f>
        <v>0</v>
      </c>
      <c r="G111" s="10">
        <f>SUM(G106:G110)</f>
        <v>-16446</v>
      </c>
      <c r="H111" s="14">
        <v>4.9000000000000004</v>
      </c>
      <c r="I111" s="14">
        <f>ROUND(G111*H111,2)</f>
        <v>-80585.399999999994</v>
      </c>
    </row>
    <row r="114" spans="1:9" x14ac:dyDescent="0.2">
      <c r="A114" s="3">
        <v>3975</v>
      </c>
      <c r="B114" t="s">
        <v>27</v>
      </c>
      <c r="C114" s="3">
        <v>8923</v>
      </c>
      <c r="D114" t="s">
        <v>7</v>
      </c>
      <c r="E114" s="7">
        <v>1124</v>
      </c>
      <c r="G114" s="6">
        <f>+E114+F114</f>
        <v>1124</v>
      </c>
    </row>
    <row r="115" spans="1:9" x14ac:dyDescent="0.2">
      <c r="A115" s="3">
        <v>330</v>
      </c>
      <c r="B115" t="s">
        <v>28</v>
      </c>
      <c r="C115" s="3">
        <v>8925</v>
      </c>
      <c r="D115" t="s">
        <v>7</v>
      </c>
      <c r="E115" s="7">
        <v>1323</v>
      </c>
      <c r="G115" s="6">
        <f>+E115+F115</f>
        <v>1323</v>
      </c>
    </row>
    <row r="116" spans="1:9" s="9" customFormat="1" x14ac:dyDescent="0.2">
      <c r="A116" s="12"/>
      <c r="C116" s="12"/>
      <c r="E116" s="11">
        <f>SUM(E114:E115)</f>
        <v>2447</v>
      </c>
      <c r="F116" s="11">
        <f>SUM(F114:F115)</f>
        <v>0</v>
      </c>
      <c r="G116" s="11">
        <f>SUM(G114:G115)</f>
        <v>2447</v>
      </c>
      <c r="H116" s="14">
        <v>4.96</v>
      </c>
      <c r="I116" s="14">
        <f>ROUND(G116*H116,2)</f>
        <v>12137.12</v>
      </c>
    </row>
    <row r="120" spans="1:9" x14ac:dyDescent="0.2">
      <c r="F120" s="7"/>
      <c r="G120" s="7"/>
    </row>
    <row r="121" spans="1:9" s="9" customFormat="1" x14ac:dyDescent="0.2">
      <c r="A121" s="12"/>
      <c r="B121" s="9" t="s">
        <v>215</v>
      </c>
      <c r="C121" s="12"/>
      <c r="E121" s="11">
        <f>+E116+E111+E103+E65+E46+E28</f>
        <v>-305150</v>
      </c>
      <c r="F121" s="11">
        <f>+F116+F111+F103+F65+F46+F28</f>
        <v>0</v>
      </c>
      <c r="G121" s="11">
        <f>+G116+G111+G103+G65+G46+G28</f>
        <v>-305150</v>
      </c>
      <c r="H121" s="14"/>
      <c r="I121" s="46">
        <f>+I116+I111+I103+I65+I46+I28</f>
        <v>-1482312.6800000002</v>
      </c>
    </row>
    <row r="122" spans="1:9" x14ac:dyDescent="0.2">
      <c r="F122" s="7"/>
      <c r="G122" s="7"/>
    </row>
    <row r="123" spans="1:9" x14ac:dyDescent="0.2">
      <c r="F123" s="7"/>
      <c r="G123" s="7"/>
    </row>
    <row r="124" spans="1:9" x14ac:dyDescent="0.2">
      <c r="B124" t="s">
        <v>225</v>
      </c>
      <c r="F124" s="7"/>
      <c r="G124" s="7">
        <f>+G111+G65+G28</f>
        <v>-520522</v>
      </c>
      <c r="I124" s="47">
        <f>+I111+I65+I28</f>
        <v>-2550557.8000000003</v>
      </c>
    </row>
    <row r="125" spans="1:9" x14ac:dyDescent="0.2">
      <c r="F125" s="7"/>
      <c r="G125" s="7"/>
    </row>
    <row r="126" spans="1:9" x14ac:dyDescent="0.2">
      <c r="B126" t="s">
        <v>226</v>
      </c>
      <c r="F126" s="7"/>
      <c r="G126" s="7">
        <f>+G116+G103+G46</f>
        <v>215372</v>
      </c>
      <c r="I126" s="47">
        <f>+I116+I103+I46</f>
        <v>1068245.1200000001</v>
      </c>
    </row>
    <row r="128" spans="1:9" x14ac:dyDescent="0.2">
      <c r="B128" t="s">
        <v>227</v>
      </c>
      <c r="G128" s="6">
        <f>SUM(G124:G127)</f>
        <v>-305150</v>
      </c>
      <c r="I128" s="13">
        <f>SUM(I124:I127)</f>
        <v>-1482312.6800000002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7"/>
  <sheetViews>
    <sheetView workbookViewId="0">
      <selection activeCell="B1" sqref="B1"/>
    </sheetView>
  </sheetViews>
  <sheetFormatPr defaultRowHeight="12.75" x14ac:dyDescent="0.2"/>
  <cols>
    <col min="2" max="2" width="36.42578125" bestFit="1" customWidth="1"/>
    <col min="4" max="4" width="19.42578125" customWidth="1"/>
    <col min="5" max="5" width="10.5703125" style="6" customWidth="1"/>
    <col min="6" max="6" width="9.140625" style="6"/>
    <col min="7" max="7" width="10.28515625" style="6" customWidth="1"/>
    <col min="8" max="8" width="14.140625" style="13" customWidth="1"/>
    <col min="9" max="9" width="16.140625" style="13" bestFit="1" customWidth="1"/>
    <col min="10" max="10" width="35.140625" bestFit="1" customWidth="1"/>
  </cols>
  <sheetData>
    <row r="1" spans="1:11" s="9" customFormat="1" x14ac:dyDescent="0.2">
      <c r="A1" s="9" t="s">
        <v>73</v>
      </c>
      <c r="E1" s="10"/>
      <c r="F1" s="10"/>
      <c r="G1" s="10"/>
      <c r="H1" s="14"/>
      <c r="I1" s="14"/>
    </row>
    <row r="2" spans="1:11" s="9" customFormat="1" x14ac:dyDescent="0.2">
      <c r="A2" s="15">
        <v>36800</v>
      </c>
      <c r="E2" s="10"/>
      <c r="F2" s="10"/>
      <c r="G2" s="10"/>
      <c r="H2" s="14"/>
      <c r="I2" s="14"/>
    </row>
    <row r="4" spans="1:11" s="1" customFormat="1" ht="40.5" customHeight="1" x14ac:dyDescent="0.2">
      <c r="A4" s="1" t="s">
        <v>84</v>
      </c>
      <c r="B4" s="1" t="s">
        <v>85</v>
      </c>
      <c r="C4" s="1" t="s">
        <v>86</v>
      </c>
      <c r="D4" s="1" t="s">
        <v>87</v>
      </c>
      <c r="E4" s="16" t="s">
        <v>4</v>
      </c>
      <c r="F4" s="16" t="s">
        <v>88</v>
      </c>
      <c r="G4" s="16" t="s">
        <v>89</v>
      </c>
      <c r="H4" s="17"/>
      <c r="I4" s="17"/>
    </row>
    <row r="5" spans="1:11" x14ac:dyDescent="0.2">
      <c r="A5">
        <v>655</v>
      </c>
      <c r="B5" t="s">
        <v>90</v>
      </c>
      <c r="C5">
        <v>9028</v>
      </c>
      <c r="D5" t="s">
        <v>91</v>
      </c>
      <c r="E5" s="6">
        <v>-123311</v>
      </c>
      <c r="G5" s="6">
        <f t="shared" ref="G5:G71" si="0">+E5+F5</f>
        <v>-123311</v>
      </c>
      <c r="K5" s="18"/>
    </row>
    <row r="6" spans="1:11" x14ac:dyDescent="0.2">
      <c r="A6">
        <v>4109</v>
      </c>
      <c r="B6" t="s">
        <v>92</v>
      </c>
      <c r="C6">
        <v>9070</v>
      </c>
      <c r="D6" t="s">
        <v>91</v>
      </c>
      <c r="E6" s="6">
        <v>-108224</v>
      </c>
      <c r="G6" s="6">
        <f t="shared" si="0"/>
        <v>-108224</v>
      </c>
      <c r="K6" s="18"/>
    </row>
    <row r="7" spans="1:11" x14ac:dyDescent="0.2">
      <c r="A7">
        <v>11793</v>
      </c>
      <c r="B7" t="s">
        <v>93</v>
      </c>
      <c r="C7">
        <v>9037</v>
      </c>
      <c r="D7" t="s">
        <v>91</v>
      </c>
      <c r="E7" s="6">
        <v>-96021</v>
      </c>
      <c r="F7" s="6">
        <f>7880+12565+1960+751+11833-12976+2490+382+966</f>
        <v>25851</v>
      </c>
      <c r="G7" s="6">
        <f t="shared" si="0"/>
        <v>-70170</v>
      </c>
      <c r="K7" s="18"/>
    </row>
    <row r="8" spans="1:11" x14ac:dyDescent="0.2">
      <c r="A8">
        <v>4120</v>
      </c>
      <c r="B8" t="s">
        <v>94</v>
      </c>
      <c r="C8">
        <v>9054</v>
      </c>
      <c r="D8" t="s">
        <v>91</v>
      </c>
      <c r="E8" s="6">
        <v>-36404</v>
      </c>
      <c r="F8" s="6">
        <v>3694</v>
      </c>
      <c r="G8" s="6">
        <f t="shared" si="0"/>
        <v>-32710</v>
      </c>
      <c r="K8" s="18"/>
    </row>
    <row r="9" spans="1:11" x14ac:dyDescent="0.2">
      <c r="A9">
        <v>11516</v>
      </c>
      <c r="B9" t="s">
        <v>95</v>
      </c>
      <c r="C9">
        <v>9048</v>
      </c>
      <c r="D9" t="s">
        <v>91</v>
      </c>
      <c r="E9" s="6">
        <v>-13206</v>
      </c>
      <c r="G9" s="6">
        <f t="shared" si="0"/>
        <v>-13206</v>
      </c>
      <c r="K9" s="18"/>
    </row>
    <row r="10" spans="1:11" x14ac:dyDescent="0.2">
      <c r="A10">
        <v>6268</v>
      </c>
      <c r="B10" t="s">
        <v>96</v>
      </c>
      <c r="C10">
        <v>9024</v>
      </c>
      <c r="D10" t="s">
        <v>91</v>
      </c>
      <c r="E10" s="6">
        <f>112657+3517</f>
        <v>116174</v>
      </c>
      <c r="F10" s="6">
        <f>-122332+534</f>
        <v>-121798</v>
      </c>
      <c r="G10" s="6">
        <f t="shared" si="0"/>
        <v>-5624</v>
      </c>
      <c r="K10" s="18"/>
    </row>
    <row r="11" spans="1:11" x14ac:dyDescent="0.2">
      <c r="A11">
        <v>11420</v>
      </c>
      <c r="B11" t="s">
        <v>97</v>
      </c>
      <c r="C11">
        <v>9045</v>
      </c>
      <c r="D11" t="s">
        <v>91</v>
      </c>
      <c r="E11" s="6">
        <v>-3086</v>
      </c>
      <c r="G11" s="6">
        <f t="shared" si="0"/>
        <v>-3086</v>
      </c>
      <c r="K11" s="18"/>
    </row>
    <row r="12" spans="1:11" x14ac:dyDescent="0.2">
      <c r="A12">
        <v>287</v>
      </c>
      <c r="B12" t="s">
        <v>98</v>
      </c>
      <c r="C12">
        <v>9021</v>
      </c>
      <c r="D12" t="s">
        <v>91</v>
      </c>
      <c r="E12" s="6">
        <v>-80</v>
      </c>
      <c r="G12" s="6">
        <f t="shared" si="0"/>
        <v>-80</v>
      </c>
      <c r="K12" s="18"/>
    </row>
    <row r="13" spans="1:11" x14ac:dyDescent="0.2">
      <c r="A13">
        <v>4118</v>
      </c>
      <c r="B13" t="s">
        <v>99</v>
      </c>
      <c r="C13">
        <v>9051</v>
      </c>
      <c r="D13" t="s">
        <v>91</v>
      </c>
      <c r="E13" s="6">
        <v>-63</v>
      </c>
      <c r="G13" s="6">
        <f t="shared" si="0"/>
        <v>-63</v>
      </c>
      <c r="K13" s="18"/>
    </row>
    <row r="14" spans="1:11" x14ac:dyDescent="0.2">
      <c r="A14">
        <v>11594</v>
      </c>
      <c r="B14" t="s">
        <v>100</v>
      </c>
      <c r="C14">
        <v>8991</v>
      </c>
      <c r="D14" t="s">
        <v>101</v>
      </c>
      <c r="E14" s="6">
        <v>-29</v>
      </c>
      <c r="G14" s="6">
        <f t="shared" si="0"/>
        <v>-29</v>
      </c>
      <c r="K14" s="18"/>
    </row>
    <row r="15" spans="1:11" s="9" customFormat="1" x14ac:dyDescent="0.2">
      <c r="B15" s="9" t="s">
        <v>217</v>
      </c>
      <c r="E15" s="10">
        <f>SUM(E5:E14)</f>
        <v>-264250</v>
      </c>
      <c r="F15" s="10">
        <f>SUM(F5:F14)</f>
        <v>-92253</v>
      </c>
      <c r="G15" s="10">
        <f>SUM(G5:G14)</f>
        <v>-356503</v>
      </c>
      <c r="H15" s="14">
        <v>5.0599999999999996</v>
      </c>
      <c r="I15" s="14">
        <f>ROUND(G15*H15,2)</f>
        <v>-1803905.18</v>
      </c>
      <c r="K15" s="19"/>
    </row>
    <row r="16" spans="1:11" x14ac:dyDescent="0.2">
      <c r="K16" s="18"/>
    </row>
    <row r="17" spans="1:11" x14ac:dyDescent="0.2">
      <c r="K17" s="18"/>
    </row>
    <row r="18" spans="1:11" x14ac:dyDescent="0.2">
      <c r="A18">
        <v>11299</v>
      </c>
      <c r="B18" t="s">
        <v>102</v>
      </c>
      <c r="C18">
        <v>8994</v>
      </c>
      <c r="D18" t="s">
        <v>91</v>
      </c>
      <c r="E18" s="6">
        <f>3517-3517</f>
        <v>0</v>
      </c>
      <c r="G18" s="6">
        <f t="shared" si="0"/>
        <v>0</v>
      </c>
      <c r="K18" s="18"/>
    </row>
    <row r="19" spans="1:11" x14ac:dyDescent="0.2">
      <c r="A19">
        <v>6228</v>
      </c>
      <c r="B19" t="s">
        <v>103</v>
      </c>
      <c r="C19">
        <v>8997</v>
      </c>
      <c r="D19" t="s">
        <v>91</v>
      </c>
      <c r="E19" s="6">
        <v>-2892</v>
      </c>
      <c r="F19" s="6">
        <v>2892</v>
      </c>
      <c r="G19" s="6">
        <f t="shared" si="0"/>
        <v>0</v>
      </c>
      <c r="K19" s="18"/>
    </row>
    <row r="20" spans="1:11" x14ac:dyDescent="0.2">
      <c r="A20">
        <v>4175</v>
      </c>
      <c r="B20" t="s">
        <v>104</v>
      </c>
      <c r="C20">
        <v>8998</v>
      </c>
      <c r="D20" t="s">
        <v>91</v>
      </c>
      <c r="E20" s="6">
        <v>26152</v>
      </c>
      <c r="F20" s="6">
        <v>-26152</v>
      </c>
      <c r="G20" s="6">
        <f t="shared" si="0"/>
        <v>0</v>
      </c>
      <c r="K20" s="18"/>
    </row>
    <row r="21" spans="1:11" x14ac:dyDescent="0.2">
      <c r="A21">
        <v>4179</v>
      </c>
      <c r="B21" t="s">
        <v>105</v>
      </c>
      <c r="C21">
        <v>9002</v>
      </c>
      <c r="D21" t="s">
        <v>91</v>
      </c>
      <c r="E21" s="6">
        <v>-12976</v>
      </c>
      <c r="F21" s="6">
        <v>12976</v>
      </c>
      <c r="G21" s="6">
        <f t="shared" si="0"/>
        <v>0</v>
      </c>
      <c r="K21" s="18"/>
    </row>
    <row r="22" spans="1:11" x14ac:dyDescent="0.2">
      <c r="A22">
        <v>11687</v>
      </c>
      <c r="B22" t="s">
        <v>106</v>
      </c>
      <c r="C22">
        <v>9011</v>
      </c>
      <c r="D22" t="s">
        <v>91</v>
      </c>
      <c r="E22" s="6">
        <v>12565</v>
      </c>
      <c r="F22" s="6">
        <v>-12565</v>
      </c>
      <c r="G22" s="6">
        <f t="shared" si="0"/>
        <v>0</v>
      </c>
      <c r="K22" s="18"/>
    </row>
    <row r="23" spans="1:11" x14ac:dyDescent="0.2">
      <c r="A23">
        <v>12907</v>
      </c>
      <c r="B23" t="s">
        <v>107</v>
      </c>
      <c r="C23">
        <v>9016</v>
      </c>
      <c r="D23" t="s">
        <v>91</v>
      </c>
      <c r="E23" s="6">
        <v>-13475</v>
      </c>
      <c r="F23" s="6">
        <v>13475</v>
      </c>
      <c r="G23" s="6">
        <f t="shared" si="0"/>
        <v>0</v>
      </c>
      <c r="K23" s="18"/>
    </row>
    <row r="24" spans="1:11" x14ac:dyDescent="0.2">
      <c r="A24">
        <v>4084</v>
      </c>
      <c r="B24" t="s">
        <v>108</v>
      </c>
      <c r="C24">
        <v>9032</v>
      </c>
      <c r="D24" t="s">
        <v>91</v>
      </c>
      <c r="E24" s="6">
        <v>1960</v>
      </c>
      <c r="F24" s="6">
        <v>-1960</v>
      </c>
      <c r="G24" s="6">
        <f t="shared" si="0"/>
        <v>0</v>
      </c>
      <c r="K24" s="18"/>
    </row>
    <row r="25" spans="1:11" x14ac:dyDescent="0.2">
      <c r="A25">
        <v>11729</v>
      </c>
      <c r="B25" t="s">
        <v>109</v>
      </c>
      <c r="C25">
        <v>9034</v>
      </c>
      <c r="D25" t="s">
        <v>91</v>
      </c>
      <c r="E25" s="6">
        <v>157</v>
      </c>
      <c r="F25" s="6">
        <v>-157</v>
      </c>
      <c r="G25" s="6">
        <f t="shared" si="0"/>
        <v>0</v>
      </c>
      <c r="K25" s="18"/>
    </row>
    <row r="26" spans="1:11" x14ac:dyDescent="0.2">
      <c r="A26">
        <v>4101</v>
      </c>
      <c r="B26" t="s">
        <v>110</v>
      </c>
      <c r="C26">
        <v>9040</v>
      </c>
      <c r="D26" t="s">
        <v>91</v>
      </c>
      <c r="E26" s="6">
        <v>2490</v>
      </c>
      <c r="F26" s="6">
        <v>-2490</v>
      </c>
      <c r="G26" s="6">
        <f t="shared" si="0"/>
        <v>0</v>
      </c>
      <c r="K26" s="18"/>
    </row>
    <row r="27" spans="1:11" x14ac:dyDescent="0.2">
      <c r="A27">
        <v>2974</v>
      </c>
      <c r="B27" t="s">
        <v>111</v>
      </c>
      <c r="C27">
        <v>9052</v>
      </c>
      <c r="D27" t="s">
        <v>91</v>
      </c>
      <c r="E27" s="6">
        <v>-4797</v>
      </c>
      <c r="F27" s="6">
        <v>4797</v>
      </c>
      <c r="G27" s="6">
        <f t="shared" si="0"/>
        <v>0</v>
      </c>
      <c r="K27" s="18"/>
    </row>
    <row r="28" spans="1:11" x14ac:dyDescent="0.2">
      <c r="A28">
        <v>4079</v>
      </c>
      <c r="B28" t="s">
        <v>112</v>
      </c>
      <c r="C28">
        <v>9057</v>
      </c>
      <c r="D28" t="s">
        <v>91</v>
      </c>
      <c r="E28" s="6">
        <v>331</v>
      </c>
      <c r="F28" s="6">
        <v>-331</v>
      </c>
      <c r="G28" s="6">
        <f t="shared" si="0"/>
        <v>0</v>
      </c>
      <c r="K28" s="18"/>
    </row>
    <row r="29" spans="1:11" x14ac:dyDescent="0.2">
      <c r="A29">
        <v>6321</v>
      </c>
      <c r="B29" t="s">
        <v>113</v>
      </c>
      <c r="C29">
        <v>9060</v>
      </c>
      <c r="D29" t="s">
        <v>91</v>
      </c>
      <c r="E29" s="6">
        <v>751</v>
      </c>
      <c r="F29" s="6">
        <v>-751</v>
      </c>
      <c r="G29" s="6">
        <f t="shared" si="0"/>
        <v>0</v>
      </c>
      <c r="K29" s="18"/>
    </row>
    <row r="30" spans="1:11" x14ac:dyDescent="0.2">
      <c r="A30">
        <v>6075</v>
      </c>
      <c r="B30" t="s">
        <v>114</v>
      </c>
      <c r="C30">
        <v>9061</v>
      </c>
      <c r="D30" t="s">
        <v>91</v>
      </c>
      <c r="E30" s="6">
        <v>11833</v>
      </c>
      <c r="F30" s="6">
        <v>-11833</v>
      </c>
      <c r="G30" s="6">
        <f t="shared" si="0"/>
        <v>0</v>
      </c>
      <c r="K30" s="18"/>
    </row>
    <row r="31" spans="1:11" x14ac:dyDescent="0.2">
      <c r="A31">
        <v>3974</v>
      </c>
      <c r="B31" t="s">
        <v>115</v>
      </c>
      <c r="C31">
        <v>9062</v>
      </c>
      <c r="D31" t="s">
        <v>91</v>
      </c>
      <c r="E31" s="6">
        <v>966</v>
      </c>
      <c r="F31" s="6">
        <v>-966</v>
      </c>
      <c r="G31" s="6">
        <f t="shared" si="0"/>
        <v>0</v>
      </c>
      <c r="K31" s="18"/>
    </row>
    <row r="32" spans="1:11" x14ac:dyDescent="0.2">
      <c r="A32">
        <v>4133</v>
      </c>
      <c r="B32" t="s">
        <v>116</v>
      </c>
      <c r="C32">
        <v>9068</v>
      </c>
      <c r="D32" t="s">
        <v>91</v>
      </c>
      <c r="E32" s="6">
        <v>2786</v>
      </c>
      <c r="F32" s="6">
        <v>-2786</v>
      </c>
      <c r="G32" s="6">
        <f t="shared" si="0"/>
        <v>0</v>
      </c>
      <c r="K32" s="18"/>
    </row>
    <row r="33" spans="1:256" x14ac:dyDescent="0.2">
      <c r="A33">
        <v>6431</v>
      </c>
      <c r="B33" t="s">
        <v>117</v>
      </c>
      <c r="C33">
        <v>9072</v>
      </c>
      <c r="D33" t="s">
        <v>91</v>
      </c>
      <c r="E33" s="6">
        <v>3694</v>
      </c>
      <c r="F33" s="6">
        <v>-3694</v>
      </c>
      <c r="G33" s="6">
        <f t="shared" si="0"/>
        <v>0</v>
      </c>
      <c r="K33" s="18"/>
    </row>
    <row r="34" spans="1:256" x14ac:dyDescent="0.2">
      <c r="A34">
        <v>11793</v>
      </c>
      <c r="B34" t="s">
        <v>93</v>
      </c>
      <c r="C34">
        <v>9038</v>
      </c>
      <c r="D34" t="s">
        <v>101</v>
      </c>
      <c r="E34" s="6">
        <v>1130</v>
      </c>
      <c r="F34" s="6">
        <v>-1130</v>
      </c>
      <c r="G34" s="6">
        <f t="shared" si="0"/>
        <v>0</v>
      </c>
      <c r="K34" s="18"/>
    </row>
    <row r="35" spans="1:256" x14ac:dyDescent="0.2">
      <c r="A35">
        <v>4131</v>
      </c>
      <c r="B35" t="s">
        <v>118</v>
      </c>
      <c r="C35">
        <v>9064</v>
      </c>
      <c r="D35" t="s">
        <v>101</v>
      </c>
      <c r="E35" s="6">
        <v>50</v>
      </c>
      <c r="G35" s="6">
        <f t="shared" si="0"/>
        <v>50</v>
      </c>
      <c r="K35" s="18"/>
    </row>
    <row r="36" spans="1:256" x14ac:dyDescent="0.2">
      <c r="A36">
        <v>4131</v>
      </c>
      <c r="B36" t="s">
        <v>118</v>
      </c>
      <c r="C36">
        <v>9063</v>
      </c>
      <c r="D36" t="s">
        <v>91</v>
      </c>
      <c r="E36" s="6">
        <v>117</v>
      </c>
      <c r="G36" s="6">
        <f t="shared" si="0"/>
        <v>117</v>
      </c>
      <c r="K36" s="18"/>
    </row>
    <row r="37" spans="1:256" x14ac:dyDescent="0.2">
      <c r="A37">
        <v>11185</v>
      </c>
      <c r="B37" t="s">
        <v>119</v>
      </c>
      <c r="C37">
        <v>9042</v>
      </c>
      <c r="D37" t="s">
        <v>91</v>
      </c>
      <c r="E37" s="6">
        <v>170</v>
      </c>
      <c r="G37" s="6">
        <f t="shared" si="0"/>
        <v>170</v>
      </c>
      <c r="K37" s="18"/>
    </row>
    <row r="38" spans="1:256" x14ac:dyDescent="0.2">
      <c r="A38">
        <v>330</v>
      </c>
      <c r="B38" t="s">
        <v>120</v>
      </c>
      <c r="C38">
        <v>9019</v>
      </c>
      <c r="D38" t="s">
        <v>121</v>
      </c>
      <c r="E38" s="6">
        <v>200</v>
      </c>
      <c r="G38" s="6">
        <f>+E38+F38</f>
        <v>200</v>
      </c>
      <c r="K38" s="18"/>
    </row>
    <row r="39" spans="1:256" x14ac:dyDescent="0.2">
      <c r="A39">
        <v>330</v>
      </c>
      <c r="B39" t="s">
        <v>120</v>
      </c>
      <c r="C39">
        <v>9020</v>
      </c>
      <c r="D39" t="s">
        <v>101</v>
      </c>
      <c r="E39" s="6">
        <v>426</v>
      </c>
      <c r="G39" s="6">
        <f t="shared" si="0"/>
        <v>426</v>
      </c>
      <c r="K39" s="18"/>
    </row>
    <row r="40" spans="1:256" x14ac:dyDescent="0.2">
      <c r="A40">
        <v>6268</v>
      </c>
      <c r="B40" t="s">
        <v>96</v>
      </c>
      <c r="C40">
        <v>9026</v>
      </c>
      <c r="D40" t="s">
        <v>101</v>
      </c>
      <c r="E40" s="6">
        <v>2700</v>
      </c>
      <c r="G40" s="6">
        <f t="shared" si="0"/>
        <v>2700</v>
      </c>
      <c r="K40" s="18"/>
    </row>
    <row r="41" spans="1:256" x14ac:dyDescent="0.2">
      <c r="A41">
        <v>4175</v>
      </c>
      <c r="B41" t="s">
        <v>104</v>
      </c>
      <c r="C41">
        <v>8999</v>
      </c>
      <c r="D41" t="s">
        <v>101</v>
      </c>
      <c r="E41" s="6">
        <v>9059</v>
      </c>
      <c r="G41" s="6">
        <f t="shared" si="0"/>
        <v>9059</v>
      </c>
      <c r="K41" s="18"/>
    </row>
    <row r="42" spans="1:256" x14ac:dyDescent="0.2">
      <c r="A42">
        <v>1004</v>
      </c>
      <c r="B42" t="s">
        <v>122</v>
      </c>
      <c r="C42">
        <v>8988</v>
      </c>
      <c r="D42" t="s">
        <v>91</v>
      </c>
      <c r="E42" s="6">
        <v>12029</v>
      </c>
      <c r="G42" s="6">
        <f t="shared" si="0"/>
        <v>12029</v>
      </c>
      <c r="K42" s="18"/>
    </row>
    <row r="43" spans="1:256" x14ac:dyDescent="0.2">
      <c r="A43">
        <v>4084</v>
      </c>
      <c r="B43" t="s">
        <v>108</v>
      </c>
      <c r="C43">
        <v>9033</v>
      </c>
      <c r="D43" t="s">
        <v>101</v>
      </c>
      <c r="E43" s="6">
        <v>20411</v>
      </c>
      <c r="G43" s="6">
        <f t="shared" si="0"/>
        <v>20411</v>
      </c>
      <c r="K43" s="18"/>
    </row>
    <row r="44" spans="1:256" x14ac:dyDescent="0.2">
      <c r="A44">
        <v>5736</v>
      </c>
      <c r="B44" t="s">
        <v>123</v>
      </c>
      <c r="C44">
        <v>9030</v>
      </c>
      <c r="D44" t="s">
        <v>91</v>
      </c>
      <c r="E44" s="6">
        <v>-96483</v>
      </c>
      <c r="F44" s="6">
        <v>122332</v>
      </c>
      <c r="G44" s="6">
        <f t="shared" si="0"/>
        <v>25849</v>
      </c>
      <c r="K44" s="18"/>
    </row>
    <row r="45" spans="1:256" x14ac:dyDescent="0.2">
      <c r="A45">
        <v>4120</v>
      </c>
      <c r="B45" t="s">
        <v>94</v>
      </c>
      <c r="C45">
        <v>9055</v>
      </c>
      <c r="D45" t="s">
        <v>101</v>
      </c>
      <c r="E45" s="6">
        <v>91563</v>
      </c>
      <c r="F45" s="6">
        <v>-55023</v>
      </c>
      <c r="G45" s="6">
        <f t="shared" si="0"/>
        <v>36540</v>
      </c>
      <c r="K45" s="18"/>
    </row>
    <row r="46" spans="1:256" s="9" customFormat="1" x14ac:dyDescent="0.2">
      <c r="B46" s="9" t="s">
        <v>218</v>
      </c>
      <c r="E46" s="10">
        <f>SUM(E18:E45)</f>
        <v>70917</v>
      </c>
      <c r="F46" s="10">
        <f>SUM(F18:F45)</f>
        <v>36634</v>
      </c>
      <c r="G46" s="10">
        <f>SUM(G18:G45)</f>
        <v>107551</v>
      </c>
      <c r="H46" s="14">
        <v>5.13</v>
      </c>
      <c r="I46" s="14">
        <f>ROUND(G46*H46,2)</f>
        <v>551736.63</v>
      </c>
      <c r="K46" s="19"/>
      <c r="IV46" s="9">
        <f>SUM(A46:IU46)</f>
        <v>766843.76</v>
      </c>
    </row>
    <row r="47" spans="1:256" x14ac:dyDescent="0.2">
      <c r="K47" s="18"/>
    </row>
    <row r="48" spans="1:256" s="9" customFormat="1" x14ac:dyDescent="0.2">
      <c r="B48" s="9" t="s">
        <v>74</v>
      </c>
      <c r="E48" s="10"/>
      <c r="F48" s="10"/>
      <c r="G48" s="10">
        <f>+G15+G46</f>
        <v>-248952</v>
      </c>
      <c r="H48" s="14"/>
      <c r="I48" s="14"/>
      <c r="K48" s="19"/>
    </row>
    <row r="49" spans="1:11" x14ac:dyDescent="0.2">
      <c r="K49" s="18"/>
    </row>
    <row r="50" spans="1:11" s="9" customFormat="1" x14ac:dyDescent="0.2">
      <c r="B50" s="9" t="s">
        <v>124</v>
      </c>
      <c r="E50" s="10"/>
      <c r="F50" s="10"/>
      <c r="G50" s="10">
        <v>-356440</v>
      </c>
      <c r="H50" s="14"/>
      <c r="I50" s="14"/>
      <c r="K50" s="19"/>
    </row>
    <row r="51" spans="1:11" s="9" customFormat="1" x14ac:dyDescent="0.2">
      <c r="B51" s="9" t="s">
        <v>125</v>
      </c>
      <c r="E51" s="10"/>
      <c r="F51" s="10"/>
      <c r="G51" s="10">
        <v>121376</v>
      </c>
      <c r="H51" s="14"/>
      <c r="I51" s="14"/>
      <c r="K51" s="19"/>
    </row>
    <row r="52" spans="1:11" s="9" customFormat="1" x14ac:dyDescent="0.2">
      <c r="B52" s="9" t="s">
        <v>71</v>
      </c>
      <c r="E52" s="10"/>
      <c r="F52" s="10"/>
      <c r="G52" s="10">
        <f>+G48-G50-G51</f>
        <v>-13888</v>
      </c>
      <c r="H52" s="14"/>
      <c r="I52" s="14"/>
      <c r="K52" s="19"/>
    </row>
    <row r="53" spans="1:11" x14ac:dyDescent="0.2">
      <c r="K53" s="18"/>
    </row>
    <row r="54" spans="1:11" x14ac:dyDescent="0.2">
      <c r="A54">
        <v>11509</v>
      </c>
      <c r="B54" t="s">
        <v>126</v>
      </c>
      <c r="C54">
        <v>9043</v>
      </c>
      <c r="D54" t="s">
        <v>127</v>
      </c>
      <c r="E54" s="6">
        <v>-8023</v>
      </c>
      <c r="G54" s="6">
        <f t="shared" si="0"/>
        <v>-8023</v>
      </c>
      <c r="K54" s="18"/>
    </row>
    <row r="55" spans="1:11" x14ac:dyDescent="0.2">
      <c r="A55">
        <v>15</v>
      </c>
      <c r="B55" t="s">
        <v>128</v>
      </c>
      <c r="C55">
        <v>9035</v>
      </c>
      <c r="D55" t="s">
        <v>127</v>
      </c>
      <c r="E55" s="6">
        <v>-4650</v>
      </c>
      <c r="G55" s="6">
        <f t="shared" si="0"/>
        <v>-4650</v>
      </c>
      <c r="K55" s="18"/>
    </row>
    <row r="56" spans="1:11" x14ac:dyDescent="0.2">
      <c r="A56">
        <v>4120</v>
      </c>
      <c r="B56" t="s">
        <v>94</v>
      </c>
      <c r="C56">
        <v>9053</v>
      </c>
      <c r="D56" t="s">
        <v>127</v>
      </c>
      <c r="E56" s="6">
        <v>-2650</v>
      </c>
      <c r="G56" s="6">
        <f t="shared" si="0"/>
        <v>-2650</v>
      </c>
      <c r="K56" s="18"/>
    </row>
    <row r="57" spans="1:11" x14ac:dyDescent="0.2">
      <c r="A57">
        <v>1455</v>
      </c>
      <c r="B57" t="s">
        <v>129</v>
      </c>
      <c r="C57">
        <v>9001</v>
      </c>
      <c r="D57" t="s">
        <v>127</v>
      </c>
      <c r="E57" s="6">
        <v>1089</v>
      </c>
      <c r="F57" s="6">
        <f>-3461+86</f>
        <v>-3375</v>
      </c>
      <c r="G57" s="6">
        <f t="shared" si="0"/>
        <v>-2286</v>
      </c>
      <c r="K57" s="18"/>
    </row>
    <row r="58" spans="1:11" x14ac:dyDescent="0.2">
      <c r="A58">
        <v>285</v>
      </c>
      <c r="B58" t="s">
        <v>130</v>
      </c>
      <c r="C58">
        <v>8990</v>
      </c>
      <c r="D58" t="s">
        <v>127</v>
      </c>
      <c r="E58" s="6">
        <v>-1165</v>
      </c>
      <c r="G58" s="6">
        <f t="shared" si="0"/>
        <v>-1165</v>
      </c>
      <c r="K58" s="18"/>
    </row>
    <row r="59" spans="1:11" x14ac:dyDescent="0.2">
      <c r="A59">
        <v>11893</v>
      </c>
      <c r="B59" t="s">
        <v>131</v>
      </c>
      <c r="C59">
        <v>9075</v>
      </c>
      <c r="D59" t="s">
        <v>127</v>
      </c>
      <c r="E59" s="6">
        <v>19766</v>
      </c>
      <c r="F59" s="6">
        <f>-19766-56-78-797</f>
        <v>-20697</v>
      </c>
      <c r="G59" s="6">
        <f t="shared" si="0"/>
        <v>-931</v>
      </c>
      <c r="K59" s="18"/>
    </row>
    <row r="60" spans="1:11" x14ac:dyDescent="0.2">
      <c r="A60">
        <v>4997</v>
      </c>
      <c r="B60" t="s">
        <v>132</v>
      </c>
      <c r="C60">
        <v>9012</v>
      </c>
      <c r="D60" t="s">
        <v>127</v>
      </c>
      <c r="E60" s="6">
        <v>-19049</v>
      </c>
      <c r="F60" s="6">
        <f>10425+7000+1624-1105-195+439</f>
        <v>18188</v>
      </c>
      <c r="G60" s="6">
        <f t="shared" si="0"/>
        <v>-861</v>
      </c>
      <c r="K60" s="18"/>
    </row>
    <row r="61" spans="1:11" x14ac:dyDescent="0.2">
      <c r="A61">
        <v>11641</v>
      </c>
      <c r="B61" t="s">
        <v>133</v>
      </c>
      <c r="C61">
        <v>9000</v>
      </c>
      <c r="D61" t="s">
        <v>127</v>
      </c>
      <c r="E61" s="6">
        <v>-377</v>
      </c>
      <c r="G61" s="6">
        <f t="shared" si="0"/>
        <v>-377</v>
      </c>
      <c r="K61" s="18"/>
    </row>
    <row r="62" spans="1:11" x14ac:dyDescent="0.2">
      <c r="A62">
        <v>12673</v>
      </c>
      <c r="B62" t="s">
        <v>134</v>
      </c>
      <c r="C62">
        <v>8985</v>
      </c>
      <c r="D62" t="s">
        <v>127</v>
      </c>
      <c r="E62" s="6">
        <v>-67</v>
      </c>
      <c r="G62" s="6">
        <f>+E62+F62</f>
        <v>-67</v>
      </c>
      <c r="K62" s="18"/>
    </row>
    <row r="63" spans="1:11" s="9" customFormat="1" x14ac:dyDescent="0.2">
      <c r="E63" s="10">
        <f>SUM(E54:E62)</f>
        <v>-15126</v>
      </c>
      <c r="F63" s="10">
        <f>SUM(F54:F62)</f>
        <v>-5884</v>
      </c>
      <c r="G63" s="10">
        <f>SUM(G54:G62)</f>
        <v>-21010</v>
      </c>
      <c r="H63" s="14">
        <v>5.0599999999999996</v>
      </c>
      <c r="I63" s="14">
        <f>ROUND(G63*H63,2)</f>
        <v>-106310.6</v>
      </c>
      <c r="K63" s="19"/>
    </row>
    <row r="64" spans="1:11" x14ac:dyDescent="0.2">
      <c r="K64" s="18"/>
    </row>
    <row r="65" spans="1:11" x14ac:dyDescent="0.2">
      <c r="K65" s="18"/>
    </row>
    <row r="66" spans="1:11" x14ac:dyDescent="0.2">
      <c r="A66">
        <v>11364</v>
      </c>
      <c r="B66" t="s">
        <v>135</v>
      </c>
      <c r="C66">
        <v>8992</v>
      </c>
      <c r="D66" t="s">
        <v>127</v>
      </c>
      <c r="E66" s="6">
        <v>-3461</v>
      </c>
      <c r="F66" s="6">
        <v>3461</v>
      </c>
      <c r="G66" s="6">
        <f t="shared" si="0"/>
        <v>0</v>
      </c>
      <c r="K66" s="18"/>
    </row>
    <row r="67" spans="1:11" x14ac:dyDescent="0.2">
      <c r="A67">
        <v>4094</v>
      </c>
      <c r="B67" t="s">
        <v>136</v>
      </c>
      <c r="C67">
        <v>9003</v>
      </c>
      <c r="D67" t="s">
        <v>127</v>
      </c>
      <c r="E67" s="6">
        <v>-78</v>
      </c>
      <c r="F67" s="6">
        <v>78</v>
      </c>
      <c r="G67" s="6">
        <f t="shared" si="0"/>
        <v>0</v>
      </c>
      <c r="K67" s="18"/>
    </row>
    <row r="68" spans="1:11" x14ac:dyDescent="0.2">
      <c r="A68">
        <v>11687</v>
      </c>
      <c r="B68" t="s">
        <v>106</v>
      </c>
      <c r="C68">
        <v>9009</v>
      </c>
      <c r="D68" t="s">
        <v>127</v>
      </c>
      <c r="E68" s="6">
        <v>-27080</v>
      </c>
      <c r="F68" s="6">
        <v>27080</v>
      </c>
      <c r="G68" s="6">
        <f t="shared" si="0"/>
        <v>0</v>
      </c>
      <c r="K68" s="18"/>
    </row>
    <row r="69" spans="1:11" x14ac:dyDescent="0.2">
      <c r="A69">
        <v>11937</v>
      </c>
      <c r="B69" t="s">
        <v>137</v>
      </c>
      <c r="C69">
        <v>9014</v>
      </c>
      <c r="D69" t="s">
        <v>127</v>
      </c>
      <c r="E69" s="6">
        <v>10425</v>
      </c>
      <c r="F69" s="6">
        <v>-10425</v>
      </c>
      <c r="G69" s="6">
        <f t="shared" si="0"/>
        <v>0</v>
      </c>
      <c r="K69" s="18"/>
    </row>
    <row r="70" spans="1:11" x14ac:dyDescent="0.2">
      <c r="A70">
        <v>6268</v>
      </c>
      <c r="B70" t="s">
        <v>96</v>
      </c>
      <c r="C70">
        <v>9023</v>
      </c>
      <c r="D70" t="s">
        <v>127</v>
      </c>
      <c r="E70" s="6">
        <v>-794</v>
      </c>
      <c r="F70" s="6">
        <f>797-3</f>
        <v>794</v>
      </c>
      <c r="G70" s="6">
        <f t="shared" si="0"/>
        <v>0</v>
      </c>
      <c r="K70" s="18"/>
    </row>
    <row r="71" spans="1:11" x14ac:dyDescent="0.2">
      <c r="A71">
        <v>4084</v>
      </c>
      <c r="B71" t="s">
        <v>108</v>
      </c>
      <c r="C71">
        <v>9031</v>
      </c>
      <c r="D71" t="s">
        <v>127</v>
      </c>
      <c r="E71" s="6">
        <v>13</v>
      </c>
      <c r="F71" s="6">
        <v>-13</v>
      </c>
      <c r="G71" s="6">
        <f t="shared" si="0"/>
        <v>0</v>
      </c>
      <c r="K71" s="18"/>
    </row>
    <row r="72" spans="1:11" x14ac:dyDescent="0.2">
      <c r="A72">
        <v>11793</v>
      </c>
      <c r="B72" t="s">
        <v>93</v>
      </c>
      <c r="C72">
        <v>9036</v>
      </c>
      <c r="D72" t="s">
        <v>127</v>
      </c>
      <c r="E72" s="6">
        <v>-56153</v>
      </c>
      <c r="F72" s="6">
        <v>56153</v>
      </c>
      <c r="G72" s="6">
        <f t="shared" ref="G72:G116" si="1">+E72+F72</f>
        <v>0</v>
      </c>
      <c r="K72" s="18"/>
    </row>
    <row r="73" spans="1:11" x14ac:dyDescent="0.2">
      <c r="A73">
        <v>4101</v>
      </c>
      <c r="B73" t="s">
        <v>110</v>
      </c>
      <c r="C73">
        <v>9039</v>
      </c>
      <c r="D73" t="s">
        <v>127</v>
      </c>
      <c r="E73" s="6">
        <v>441</v>
      </c>
      <c r="F73" s="6">
        <v>-441</v>
      </c>
      <c r="G73" s="6">
        <f t="shared" si="1"/>
        <v>0</v>
      </c>
      <c r="K73" s="18"/>
    </row>
    <row r="74" spans="1:11" x14ac:dyDescent="0.2">
      <c r="A74">
        <v>4103</v>
      </c>
      <c r="B74" t="s">
        <v>138</v>
      </c>
      <c r="C74">
        <v>9041</v>
      </c>
      <c r="D74" t="s">
        <v>127</v>
      </c>
      <c r="E74" s="6">
        <v>-56</v>
      </c>
      <c r="F74" s="6">
        <v>56</v>
      </c>
      <c r="G74" s="6">
        <f t="shared" si="1"/>
        <v>0</v>
      </c>
      <c r="K74" s="18"/>
    </row>
    <row r="75" spans="1:11" x14ac:dyDescent="0.2">
      <c r="A75">
        <v>11420</v>
      </c>
      <c r="B75" t="s">
        <v>97</v>
      </c>
      <c r="C75">
        <v>9044</v>
      </c>
      <c r="D75" t="s">
        <v>127</v>
      </c>
      <c r="E75" s="6">
        <v>-2598</v>
      </c>
      <c r="F75" s="6">
        <v>2598</v>
      </c>
      <c r="G75" s="6">
        <f t="shared" si="1"/>
        <v>0</v>
      </c>
      <c r="K75" s="18"/>
    </row>
    <row r="76" spans="1:11" x14ac:dyDescent="0.2">
      <c r="A76">
        <v>11143</v>
      </c>
      <c r="B76" t="s">
        <v>139</v>
      </c>
      <c r="C76">
        <v>9047</v>
      </c>
      <c r="D76" t="s">
        <v>127</v>
      </c>
      <c r="E76" s="6">
        <v>174</v>
      </c>
      <c r="F76" s="6">
        <v>-174</v>
      </c>
      <c r="G76" s="6">
        <f t="shared" si="1"/>
        <v>0</v>
      </c>
      <c r="K76" s="18"/>
    </row>
    <row r="77" spans="1:11" x14ac:dyDescent="0.2">
      <c r="A77">
        <v>4118</v>
      </c>
      <c r="B77" t="s">
        <v>99</v>
      </c>
      <c r="C77">
        <v>9050</v>
      </c>
      <c r="D77" t="s">
        <v>127</v>
      </c>
      <c r="E77" s="6">
        <v>2</v>
      </c>
      <c r="F77" s="6">
        <v>-2</v>
      </c>
      <c r="G77" s="6">
        <f t="shared" si="1"/>
        <v>0</v>
      </c>
      <c r="K77" s="18"/>
    </row>
    <row r="78" spans="1:11" x14ac:dyDescent="0.2">
      <c r="A78">
        <v>11128</v>
      </c>
      <c r="B78" t="s">
        <v>140</v>
      </c>
      <c r="C78">
        <v>9056</v>
      </c>
      <c r="D78" t="s">
        <v>127</v>
      </c>
      <c r="E78" s="6">
        <v>-195</v>
      </c>
      <c r="F78" s="6">
        <v>195</v>
      </c>
      <c r="G78" s="6">
        <f t="shared" si="1"/>
        <v>0</v>
      </c>
      <c r="K78" s="18"/>
    </row>
    <row r="79" spans="1:11" x14ac:dyDescent="0.2">
      <c r="A79">
        <v>4109</v>
      </c>
      <c r="B79" t="s">
        <v>92</v>
      </c>
      <c r="C79">
        <v>9069</v>
      </c>
      <c r="D79" t="s">
        <v>127</v>
      </c>
      <c r="E79" s="6">
        <v>1</v>
      </c>
      <c r="G79" s="6">
        <f t="shared" si="1"/>
        <v>1</v>
      </c>
      <c r="K79" s="18"/>
    </row>
    <row r="80" spans="1:11" x14ac:dyDescent="0.2">
      <c r="A80">
        <v>11905</v>
      </c>
      <c r="B80" t="s">
        <v>141</v>
      </c>
      <c r="C80">
        <v>8986</v>
      </c>
      <c r="D80" t="s">
        <v>127</v>
      </c>
      <c r="E80" s="6">
        <v>2</v>
      </c>
      <c r="G80" s="6">
        <f t="shared" si="1"/>
        <v>2</v>
      </c>
      <c r="K80" s="18"/>
    </row>
    <row r="81" spans="1:11" x14ac:dyDescent="0.2">
      <c r="A81">
        <v>11742</v>
      </c>
      <c r="B81" t="s">
        <v>142</v>
      </c>
      <c r="C81">
        <v>9008</v>
      </c>
      <c r="D81" t="s">
        <v>127</v>
      </c>
      <c r="E81" s="6">
        <v>2</v>
      </c>
      <c r="G81" s="6">
        <f t="shared" si="1"/>
        <v>2</v>
      </c>
      <c r="K81" s="18"/>
    </row>
    <row r="82" spans="1:11" x14ac:dyDescent="0.2">
      <c r="A82">
        <v>4122</v>
      </c>
      <c r="B82" t="s">
        <v>143</v>
      </c>
      <c r="C82">
        <v>8995</v>
      </c>
      <c r="D82" t="s">
        <v>127</v>
      </c>
      <c r="E82" s="6">
        <v>3</v>
      </c>
      <c r="G82" s="6">
        <f t="shared" si="1"/>
        <v>3</v>
      </c>
      <c r="K82" s="18"/>
    </row>
    <row r="83" spans="1:11" x14ac:dyDescent="0.2">
      <c r="A83">
        <v>7812</v>
      </c>
      <c r="B83" t="s">
        <v>66</v>
      </c>
      <c r="C83">
        <v>9077</v>
      </c>
      <c r="D83" t="s">
        <v>127</v>
      </c>
      <c r="E83" s="6">
        <v>1</v>
      </c>
      <c r="F83" s="6">
        <v>3</v>
      </c>
      <c r="G83" s="6">
        <f>+E83+F83</f>
        <v>4</v>
      </c>
      <c r="K83" s="18"/>
    </row>
    <row r="84" spans="1:11" x14ac:dyDescent="0.2">
      <c r="A84">
        <v>11517</v>
      </c>
      <c r="B84" t="s">
        <v>144</v>
      </c>
      <c r="C84">
        <v>9049</v>
      </c>
      <c r="D84" t="s">
        <v>127</v>
      </c>
      <c r="E84" s="6">
        <v>4</v>
      </c>
      <c r="G84" s="6">
        <f t="shared" si="1"/>
        <v>4</v>
      </c>
      <c r="K84" s="18"/>
    </row>
    <row r="85" spans="1:11" x14ac:dyDescent="0.2">
      <c r="A85">
        <v>6369</v>
      </c>
      <c r="B85" t="s">
        <v>145</v>
      </c>
      <c r="C85">
        <v>9071</v>
      </c>
      <c r="D85" t="s">
        <v>127</v>
      </c>
      <c r="E85" s="6">
        <v>5</v>
      </c>
      <c r="G85" s="6">
        <f t="shared" si="1"/>
        <v>5</v>
      </c>
      <c r="K85" s="18"/>
    </row>
    <row r="86" spans="1:11" x14ac:dyDescent="0.2">
      <c r="A86">
        <v>8700</v>
      </c>
      <c r="B86" t="s">
        <v>146</v>
      </c>
      <c r="C86">
        <v>9076</v>
      </c>
      <c r="D86" t="s">
        <v>127</v>
      </c>
      <c r="E86" s="6">
        <v>5</v>
      </c>
      <c r="G86" s="6">
        <f t="shared" si="1"/>
        <v>5</v>
      </c>
      <c r="K86" s="18"/>
    </row>
    <row r="87" spans="1:11" x14ac:dyDescent="0.2">
      <c r="A87">
        <v>11611</v>
      </c>
      <c r="B87" t="s">
        <v>147</v>
      </c>
      <c r="C87">
        <v>9007</v>
      </c>
      <c r="D87" t="s">
        <v>127</v>
      </c>
      <c r="E87" s="6">
        <v>7</v>
      </c>
      <c r="G87" s="6">
        <f t="shared" si="1"/>
        <v>7</v>
      </c>
      <c r="K87" s="18"/>
    </row>
    <row r="88" spans="1:11" x14ac:dyDescent="0.2">
      <c r="A88">
        <v>5736</v>
      </c>
      <c r="B88" t="s">
        <v>123</v>
      </c>
      <c r="C88">
        <v>9029</v>
      </c>
      <c r="D88" t="s">
        <v>127</v>
      </c>
      <c r="E88" s="6">
        <v>28</v>
      </c>
      <c r="G88" s="6">
        <f t="shared" si="1"/>
        <v>28</v>
      </c>
      <c r="K88" s="18"/>
    </row>
    <row r="89" spans="1:11" x14ac:dyDescent="0.2">
      <c r="A89">
        <v>3975</v>
      </c>
      <c r="B89" t="s">
        <v>148</v>
      </c>
      <c r="C89">
        <v>9005</v>
      </c>
      <c r="D89" t="s">
        <v>127</v>
      </c>
      <c r="E89" s="6">
        <v>229</v>
      </c>
      <c r="G89" s="6">
        <f t="shared" si="1"/>
        <v>229</v>
      </c>
      <c r="K89" s="18"/>
    </row>
    <row r="90" spans="1:11" x14ac:dyDescent="0.2">
      <c r="A90">
        <v>7834</v>
      </c>
      <c r="B90" t="s">
        <v>149</v>
      </c>
      <c r="C90">
        <v>8989</v>
      </c>
      <c r="D90" t="s">
        <v>127</v>
      </c>
      <c r="E90" s="6">
        <v>229</v>
      </c>
      <c r="F90" s="6">
        <v>13</v>
      </c>
      <c r="G90" s="6">
        <f t="shared" si="1"/>
        <v>242</v>
      </c>
      <c r="K90" s="18"/>
    </row>
    <row r="91" spans="1:11" x14ac:dyDescent="0.2">
      <c r="A91">
        <v>12907</v>
      </c>
      <c r="B91" t="s">
        <v>107</v>
      </c>
      <c r="C91">
        <v>9015</v>
      </c>
      <c r="D91" t="s">
        <v>127</v>
      </c>
      <c r="E91" s="6">
        <v>6276</v>
      </c>
      <c r="F91" s="6">
        <f>-7000-86+1279+2</f>
        <v>-5805</v>
      </c>
      <c r="G91" s="6">
        <f t="shared" si="1"/>
        <v>471</v>
      </c>
      <c r="K91" s="18"/>
    </row>
    <row r="92" spans="1:11" x14ac:dyDescent="0.2">
      <c r="A92">
        <v>2707</v>
      </c>
      <c r="B92" t="s">
        <v>150</v>
      </c>
      <c r="C92">
        <v>8996</v>
      </c>
      <c r="D92" t="s">
        <v>127</v>
      </c>
      <c r="E92" s="6">
        <v>692</v>
      </c>
      <c r="G92" s="6">
        <f t="shared" si="1"/>
        <v>692</v>
      </c>
      <c r="K92" s="18"/>
    </row>
    <row r="93" spans="1:11" x14ac:dyDescent="0.2">
      <c r="A93">
        <v>1141</v>
      </c>
      <c r="B93" t="s">
        <v>151</v>
      </c>
      <c r="C93">
        <v>8993</v>
      </c>
      <c r="D93" t="s">
        <v>127</v>
      </c>
      <c r="E93" s="6">
        <v>941</v>
      </c>
      <c r="G93" s="6">
        <f t="shared" si="1"/>
        <v>941</v>
      </c>
      <c r="K93" s="18"/>
    </row>
    <row r="94" spans="1:11" x14ac:dyDescent="0.2">
      <c r="A94">
        <v>757</v>
      </c>
      <c r="B94" t="s">
        <v>152</v>
      </c>
      <c r="C94">
        <v>9073</v>
      </c>
      <c r="D94" t="s">
        <v>127</v>
      </c>
      <c r="E94" s="6">
        <v>1139</v>
      </c>
      <c r="G94" s="6">
        <f t="shared" si="1"/>
        <v>1139</v>
      </c>
      <c r="K94" s="18"/>
    </row>
    <row r="95" spans="1:11" x14ac:dyDescent="0.2">
      <c r="A95">
        <v>655</v>
      </c>
      <c r="B95" t="s">
        <v>90</v>
      </c>
      <c r="C95">
        <v>9027</v>
      </c>
      <c r="D95" t="s">
        <v>127</v>
      </c>
      <c r="E95" s="6">
        <v>3891</v>
      </c>
      <c r="F95" s="6">
        <v>-2598</v>
      </c>
      <c r="G95" s="6">
        <f t="shared" si="1"/>
        <v>1293</v>
      </c>
      <c r="K95" s="18"/>
    </row>
    <row r="96" spans="1:11" x14ac:dyDescent="0.2">
      <c r="A96">
        <v>8573</v>
      </c>
      <c r="B96" t="s">
        <v>53</v>
      </c>
      <c r="C96">
        <v>9065</v>
      </c>
      <c r="D96" t="s">
        <v>127</v>
      </c>
      <c r="E96" s="6">
        <v>5120</v>
      </c>
      <c r="G96" s="6">
        <f t="shared" si="1"/>
        <v>5120</v>
      </c>
      <c r="K96" s="18"/>
    </row>
    <row r="97" spans="1:11" x14ac:dyDescent="0.2">
      <c r="A97">
        <v>6321</v>
      </c>
      <c r="B97" t="s">
        <v>113</v>
      </c>
      <c r="C97">
        <v>9058</v>
      </c>
      <c r="D97" t="s">
        <v>127</v>
      </c>
      <c r="E97" s="6">
        <v>5925</v>
      </c>
      <c r="G97" s="6">
        <f t="shared" si="1"/>
        <v>5925</v>
      </c>
      <c r="K97" s="18"/>
    </row>
    <row r="98" spans="1:11" x14ac:dyDescent="0.2">
      <c r="A98">
        <v>11145</v>
      </c>
      <c r="B98" t="s">
        <v>153</v>
      </c>
      <c r="C98">
        <v>9046</v>
      </c>
      <c r="D98" t="s">
        <v>127</v>
      </c>
      <c r="E98" s="6">
        <v>11549</v>
      </c>
      <c r="G98" s="6">
        <f t="shared" si="1"/>
        <v>11549</v>
      </c>
      <c r="K98" s="18"/>
    </row>
    <row r="99" spans="1:11" x14ac:dyDescent="0.2">
      <c r="A99">
        <v>330</v>
      </c>
      <c r="B99" t="s">
        <v>120</v>
      </c>
      <c r="C99">
        <v>9017</v>
      </c>
      <c r="D99" t="s">
        <v>127</v>
      </c>
      <c r="E99" s="6">
        <v>27450</v>
      </c>
      <c r="F99" s="6">
        <f>-7314-1624+2</f>
        <v>-8936</v>
      </c>
      <c r="G99" s="6">
        <f t="shared" si="1"/>
        <v>18514</v>
      </c>
      <c r="K99" s="18"/>
    </row>
    <row r="100" spans="1:11" x14ac:dyDescent="0.2">
      <c r="A100">
        <v>6268</v>
      </c>
      <c r="B100" t="s">
        <v>96</v>
      </c>
      <c r="C100">
        <v>9025</v>
      </c>
      <c r="D100" t="s">
        <v>121</v>
      </c>
      <c r="E100" s="6">
        <v>534</v>
      </c>
      <c r="F100" s="6">
        <v>-534</v>
      </c>
      <c r="G100" s="6">
        <f t="shared" si="1"/>
        <v>0</v>
      </c>
      <c r="K100" s="18"/>
    </row>
    <row r="101" spans="1:11" s="9" customFormat="1" x14ac:dyDescent="0.2">
      <c r="E101" s="10">
        <f>SUM(E66:E100)</f>
        <v>-15327</v>
      </c>
      <c r="F101" s="10">
        <f>SUM(F66:F100)</f>
        <v>61503</v>
      </c>
      <c r="G101" s="10">
        <f>SUM(G66:G100)</f>
        <v>46176</v>
      </c>
      <c r="H101" s="14">
        <v>5.13</v>
      </c>
      <c r="I101" s="14">
        <f>ROUND(G101*H101,2)</f>
        <v>236882.88</v>
      </c>
    </row>
    <row r="104" spans="1:11" x14ac:dyDescent="0.2">
      <c r="A104">
        <v>8573</v>
      </c>
      <c r="B104" t="s">
        <v>53</v>
      </c>
      <c r="C104">
        <v>9066</v>
      </c>
      <c r="D104" t="s">
        <v>154</v>
      </c>
      <c r="E104" s="6">
        <v>-2112</v>
      </c>
      <c r="G104" s="6">
        <f t="shared" si="1"/>
        <v>-2112</v>
      </c>
      <c r="K104" s="18"/>
    </row>
    <row r="105" spans="1:11" x14ac:dyDescent="0.2">
      <c r="A105">
        <v>3975</v>
      </c>
      <c r="B105" t="s">
        <v>148</v>
      </c>
      <c r="C105">
        <v>9006</v>
      </c>
      <c r="D105" t="s">
        <v>154</v>
      </c>
      <c r="E105" s="6">
        <v>-583</v>
      </c>
      <c r="G105" s="6">
        <f t="shared" si="1"/>
        <v>-583</v>
      </c>
      <c r="K105" s="18"/>
    </row>
    <row r="106" spans="1:11" x14ac:dyDescent="0.2">
      <c r="A106">
        <v>4997</v>
      </c>
      <c r="B106" t="s">
        <v>132</v>
      </c>
      <c r="C106">
        <v>9013</v>
      </c>
      <c r="D106" t="s">
        <v>154</v>
      </c>
      <c r="E106" s="6">
        <v>-296</v>
      </c>
      <c r="G106" s="6">
        <f t="shared" si="1"/>
        <v>-296</v>
      </c>
      <c r="K106" s="18"/>
    </row>
    <row r="107" spans="1:11" x14ac:dyDescent="0.2">
      <c r="A107">
        <v>330</v>
      </c>
      <c r="B107" t="s">
        <v>120</v>
      </c>
      <c r="C107">
        <v>9018</v>
      </c>
      <c r="D107" t="s">
        <v>154</v>
      </c>
      <c r="E107" s="6">
        <v>-176</v>
      </c>
      <c r="G107" s="6">
        <f t="shared" si="1"/>
        <v>-176</v>
      </c>
      <c r="K107" s="18"/>
    </row>
    <row r="108" spans="1:11" x14ac:dyDescent="0.2">
      <c r="A108">
        <v>11687</v>
      </c>
      <c r="B108" t="s">
        <v>106</v>
      </c>
      <c r="C108">
        <v>9010</v>
      </c>
      <c r="D108" t="s">
        <v>154</v>
      </c>
      <c r="E108" s="6">
        <v>-23</v>
      </c>
      <c r="G108" s="6">
        <f t="shared" si="1"/>
        <v>-23</v>
      </c>
      <c r="K108" s="18"/>
    </row>
    <row r="109" spans="1:11" s="9" customFormat="1" x14ac:dyDescent="0.2">
      <c r="E109" s="10">
        <f>SUM(E104:E108)</f>
        <v>-3190</v>
      </c>
      <c r="F109" s="10">
        <f>SUM(F104:F108)</f>
        <v>0</v>
      </c>
      <c r="G109" s="10">
        <f>SUM(G104:G108)</f>
        <v>-3190</v>
      </c>
      <c r="H109" s="14">
        <v>5.0599999999999996</v>
      </c>
      <c r="I109" s="14">
        <f>ROUND(G109*H109,2)</f>
        <v>-16141.4</v>
      </c>
      <c r="K109" s="19"/>
    </row>
    <row r="110" spans="1:11" x14ac:dyDescent="0.2">
      <c r="K110" s="18"/>
    </row>
    <row r="111" spans="1:11" x14ac:dyDescent="0.2">
      <c r="K111" s="18"/>
    </row>
    <row r="112" spans="1:11" x14ac:dyDescent="0.2">
      <c r="A112">
        <v>6321</v>
      </c>
      <c r="B112" t="s">
        <v>113</v>
      </c>
      <c r="C112">
        <v>9059</v>
      </c>
      <c r="D112" t="s">
        <v>154</v>
      </c>
      <c r="E112" s="6">
        <v>-2520</v>
      </c>
      <c r="F112" s="6">
        <v>2520</v>
      </c>
      <c r="G112" s="6">
        <f t="shared" si="1"/>
        <v>0</v>
      </c>
      <c r="K112" s="18"/>
    </row>
    <row r="113" spans="1:11" x14ac:dyDescent="0.2">
      <c r="A113">
        <v>757</v>
      </c>
      <c r="B113" t="s">
        <v>152</v>
      </c>
      <c r="C113">
        <v>9074</v>
      </c>
      <c r="D113" t="s">
        <v>154</v>
      </c>
      <c r="E113" s="6">
        <v>0</v>
      </c>
      <c r="G113" s="6">
        <f t="shared" si="1"/>
        <v>0</v>
      </c>
      <c r="K113" s="18"/>
    </row>
    <row r="114" spans="1:11" x14ac:dyDescent="0.2">
      <c r="A114">
        <v>11821</v>
      </c>
      <c r="B114" t="s">
        <v>155</v>
      </c>
      <c r="C114">
        <v>9067</v>
      </c>
      <c r="D114" t="s">
        <v>154</v>
      </c>
      <c r="E114" s="6">
        <v>231</v>
      </c>
      <c r="G114" s="6">
        <f t="shared" si="1"/>
        <v>231</v>
      </c>
      <c r="K114" s="18"/>
    </row>
    <row r="115" spans="1:11" x14ac:dyDescent="0.2">
      <c r="A115">
        <v>11905</v>
      </c>
      <c r="B115" t="s">
        <v>141</v>
      </c>
      <c r="C115">
        <v>8987</v>
      </c>
      <c r="D115" t="s">
        <v>154</v>
      </c>
      <c r="E115" s="6">
        <v>4784</v>
      </c>
      <c r="F115" s="6">
        <v>-2520</v>
      </c>
      <c r="G115" s="6">
        <f t="shared" si="1"/>
        <v>2264</v>
      </c>
      <c r="K115" s="18"/>
    </row>
    <row r="116" spans="1:11" x14ac:dyDescent="0.2">
      <c r="A116">
        <v>7672</v>
      </c>
      <c r="B116" t="s">
        <v>156</v>
      </c>
      <c r="C116">
        <v>9004</v>
      </c>
      <c r="D116" t="s">
        <v>154</v>
      </c>
      <c r="E116" s="6">
        <v>5551</v>
      </c>
      <c r="G116" s="6">
        <f t="shared" si="1"/>
        <v>5551</v>
      </c>
      <c r="K116" s="18"/>
    </row>
    <row r="117" spans="1:11" s="9" customFormat="1" x14ac:dyDescent="0.2">
      <c r="E117" s="10">
        <f>SUM(E112:E116)</f>
        <v>8046</v>
      </c>
      <c r="F117" s="10">
        <f>SUM(F112:F116)</f>
        <v>0</v>
      </c>
      <c r="G117" s="10">
        <f>SUM(G112:G116)</f>
        <v>8046</v>
      </c>
      <c r="H117" s="14">
        <v>5.13</v>
      </c>
      <c r="I117" s="14">
        <f>ROUND(G117*H117,2)</f>
        <v>41275.980000000003</v>
      </c>
    </row>
    <row r="120" spans="1:11" s="9" customFormat="1" x14ac:dyDescent="0.2">
      <c r="B120" s="9" t="s">
        <v>216</v>
      </c>
      <c r="E120" s="10">
        <f>+E117+E109+E101+E63+E46+E15</f>
        <v>-218930</v>
      </c>
      <c r="F120" s="10">
        <f>+F117+F109+F101+F63+F46+F15</f>
        <v>0</v>
      </c>
      <c r="G120" s="10">
        <f>+G117+G109+G101+G63+G46+G15</f>
        <v>-218930</v>
      </c>
      <c r="H120" s="14"/>
      <c r="I120" s="14">
        <f>+I117+I109+I101+I63+I46+I15</f>
        <v>-1096461.69</v>
      </c>
    </row>
    <row r="123" spans="1:11" x14ac:dyDescent="0.2">
      <c r="B123" t="s">
        <v>225</v>
      </c>
      <c r="G123" s="6">
        <f>+G109+G63+G15</f>
        <v>-380703</v>
      </c>
      <c r="I123" s="13">
        <f>+I109+I63+I15</f>
        <v>-1926357.18</v>
      </c>
    </row>
    <row r="125" spans="1:11" x14ac:dyDescent="0.2">
      <c r="B125" t="s">
        <v>226</v>
      </c>
      <c r="G125" s="6">
        <f>+G117+G101+G46</f>
        <v>161773</v>
      </c>
      <c r="I125" s="13">
        <f>+I117+I101+I46</f>
        <v>829895.49</v>
      </c>
    </row>
    <row r="127" spans="1:11" x14ac:dyDescent="0.2">
      <c r="B127" t="s">
        <v>227</v>
      </c>
      <c r="G127" s="6">
        <f>SUM(G123:G126)</f>
        <v>-218930</v>
      </c>
      <c r="I127" s="13">
        <f>SUM(I123:I126)</f>
        <v>-1096461.69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selection activeCell="B107" sqref="B107"/>
    </sheetView>
  </sheetViews>
  <sheetFormatPr defaultRowHeight="12.75" x14ac:dyDescent="0.2"/>
  <cols>
    <col min="2" max="2" width="35.85546875" customWidth="1"/>
    <col min="3" max="3" width="11" customWidth="1"/>
    <col min="4" max="4" width="19.85546875" customWidth="1"/>
    <col min="5" max="5" width="10.7109375" style="6" customWidth="1"/>
    <col min="6" max="6" width="9.140625" style="6"/>
    <col min="7" max="7" width="12" style="6" customWidth="1"/>
    <col min="8" max="8" width="9" style="13" customWidth="1"/>
    <col min="9" max="9" width="14.28515625" style="13" customWidth="1"/>
    <col min="10" max="10" width="35.140625" bestFit="1" customWidth="1"/>
  </cols>
  <sheetData>
    <row r="1" spans="1:11" s="9" customFormat="1" x14ac:dyDescent="0.2">
      <c r="A1" s="9" t="s">
        <v>73</v>
      </c>
      <c r="E1" s="10"/>
      <c r="F1" s="10"/>
      <c r="G1" s="10"/>
      <c r="H1" s="14"/>
      <c r="I1" s="14"/>
    </row>
    <row r="2" spans="1:11" s="9" customFormat="1" x14ac:dyDescent="0.2">
      <c r="A2" s="15">
        <v>36831</v>
      </c>
      <c r="E2" s="10"/>
      <c r="F2" s="10"/>
      <c r="G2" s="10"/>
      <c r="H2" s="14"/>
      <c r="I2" s="14"/>
    </row>
    <row r="3" spans="1:11" s="9" customFormat="1" x14ac:dyDescent="0.2">
      <c r="E3" s="10"/>
      <c r="F3" s="10"/>
      <c r="G3" s="10"/>
      <c r="H3" s="14"/>
      <c r="I3" s="14"/>
    </row>
    <row r="4" spans="1:11" s="1" customFormat="1" ht="38.25" x14ac:dyDescent="0.2">
      <c r="A4" s="1" t="s">
        <v>0</v>
      </c>
      <c r="B4" s="1" t="s">
        <v>1</v>
      </c>
      <c r="C4" s="1" t="s">
        <v>2</v>
      </c>
      <c r="D4" s="1" t="s">
        <v>3</v>
      </c>
      <c r="E4" s="16" t="s">
        <v>4</v>
      </c>
      <c r="F4" s="16" t="s">
        <v>88</v>
      </c>
      <c r="G4" s="16" t="s">
        <v>89</v>
      </c>
      <c r="H4" s="17"/>
      <c r="I4" s="17"/>
    </row>
    <row r="5" spans="1:11" x14ac:dyDescent="0.2">
      <c r="A5" s="20">
        <v>5736</v>
      </c>
      <c r="B5" s="20" t="s">
        <v>123</v>
      </c>
      <c r="C5" s="20">
        <v>9122</v>
      </c>
      <c r="D5" s="21" t="s">
        <v>91</v>
      </c>
      <c r="E5" s="22">
        <v>-78664</v>
      </c>
      <c r="F5" s="22">
        <f>3779+5617</f>
        <v>9396</v>
      </c>
      <c r="G5" s="22">
        <f t="shared" ref="G5:G82" si="0">+E5+F5</f>
        <v>-69268</v>
      </c>
      <c r="J5" s="21"/>
      <c r="K5" s="18"/>
    </row>
    <row r="6" spans="1:11" x14ac:dyDescent="0.2">
      <c r="A6" s="20">
        <v>4109</v>
      </c>
      <c r="B6" s="20" t="s">
        <v>92</v>
      </c>
      <c r="C6" s="20">
        <v>9164</v>
      </c>
      <c r="D6" s="21" t="s">
        <v>91</v>
      </c>
      <c r="E6" s="22">
        <v>-37035</v>
      </c>
      <c r="F6" s="22"/>
      <c r="G6" s="22">
        <f t="shared" si="0"/>
        <v>-37035</v>
      </c>
      <c r="J6" s="21"/>
      <c r="K6" s="18"/>
    </row>
    <row r="7" spans="1:11" x14ac:dyDescent="0.2">
      <c r="A7" s="20">
        <v>6268</v>
      </c>
      <c r="B7" s="20" t="s">
        <v>96</v>
      </c>
      <c r="C7" s="20">
        <v>9116</v>
      </c>
      <c r="D7" s="21" t="s">
        <v>91</v>
      </c>
      <c r="E7" s="22">
        <f>-14058-19376</f>
        <v>-33434</v>
      </c>
      <c r="F7" s="22">
        <f>-5617+1720+10163-370+366</f>
        <v>6262</v>
      </c>
      <c r="G7" s="22">
        <f t="shared" si="0"/>
        <v>-27172</v>
      </c>
      <c r="J7" s="21"/>
      <c r="K7" s="18"/>
    </row>
    <row r="8" spans="1:11" x14ac:dyDescent="0.2">
      <c r="A8" s="20">
        <v>11185</v>
      </c>
      <c r="B8" s="20" t="s">
        <v>119</v>
      </c>
      <c r="C8" s="20">
        <v>9137</v>
      </c>
      <c r="D8" s="21" t="s">
        <v>91</v>
      </c>
      <c r="E8" s="22">
        <v>-17394</v>
      </c>
      <c r="F8" s="22"/>
      <c r="G8" s="22">
        <f t="shared" si="0"/>
        <v>-17394</v>
      </c>
      <c r="H8" s="23"/>
      <c r="I8" s="23"/>
      <c r="J8" s="21"/>
      <c r="K8" s="18"/>
    </row>
    <row r="9" spans="1:11" x14ac:dyDescent="0.2">
      <c r="A9" s="20">
        <v>4101</v>
      </c>
      <c r="B9" s="20" t="s">
        <v>110</v>
      </c>
      <c r="C9" s="20">
        <v>9134</v>
      </c>
      <c r="D9" s="21" t="s">
        <v>91</v>
      </c>
      <c r="E9" s="22">
        <v>-13279</v>
      </c>
      <c r="F9" s="22"/>
      <c r="G9" s="22">
        <f t="shared" si="0"/>
        <v>-13279</v>
      </c>
      <c r="H9" s="23"/>
      <c r="I9" s="23"/>
      <c r="J9" s="21"/>
      <c r="K9" s="18"/>
    </row>
    <row r="10" spans="1:11" x14ac:dyDescent="0.2">
      <c r="A10" s="20">
        <v>4084</v>
      </c>
      <c r="B10" s="20" t="s">
        <v>108</v>
      </c>
      <c r="C10" s="20">
        <v>9125</v>
      </c>
      <c r="D10" s="21" t="s">
        <v>101</v>
      </c>
      <c r="E10" s="22">
        <v>-26510</v>
      </c>
      <c r="F10" s="22">
        <v>15339</v>
      </c>
      <c r="G10" s="22">
        <f t="shared" si="0"/>
        <v>-11171</v>
      </c>
      <c r="H10" s="23"/>
      <c r="I10" s="23"/>
      <c r="J10" s="21"/>
      <c r="K10" s="18"/>
    </row>
    <row r="11" spans="1:11" x14ac:dyDescent="0.2">
      <c r="A11" s="20">
        <v>11793</v>
      </c>
      <c r="B11" s="20" t="s">
        <v>93</v>
      </c>
      <c r="C11" s="20">
        <v>9129</v>
      </c>
      <c r="D11" s="21" t="s">
        <v>91</v>
      </c>
      <c r="E11" s="22">
        <f>-19050+3300</f>
        <v>-15750</v>
      </c>
      <c r="F11" s="22">
        <f>7140+635</f>
        <v>7775</v>
      </c>
      <c r="G11" s="22">
        <f t="shared" si="0"/>
        <v>-7975</v>
      </c>
      <c r="H11" s="23"/>
      <c r="I11" s="23"/>
      <c r="J11" s="21"/>
      <c r="K11" s="18"/>
    </row>
    <row r="12" spans="1:11" x14ac:dyDescent="0.2">
      <c r="A12" s="20">
        <v>4179</v>
      </c>
      <c r="B12" s="20" t="s">
        <v>105</v>
      </c>
      <c r="C12" s="20">
        <v>9093</v>
      </c>
      <c r="D12" s="21" t="s">
        <v>91</v>
      </c>
      <c r="E12" s="22">
        <v>-5906</v>
      </c>
      <c r="F12" s="22"/>
      <c r="G12" s="22">
        <f t="shared" si="0"/>
        <v>-5906</v>
      </c>
      <c r="H12" s="23"/>
      <c r="I12" s="23"/>
      <c r="J12" s="21"/>
      <c r="K12" s="18"/>
    </row>
    <row r="13" spans="1:11" x14ac:dyDescent="0.2">
      <c r="A13" s="20">
        <v>330</v>
      </c>
      <c r="B13" s="20" t="s">
        <v>120</v>
      </c>
      <c r="C13" s="20">
        <v>9111</v>
      </c>
      <c r="D13" s="21" t="s">
        <v>101</v>
      </c>
      <c r="E13" s="22">
        <v>-2833</v>
      </c>
      <c r="F13" s="22"/>
      <c r="G13" s="22">
        <f t="shared" si="0"/>
        <v>-2833</v>
      </c>
      <c r="H13" s="23"/>
      <c r="I13" s="23"/>
      <c r="J13" s="21"/>
      <c r="K13" s="18"/>
    </row>
    <row r="14" spans="1:11" x14ac:dyDescent="0.2">
      <c r="A14">
        <v>1004</v>
      </c>
      <c r="B14" t="s">
        <v>122</v>
      </c>
      <c r="C14">
        <v>9080</v>
      </c>
      <c r="D14" s="21" t="s">
        <v>91</v>
      </c>
      <c r="E14" s="22">
        <v>-665</v>
      </c>
      <c r="F14" s="22"/>
      <c r="G14" s="22">
        <f t="shared" si="0"/>
        <v>-665</v>
      </c>
      <c r="H14" s="23"/>
      <c r="I14" s="23"/>
      <c r="J14" s="21"/>
      <c r="K14" s="18"/>
    </row>
    <row r="15" spans="1:11" x14ac:dyDescent="0.2">
      <c r="A15" s="20">
        <v>6321</v>
      </c>
      <c r="B15" s="20" t="s">
        <v>113</v>
      </c>
      <c r="C15" s="20">
        <v>9156</v>
      </c>
      <c r="D15" s="21" t="s">
        <v>91</v>
      </c>
      <c r="E15" s="22">
        <v>-432</v>
      </c>
      <c r="F15" s="22"/>
      <c r="G15" s="22">
        <f t="shared" si="0"/>
        <v>-432</v>
      </c>
      <c r="H15" s="23"/>
      <c r="I15" s="23"/>
      <c r="J15" s="21"/>
      <c r="K15" s="18"/>
    </row>
    <row r="16" spans="1:11" x14ac:dyDescent="0.2">
      <c r="A16" s="20">
        <v>330</v>
      </c>
      <c r="B16" s="20" t="s">
        <v>120</v>
      </c>
      <c r="C16" s="20">
        <v>9110</v>
      </c>
      <c r="D16" s="21" t="s">
        <v>121</v>
      </c>
      <c r="E16" s="22">
        <v>-322</v>
      </c>
      <c r="F16" s="22"/>
      <c r="G16" s="22">
        <f>+E16+F16</f>
        <v>-322</v>
      </c>
      <c r="H16" s="23"/>
      <c r="I16" s="23"/>
      <c r="J16" s="21"/>
      <c r="K16" s="18"/>
    </row>
    <row r="17" spans="1:11" x14ac:dyDescent="0.2">
      <c r="A17" s="20">
        <v>11594</v>
      </c>
      <c r="B17" s="20" t="s">
        <v>100</v>
      </c>
      <c r="C17" s="20">
        <v>9082</v>
      </c>
      <c r="D17" s="21" t="s">
        <v>101</v>
      </c>
      <c r="E17" s="22">
        <v>-167</v>
      </c>
      <c r="F17" s="22"/>
      <c r="G17" s="22">
        <f t="shared" si="0"/>
        <v>-167</v>
      </c>
      <c r="H17" s="23"/>
      <c r="I17" s="23"/>
      <c r="J17" s="21"/>
      <c r="K17" s="18"/>
    </row>
    <row r="18" spans="1:11" s="9" customFormat="1" x14ac:dyDescent="0.2">
      <c r="A18" s="24"/>
      <c r="B18" s="24" t="s">
        <v>217</v>
      </c>
      <c r="C18" s="24"/>
      <c r="D18" s="25"/>
      <c r="E18" s="26">
        <f>SUM(E5:E17)</f>
        <v>-232391</v>
      </c>
      <c r="F18" s="26">
        <f>SUM(F5:F17)</f>
        <v>38772</v>
      </c>
      <c r="G18" s="26">
        <f>SUM(G5:G17)</f>
        <v>-193619</v>
      </c>
      <c r="H18" s="27">
        <v>4.83</v>
      </c>
      <c r="I18" s="27">
        <f>ROUND(G18*H18,2)</f>
        <v>-935179.77</v>
      </c>
      <c r="J18" s="25"/>
      <c r="K18" s="19"/>
    </row>
    <row r="19" spans="1:11" x14ac:dyDescent="0.2">
      <c r="A19" s="20"/>
      <c r="B19" s="20"/>
      <c r="C19" s="20"/>
      <c r="D19" s="21"/>
      <c r="E19" s="22"/>
      <c r="F19" s="22"/>
      <c r="G19" s="22"/>
      <c r="H19" s="23"/>
      <c r="I19" s="23"/>
      <c r="J19" s="21"/>
      <c r="K19" s="18"/>
    </row>
    <row r="20" spans="1:11" x14ac:dyDescent="0.2">
      <c r="A20" s="20"/>
      <c r="B20" s="20"/>
      <c r="C20" s="20"/>
      <c r="D20" s="21"/>
      <c r="E20" s="22"/>
      <c r="F20" s="22"/>
      <c r="G20" s="22"/>
      <c r="H20" s="23"/>
      <c r="I20" s="23"/>
      <c r="J20" s="21"/>
      <c r="K20" s="18"/>
    </row>
    <row r="21" spans="1:11" x14ac:dyDescent="0.2">
      <c r="A21" s="20">
        <v>6228</v>
      </c>
      <c r="B21" s="20" t="s">
        <v>103</v>
      </c>
      <c r="C21" s="20">
        <v>9086</v>
      </c>
      <c r="D21" s="21" t="s">
        <v>91</v>
      </c>
      <c r="E21" s="22">
        <v>4696</v>
      </c>
      <c r="F21" s="22">
        <v>-4696</v>
      </c>
      <c r="G21" s="22">
        <f t="shared" si="0"/>
        <v>0</v>
      </c>
      <c r="H21" s="23"/>
      <c r="I21" s="23"/>
      <c r="J21" s="21"/>
      <c r="K21" s="18"/>
    </row>
    <row r="22" spans="1:11" x14ac:dyDescent="0.2">
      <c r="A22" s="20">
        <v>4175</v>
      </c>
      <c r="B22" s="20" t="s">
        <v>104</v>
      </c>
      <c r="C22" s="20">
        <v>9088</v>
      </c>
      <c r="D22" s="21" t="s">
        <v>91</v>
      </c>
      <c r="E22" s="22">
        <v>12872</v>
      </c>
      <c r="F22" s="22">
        <v>-12872</v>
      </c>
      <c r="G22" s="22">
        <f t="shared" si="0"/>
        <v>0</v>
      </c>
      <c r="H22" s="23"/>
      <c r="I22" s="23"/>
      <c r="J22" s="21"/>
      <c r="K22" s="18"/>
    </row>
    <row r="23" spans="1:11" x14ac:dyDescent="0.2">
      <c r="A23" s="20">
        <v>11687</v>
      </c>
      <c r="B23" s="20" t="s">
        <v>106</v>
      </c>
      <c r="C23" s="20">
        <v>9102</v>
      </c>
      <c r="D23" s="21" t="s">
        <v>91</v>
      </c>
      <c r="E23" s="22">
        <v>-6295</v>
      </c>
      <c r="F23" s="22">
        <v>6295</v>
      </c>
      <c r="G23" s="22">
        <f t="shared" si="0"/>
        <v>0</v>
      </c>
      <c r="H23" s="23"/>
      <c r="I23" s="23"/>
      <c r="J23" s="21"/>
      <c r="K23" s="18"/>
    </row>
    <row r="24" spans="1:11" x14ac:dyDescent="0.2">
      <c r="A24" s="20">
        <v>12907</v>
      </c>
      <c r="B24" s="20" t="s">
        <v>107</v>
      </c>
      <c r="C24" s="20">
        <v>9107</v>
      </c>
      <c r="D24" s="21" t="s">
        <v>91</v>
      </c>
      <c r="E24" s="22">
        <v>3759</v>
      </c>
      <c r="F24" s="22">
        <v>-3759</v>
      </c>
      <c r="G24" s="22">
        <f t="shared" si="0"/>
        <v>0</v>
      </c>
      <c r="H24" s="23"/>
      <c r="I24" s="23"/>
      <c r="J24" s="21"/>
      <c r="K24" s="18"/>
    </row>
    <row r="25" spans="1:11" x14ac:dyDescent="0.2">
      <c r="A25" s="20">
        <v>655</v>
      </c>
      <c r="B25" s="20" t="s">
        <v>90</v>
      </c>
      <c r="C25" s="20">
        <v>9120</v>
      </c>
      <c r="D25" s="21" t="s">
        <v>91</v>
      </c>
      <c r="E25" s="22">
        <f>-10064+5088</f>
        <v>-4976</v>
      </c>
      <c r="F25" s="22">
        <v>4976</v>
      </c>
      <c r="G25" s="22">
        <f t="shared" si="0"/>
        <v>0</v>
      </c>
      <c r="H25" s="23"/>
      <c r="I25" s="23"/>
      <c r="J25" s="21"/>
      <c r="K25" s="18"/>
    </row>
    <row r="26" spans="1:11" x14ac:dyDescent="0.2">
      <c r="A26" s="20">
        <v>4084</v>
      </c>
      <c r="B26" s="20" t="s">
        <v>108</v>
      </c>
      <c r="C26" s="20">
        <v>9124</v>
      </c>
      <c r="D26" s="21" t="s">
        <v>91</v>
      </c>
      <c r="E26" s="22">
        <v>-3608</v>
      </c>
      <c r="F26" s="22">
        <v>3608</v>
      </c>
      <c r="G26" s="22">
        <f t="shared" si="0"/>
        <v>0</v>
      </c>
      <c r="H26" s="23"/>
      <c r="I26" s="23"/>
      <c r="J26" s="21"/>
      <c r="K26" s="18"/>
    </row>
    <row r="27" spans="1:11" x14ac:dyDescent="0.2">
      <c r="A27" s="20">
        <v>11729</v>
      </c>
      <c r="B27" s="20" t="s">
        <v>109</v>
      </c>
      <c r="C27" s="20">
        <v>9126</v>
      </c>
      <c r="D27" s="21" t="s">
        <v>91</v>
      </c>
      <c r="E27" s="22">
        <v>-48</v>
      </c>
      <c r="F27" s="22">
        <v>48</v>
      </c>
      <c r="G27" s="22">
        <f t="shared" si="0"/>
        <v>0</v>
      </c>
      <c r="H27" s="23"/>
      <c r="I27" s="23"/>
      <c r="J27" s="21"/>
      <c r="K27" s="18"/>
    </row>
    <row r="28" spans="1:11" x14ac:dyDescent="0.2">
      <c r="A28" s="20">
        <v>13252</v>
      </c>
      <c r="B28" s="20" t="s">
        <v>157</v>
      </c>
      <c r="C28" s="20">
        <v>9132</v>
      </c>
      <c r="D28" s="21" t="s">
        <v>91</v>
      </c>
      <c r="E28" s="22">
        <v>635</v>
      </c>
      <c r="F28" s="22">
        <v>-635</v>
      </c>
      <c r="G28" s="22">
        <f t="shared" si="0"/>
        <v>0</v>
      </c>
      <c r="H28" s="23"/>
      <c r="I28" s="23"/>
      <c r="J28" s="21"/>
      <c r="K28" s="18"/>
    </row>
    <row r="29" spans="1:11" x14ac:dyDescent="0.2">
      <c r="A29" s="20">
        <v>11420</v>
      </c>
      <c r="B29" s="20" t="s">
        <v>97</v>
      </c>
      <c r="C29" s="20">
        <v>9140</v>
      </c>
      <c r="D29" s="21" t="s">
        <v>91</v>
      </c>
      <c r="E29" s="22">
        <v>3779</v>
      </c>
      <c r="F29" s="22">
        <v>-3779</v>
      </c>
      <c r="G29" s="22">
        <f t="shared" si="0"/>
        <v>0</v>
      </c>
      <c r="H29" s="23"/>
      <c r="I29" s="23"/>
      <c r="J29" s="21"/>
      <c r="K29" s="18"/>
    </row>
    <row r="30" spans="1:11" x14ac:dyDescent="0.2">
      <c r="A30" s="20">
        <v>11516</v>
      </c>
      <c r="B30" s="20" t="s">
        <v>95</v>
      </c>
      <c r="C30" s="20">
        <v>9144</v>
      </c>
      <c r="D30" s="21" t="s">
        <v>91</v>
      </c>
      <c r="E30" s="22">
        <v>-35843</v>
      </c>
      <c r="F30" s="22">
        <v>35843</v>
      </c>
      <c r="G30" s="22">
        <f t="shared" si="0"/>
        <v>0</v>
      </c>
      <c r="H30" s="23"/>
      <c r="I30" s="23"/>
      <c r="J30" s="21"/>
      <c r="K30" s="18"/>
    </row>
    <row r="31" spans="1:11" x14ac:dyDescent="0.2">
      <c r="A31" s="20">
        <v>4118</v>
      </c>
      <c r="B31" s="20" t="s">
        <v>99</v>
      </c>
      <c r="C31" s="20">
        <v>9146</v>
      </c>
      <c r="D31" s="21" t="s">
        <v>91</v>
      </c>
      <c r="E31" s="22">
        <v>2876</v>
      </c>
      <c r="F31" s="22">
        <v>-2876</v>
      </c>
      <c r="G31" s="22">
        <f t="shared" si="0"/>
        <v>0</v>
      </c>
      <c r="H31" s="23"/>
      <c r="I31" s="23"/>
      <c r="J31" s="21"/>
      <c r="K31" s="18"/>
    </row>
    <row r="32" spans="1:11" x14ac:dyDescent="0.2">
      <c r="A32" s="20">
        <v>2974</v>
      </c>
      <c r="B32" s="20" t="s">
        <v>111</v>
      </c>
      <c r="C32" s="20">
        <v>9147</v>
      </c>
      <c r="D32" s="21" t="s">
        <v>91</v>
      </c>
      <c r="E32" s="22">
        <v>-2709</v>
      </c>
      <c r="F32" s="22">
        <v>2709</v>
      </c>
      <c r="G32" s="22">
        <f t="shared" si="0"/>
        <v>0</v>
      </c>
      <c r="H32" s="23"/>
      <c r="I32" s="23"/>
      <c r="J32" s="21"/>
      <c r="K32" s="18"/>
    </row>
    <row r="33" spans="1:11" x14ac:dyDescent="0.2">
      <c r="A33" s="20">
        <v>4120</v>
      </c>
      <c r="B33" s="20" t="s">
        <v>94</v>
      </c>
      <c r="C33" s="20">
        <v>9150</v>
      </c>
      <c r="D33" s="21" t="s">
        <v>91</v>
      </c>
      <c r="E33" s="22">
        <v>63443</v>
      </c>
      <c r="F33" s="22">
        <v>-63443</v>
      </c>
      <c r="G33" s="22">
        <f t="shared" si="0"/>
        <v>0</v>
      </c>
      <c r="H33" s="23"/>
      <c r="I33" s="23"/>
      <c r="J33" s="21"/>
      <c r="K33" s="18"/>
    </row>
    <row r="34" spans="1:11" x14ac:dyDescent="0.2">
      <c r="A34" s="20">
        <v>4079</v>
      </c>
      <c r="B34" s="20" t="s">
        <v>112</v>
      </c>
      <c r="C34" s="20">
        <v>9153</v>
      </c>
      <c r="D34" s="21" t="s">
        <v>91</v>
      </c>
      <c r="E34" s="22">
        <v>-707</v>
      </c>
      <c r="F34" s="22">
        <v>707</v>
      </c>
      <c r="G34" s="22">
        <f t="shared" si="0"/>
        <v>0</v>
      </c>
      <c r="H34" s="23"/>
      <c r="I34" s="23"/>
      <c r="J34" s="21"/>
      <c r="K34" s="18"/>
    </row>
    <row r="35" spans="1:11" x14ac:dyDescent="0.2">
      <c r="A35" s="20">
        <v>6075</v>
      </c>
      <c r="B35" s="20" t="s">
        <v>114</v>
      </c>
      <c r="C35" s="20">
        <v>9157</v>
      </c>
      <c r="D35" s="21" t="s">
        <v>91</v>
      </c>
      <c r="E35" s="22">
        <v>4976</v>
      </c>
      <c r="F35" s="22">
        <v>-4976</v>
      </c>
      <c r="G35" s="22">
        <f t="shared" si="0"/>
        <v>0</v>
      </c>
      <c r="H35" s="23"/>
      <c r="I35" s="23"/>
      <c r="J35" s="21"/>
      <c r="K35" s="18"/>
    </row>
    <row r="36" spans="1:11" x14ac:dyDescent="0.2">
      <c r="A36" s="20">
        <v>3974</v>
      </c>
      <c r="B36" s="20" t="s">
        <v>115</v>
      </c>
      <c r="C36" s="20">
        <v>9158</v>
      </c>
      <c r="D36" s="21" t="s">
        <v>91</v>
      </c>
      <c r="E36" s="22">
        <v>-2510</v>
      </c>
      <c r="F36" s="22">
        <v>2510</v>
      </c>
      <c r="G36" s="22">
        <f t="shared" si="0"/>
        <v>0</v>
      </c>
      <c r="H36" s="23"/>
      <c r="I36" s="23"/>
      <c r="J36" s="21"/>
      <c r="K36" s="18"/>
    </row>
    <row r="37" spans="1:11" x14ac:dyDescent="0.2">
      <c r="A37" s="20">
        <v>4133</v>
      </c>
      <c r="B37" s="20" t="s">
        <v>116</v>
      </c>
      <c r="C37" s="20">
        <v>9163</v>
      </c>
      <c r="D37" s="21" t="s">
        <v>91</v>
      </c>
      <c r="E37" s="22">
        <v>-2221</v>
      </c>
      <c r="F37" s="22">
        <v>2221</v>
      </c>
      <c r="G37" s="22">
        <f t="shared" si="0"/>
        <v>0</v>
      </c>
      <c r="H37" s="23"/>
      <c r="I37" s="23"/>
      <c r="J37" s="21"/>
      <c r="K37" s="18"/>
    </row>
    <row r="38" spans="1:11" x14ac:dyDescent="0.2">
      <c r="A38" s="20">
        <v>6431</v>
      </c>
      <c r="B38" s="20" t="s">
        <v>117</v>
      </c>
      <c r="C38" s="20">
        <v>9165</v>
      </c>
      <c r="D38" s="21" t="s">
        <v>91</v>
      </c>
      <c r="E38" s="22">
        <v>-14316</v>
      </c>
      <c r="F38" s="22">
        <v>14316</v>
      </c>
      <c r="G38" s="22">
        <f t="shared" si="0"/>
        <v>0</v>
      </c>
      <c r="H38" s="23"/>
      <c r="I38" s="23"/>
      <c r="J38" s="21"/>
      <c r="K38" s="18"/>
    </row>
    <row r="39" spans="1:11" x14ac:dyDescent="0.2">
      <c r="A39" s="20">
        <v>4175</v>
      </c>
      <c r="B39" s="20" t="s">
        <v>104</v>
      </c>
      <c r="C39" s="20">
        <v>9089</v>
      </c>
      <c r="D39" s="21" t="s">
        <v>101</v>
      </c>
      <c r="E39" s="22">
        <v>2114</v>
      </c>
      <c r="F39" s="22">
        <v>-2114</v>
      </c>
      <c r="G39" s="22">
        <f t="shared" si="0"/>
        <v>0</v>
      </c>
      <c r="H39" s="23"/>
      <c r="I39" s="23"/>
      <c r="J39" s="21"/>
      <c r="K39" s="18"/>
    </row>
    <row r="40" spans="1:11" x14ac:dyDescent="0.2">
      <c r="A40" s="20">
        <v>11793</v>
      </c>
      <c r="B40" s="20" t="s">
        <v>93</v>
      </c>
      <c r="C40" s="20">
        <v>9131</v>
      </c>
      <c r="D40" s="21" t="s">
        <v>101</v>
      </c>
      <c r="E40" s="22">
        <v>10355</v>
      </c>
      <c r="F40" s="22">
        <v>-10355</v>
      </c>
      <c r="G40" s="22">
        <f t="shared" si="0"/>
        <v>0</v>
      </c>
      <c r="H40" s="23"/>
      <c r="I40" s="23"/>
      <c r="J40" s="21"/>
      <c r="K40" s="18"/>
    </row>
    <row r="41" spans="1:11" x14ac:dyDescent="0.2">
      <c r="A41" s="20">
        <v>2974</v>
      </c>
      <c r="B41" s="20" t="s">
        <v>111</v>
      </c>
      <c r="C41" s="20">
        <v>9148</v>
      </c>
      <c r="D41" s="21" t="s">
        <v>101</v>
      </c>
      <c r="E41" s="22">
        <v>-2886</v>
      </c>
      <c r="F41" s="22">
        <v>2886</v>
      </c>
      <c r="G41" s="22">
        <f t="shared" si="0"/>
        <v>0</v>
      </c>
      <c r="H41" s="23"/>
      <c r="I41" s="23"/>
      <c r="J41" s="21"/>
      <c r="K41" s="18"/>
    </row>
    <row r="42" spans="1:11" x14ac:dyDescent="0.2">
      <c r="A42" s="20">
        <v>4120</v>
      </c>
      <c r="B42" s="20" t="s">
        <v>94</v>
      </c>
      <c r="C42" s="20">
        <v>9151</v>
      </c>
      <c r="D42" s="21" t="s">
        <v>101</v>
      </c>
      <c r="E42" s="22">
        <v>15339</v>
      </c>
      <c r="F42" s="22">
        <v>-15339</v>
      </c>
      <c r="G42" s="22">
        <f t="shared" si="0"/>
        <v>0</v>
      </c>
      <c r="H42" s="23"/>
      <c r="I42" s="23"/>
      <c r="J42" s="21"/>
      <c r="K42" s="18"/>
    </row>
    <row r="43" spans="1:11" x14ac:dyDescent="0.2">
      <c r="A43" s="20">
        <v>6268</v>
      </c>
      <c r="B43" s="20" t="s">
        <v>96</v>
      </c>
      <c r="C43" s="20">
        <v>9117</v>
      </c>
      <c r="D43" s="21" t="s">
        <v>121</v>
      </c>
      <c r="E43" s="22">
        <v>-1675</v>
      </c>
      <c r="F43" s="22">
        <f>1305+370</f>
        <v>1675</v>
      </c>
      <c r="G43" s="22">
        <f>+E43+F43</f>
        <v>0</v>
      </c>
      <c r="H43" s="23"/>
      <c r="I43" s="23"/>
      <c r="J43" s="21"/>
      <c r="K43" s="18"/>
    </row>
    <row r="44" spans="1:11" x14ac:dyDescent="0.2">
      <c r="A44" s="20">
        <v>11793</v>
      </c>
      <c r="B44" s="20" t="s">
        <v>93</v>
      </c>
      <c r="C44" s="20">
        <v>9130</v>
      </c>
      <c r="D44" s="21" t="s">
        <v>121</v>
      </c>
      <c r="E44" s="22">
        <v>1305</v>
      </c>
      <c r="F44" s="22">
        <v>-1305</v>
      </c>
      <c r="G44" s="22">
        <f>+E44+F44</f>
        <v>0</v>
      </c>
      <c r="H44" s="23"/>
      <c r="I44" s="23"/>
      <c r="J44" s="21"/>
      <c r="K44" s="18"/>
    </row>
    <row r="45" spans="1:11" x14ac:dyDescent="0.2">
      <c r="A45" s="20">
        <v>4131</v>
      </c>
      <c r="B45" s="20" t="s">
        <v>118</v>
      </c>
      <c r="C45" s="20">
        <v>9159</v>
      </c>
      <c r="D45" s="21" t="s">
        <v>91</v>
      </c>
      <c r="E45" s="22">
        <v>18</v>
      </c>
      <c r="F45" s="22"/>
      <c r="G45" s="22">
        <f t="shared" si="0"/>
        <v>18</v>
      </c>
      <c r="H45" s="23"/>
      <c r="I45" s="23"/>
      <c r="J45" s="21"/>
      <c r="K45" s="18"/>
    </row>
    <row r="46" spans="1:11" x14ac:dyDescent="0.2">
      <c r="A46" s="20">
        <v>287</v>
      </c>
      <c r="B46" s="20" t="s">
        <v>98</v>
      </c>
      <c r="C46" s="20">
        <v>9112</v>
      </c>
      <c r="D46" s="21" t="s">
        <v>91</v>
      </c>
      <c r="E46" s="22">
        <v>678</v>
      </c>
      <c r="F46" s="22"/>
      <c r="G46" s="22">
        <f t="shared" si="0"/>
        <v>678</v>
      </c>
      <c r="H46" s="23"/>
      <c r="I46" s="23"/>
      <c r="J46" s="21"/>
      <c r="K46" s="18"/>
    </row>
    <row r="47" spans="1:11" x14ac:dyDescent="0.2">
      <c r="A47" s="20">
        <v>4131</v>
      </c>
      <c r="B47" s="20" t="s">
        <v>118</v>
      </c>
      <c r="C47" s="20">
        <v>9160</v>
      </c>
      <c r="D47" s="21" t="s">
        <v>101</v>
      </c>
      <c r="E47" s="22">
        <v>997</v>
      </c>
      <c r="F47" s="22"/>
      <c r="G47" s="22">
        <f t="shared" si="0"/>
        <v>997</v>
      </c>
      <c r="H47" s="23"/>
      <c r="I47" s="23"/>
      <c r="J47" s="21"/>
      <c r="K47" s="18"/>
    </row>
    <row r="48" spans="1:11" x14ac:dyDescent="0.2">
      <c r="A48" s="20">
        <v>6268</v>
      </c>
      <c r="B48" s="20" t="s">
        <v>96</v>
      </c>
      <c r="C48" s="20">
        <v>9118</v>
      </c>
      <c r="D48" s="21" t="s">
        <v>101</v>
      </c>
      <c r="E48" s="22">
        <f>-28554+19924</f>
        <v>-8630</v>
      </c>
      <c r="F48" s="22">
        <f>10355+4376+3207</f>
        <v>17938</v>
      </c>
      <c r="G48" s="22">
        <f t="shared" si="0"/>
        <v>9308</v>
      </c>
      <c r="H48" s="23"/>
      <c r="I48" s="23"/>
      <c r="J48" s="21"/>
      <c r="K48" s="18"/>
    </row>
    <row r="49" spans="1:11" s="9" customFormat="1" x14ac:dyDescent="0.2">
      <c r="A49" s="24"/>
      <c r="B49" s="24" t="s">
        <v>219</v>
      </c>
      <c r="C49" s="24"/>
      <c r="D49" s="25"/>
      <c r="E49" s="26">
        <f>SUM(E21:E48)</f>
        <v>41418</v>
      </c>
      <c r="F49" s="26">
        <f>SUM(F21:F48)</f>
        <v>-30417</v>
      </c>
      <c r="G49" s="26">
        <f>SUM(G21:G48)</f>
        <v>11001</v>
      </c>
      <c r="H49" s="27">
        <v>5.2</v>
      </c>
      <c r="I49" s="27">
        <f>ROUND(G49*H49,2)</f>
        <v>57205.2</v>
      </c>
      <c r="J49" s="25"/>
      <c r="K49" s="19"/>
    </row>
    <row r="50" spans="1:11" x14ac:dyDescent="0.2">
      <c r="A50" s="20"/>
      <c r="B50" s="20"/>
      <c r="C50" s="20"/>
      <c r="D50" s="21"/>
      <c r="E50" s="22"/>
      <c r="F50" s="22"/>
      <c r="G50" s="22"/>
      <c r="H50" s="23"/>
      <c r="I50" s="23"/>
      <c r="J50" s="21"/>
      <c r="K50" s="18"/>
    </row>
    <row r="51" spans="1:11" s="9" customFormat="1" x14ac:dyDescent="0.2">
      <c r="A51" s="24"/>
      <c r="B51" s="24" t="s">
        <v>74</v>
      </c>
      <c r="C51" s="24"/>
      <c r="D51" s="25"/>
      <c r="E51" s="26"/>
      <c r="F51" s="26"/>
      <c r="G51" s="26">
        <f>+G18+G49</f>
        <v>-182618</v>
      </c>
      <c r="H51" s="27"/>
      <c r="I51" s="27"/>
      <c r="J51" s="25"/>
      <c r="K51" s="19"/>
    </row>
    <row r="52" spans="1:11" x14ac:dyDescent="0.2">
      <c r="A52" s="20"/>
      <c r="B52" s="20"/>
      <c r="C52" s="20"/>
      <c r="D52" s="21"/>
      <c r="E52" s="22"/>
      <c r="F52" s="22"/>
      <c r="G52" s="22"/>
      <c r="H52" s="23"/>
      <c r="I52" s="23"/>
      <c r="J52" s="21"/>
      <c r="K52" s="18"/>
    </row>
    <row r="53" spans="1:11" s="9" customFormat="1" x14ac:dyDescent="0.2">
      <c r="A53" s="24"/>
      <c r="B53" s="24" t="s">
        <v>158</v>
      </c>
      <c r="C53" s="24"/>
      <c r="D53" s="25"/>
      <c r="E53" s="26"/>
      <c r="F53" s="26"/>
      <c r="G53" s="26">
        <v>-287337</v>
      </c>
      <c r="H53" s="27"/>
      <c r="I53" s="27"/>
      <c r="J53" s="25"/>
      <c r="K53" s="19"/>
    </row>
    <row r="54" spans="1:11" s="9" customFormat="1" x14ac:dyDescent="0.2">
      <c r="A54" s="24"/>
      <c r="B54" s="24" t="s">
        <v>159</v>
      </c>
      <c r="C54" s="24"/>
      <c r="D54" s="25"/>
      <c r="E54" s="26"/>
      <c r="F54" s="26"/>
      <c r="G54" s="26">
        <v>-31261</v>
      </c>
      <c r="H54" s="27"/>
      <c r="I54" s="27"/>
      <c r="J54" s="25"/>
      <c r="K54" s="19"/>
    </row>
    <row r="55" spans="1:11" s="9" customFormat="1" x14ac:dyDescent="0.2">
      <c r="A55" s="24"/>
      <c r="B55" s="24" t="s">
        <v>71</v>
      </c>
      <c r="C55" s="24"/>
      <c r="D55" s="25"/>
      <c r="E55" s="26"/>
      <c r="F55" s="26"/>
      <c r="G55" s="26">
        <f>+G51-G53-G54</f>
        <v>135980</v>
      </c>
      <c r="H55" s="27"/>
      <c r="I55" s="27"/>
      <c r="J55" s="25"/>
      <c r="K55" s="19"/>
    </row>
    <row r="56" spans="1:11" x14ac:dyDescent="0.2">
      <c r="A56" s="20"/>
      <c r="B56" s="20"/>
      <c r="C56" s="20"/>
      <c r="D56" s="21"/>
      <c r="E56" s="22"/>
      <c r="F56" s="22"/>
      <c r="G56" s="22"/>
      <c r="H56" s="23"/>
      <c r="I56" s="23"/>
      <c r="J56" s="21"/>
      <c r="K56" s="18"/>
    </row>
    <row r="57" spans="1:11" x14ac:dyDescent="0.2">
      <c r="A57" s="20">
        <v>15</v>
      </c>
      <c r="B57" s="20" t="s">
        <v>128</v>
      </c>
      <c r="C57" s="20">
        <v>9127</v>
      </c>
      <c r="D57" s="21" t="s">
        <v>127</v>
      </c>
      <c r="E57" s="22">
        <v>-12726</v>
      </c>
      <c r="F57" s="22"/>
      <c r="G57" s="22">
        <f t="shared" ref="G57:G114" si="1">+E57+F57</f>
        <v>-12726</v>
      </c>
      <c r="H57" s="23"/>
      <c r="I57" s="23"/>
      <c r="J57" s="21"/>
      <c r="K57" s="18"/>
    </row>
    <row r="58" spans="1:11" x14ac:dyDescent="0.2">
      <c r="A58" s="20">
        <v>7672</v>
      </c>
      <c r="B58" s="20" t="s">
        <v>156</v>
      </c>
      <c r="C58" s="20">
        <v>9095</v>
      </c>
      <c r="D58" s="21" t="s">
        <v>127</v>
      </c>
      <c r="E58" s="22">
        <v>-4012</v>
      </c>
      <c r="F58" s="22"/>
      <c r="G58" s="22">
        <f t="shared" si="0"/>
        <v>-4012</v>
      </c>
      <c r="H58" s="23"/>
      <c r="I58" s="23"/>
      <c r="J58" s="21"/>
      <c r="K58" s="18"/>
    </row>
    <row r="59" spans="1:11" x14ac:dyDescent="0.2">
      <c r="A59" s="20">
        <v>4997</v>
      </c>
      <c r="B59" s="20" t="s">
        <v>132</v>
      </c>
      <c r="C59" s="20">
        <v>9103</v>
      </c>
      <c r="D59" s="21" t="s">
        <v>127</v>
      </c>
      <c r="E59" s="22">
        <v>3875</v>
      </c>
      <c r="F59" s="22">
        <f>-3875-222-204</f>
        <v>-4301</v>
      </c>
      <c r="G59" s="22">
        <f t="shared" si="1"/>
        <v>-426</v>
      </c>
      <c r="H59" s="23"/>
      <c r="I59" s="23"/>
      <c r="J59" s="21"/>
      <c r="K59" s="18"/>
    </row>
    <row r="60" spans="1:11" x14ac:dyDescent="0.2">
      <c r="A60" s="20">
        <v>285</v>
      </c>
      <c r="B60" s="20" t="s">
        <v>130</v>
      </c>
      <c r="C60" s="20">
        <v>9081</v>
      </c>
      <c r="D60" s="21" t="s">
        <v>127</v>
      </c>
      <c r="E60" s="22">
        <v>-120</v>
      </c>
      <c r="F60" s="22"/>
      <c r="G60" s="22">
        <f t="shared" si="0"/>
        <v>-120</v>
      </c>
      <c r="H60" s="23"/>
      <c r="I60" s="23"/>
      <c r="J60" s="21"/>
      <c r="K60" s="18"/>
    </row>
    <row r="61" spans="1:11" x14ac:dyDescent="0.2">
      <c r="A61" s="20">
        <v>8573</v>
      </c>
      <c r="B61" s="20" t="s">
        <v>53</v>
      </c>
      <c r="C61" s="20">
        <v>9161</v>
      </c>
      <c r="D61" s="21" t="s">
        <v>127</v>
      </c>
      <c r="E61" s="22">
        <v>-83</v>
      </c>
      <c r="F61" s="22"/>
      <c r="G61" s="22">
        <f t="shared" si="0"/>
        <v>-83</v>
      </c>
      <c r="H61" s="23"/>
      <c r="I61" s="23"/>
      <c r="J61" s="21"/>
      <c r="K61" s="18"/>
    </row>
    <row r="62" spans="1:11" x14ac:dyDescent="0.2">
      <c r="A62" s="20">
        <v>330</v>
      </c>
      <c r="B62" s="20" t="s">
        <v>120</v>
      </c>
      <c r="C62" s="20">
        <v>9108</v>
      </c>
      <c r="D62" s="21" t="s">
        <v>127</v>
      </c>
      <c r="E62" s="22">
        <v>-22090</v>
      </c>
      <c r="F62" s="22">
        <f>3875+2000+10425+5725</f>
        <v>22025</v>
      </c>
      <c r="G62" s="22">
        <f t="shared" si="0"/>
        <v>-65</v>
      </c>
      <c r="H62" s="23"/>
      <c r="I62" s="23"/>
      <c r="J62" s="21"/>
      <c r="K62" s="18"/>
    </row>
    <row r="63" spans="1:11" x14ac:dyDescent="0.2">
      <c r="A63" s="20">
        <v>11937</v>
      </c>
      <c r="B63" s="20" t="s">
        <v>137</v>
      </c>
      <c r="C63" s="20">
        <v>9105</v>
      </c>
      <c r="D63" s="21" t="s">
        <v>127</v>
      </c>
      <c r="E63" s="22">
        <v>-1</v>
      </c>
      <c r="F63" s="22"/>
      <c r="G63" s="22">
        <f t="shared" si="0"/>
        <v>-1</v>
      </c>
      <c r="H63" s="23"/>
      <c r="I63" s="23"/>
      <c r="J63" s="21"/>
      <c r="K63" s="18"/>
    </row>
    <row r="64" spans="1:11" s="9" customFormat="1" x14ac:dyDescent="0.2">
      <c r="A64" s="24"/>
      <c r="B64" s="24"/>
      <c r="C64" s="24"/>
      <c r="D64" s="25"/>
      <c r="E64" s="26">
        <f>SUM(E57:E63)</f>
        <v>-35157</v>
      </c>
      <c r="F64" s="26">
        <f>SUM(F57:F63)</f>
        <v>17724</v>
      </c>
      <c r="G64" s="26">
        <f>SUM(G57:G63)</f>
        <v>-17433</v>
      </c>
      <c r="H64" s="27">
        <v>4.83</v>
      </c>
      <c r="I64" s="27">
        <f>ROUND(G64*H64,2)</f>
        <v>-84201.39</v>
      </c>
      <c r="J64" s="25"/>
      <c r="K64" s="19"/>
    </row>
    <row r="65" spans="1:11" x14ac:dyDescent="0.2">
      <c r="A65" s="20"/>
      <c r="B65" s="20"/>
      <c r="C65" s="20"/>
      <c r="D65" s="21"/>
      <c r="E65" s="22"/>
      <c r="F65" s="22"/>
      <c r="G65" s="22"/>
      <c r="H65" s="23"/>
      <c r="I65" s="23"/>
      <c r="J65" s="21"/>
      <c r="K65" s="18"/>
    </row>
    <row r="66" spans="1:11" x14ac:dyDescent="0.2">
      <c r="A66" s="20"/>
      <c r="B66" s="20"/>
      <c r="C66" s="20"/>
      <c r="D66" s="21"/>
      <c r="E66" s="22"/>
      <c r="F66" s="22"/>
      <c r="G66" s="22"/>
      <c r="H66" s="23"/>
      <c r="I66" s="23"/>
      <c r="J66" s="21"/>
      <c r="K66" s="18"/>
    </row>
    <row r="67" spans="1:11" x14ac:dyDescent="0.2">
      <c r="A67">
        <v>12673</v>
      </c>
      <c r="B67" t="s">
        <v>134</v>
      </c>
      <c r="C67">
        <v>9078</v>
      </c>
      <c r="D67" s="21" t="s">
        <v>127</v>
      </c>
      <c r="E67" s="22">
        <v>-1285</v>
      </c>
      <c r="F67" s="22">
        <v>1285</v>
      </c>
      <c r="G67" s="22">
        <f>+E67+F67</f>
        <v>0</v>
      </c>
      <c r="H67" s="23"/>
      <c r="I67" s="23"/>
      <c r="J67" s="21"/>
      <c r="K67" s="18"/>
    </row>
    <row r="68" spans="1:11" x14ac:dyDescent="0.2">
      <c r="A68" s="20">
        <v>4094</v>
      </c>
      <c r="B68" s="20" t="s">
        <v>136</v>
      </c>
      <c r="C68" s="20">
        <v>9094</v>
      </c>
      <c r="D68" s="21" t="s">
        <v>127</v>
      </c>
      <c r="E68" s="22">
        <v>12</v>
      </c>
      <c r="F68" s="22">
        <v>-12</v>
      </c>
      <c r="G68" s="22">
        <f t="shared" si="0"/>
        <v>0</v>
      </c>
      <c r="H68" s="23"/>
      <c r="I68" s="23"/>
      <c r="J68" s="21"/>
      <c r="K68" s="18"/>
    </row>
    <row r="69" spans="1:11" x14ac:dyDescent="0.2">
      <c r="A69" s="20">
        <v>11687</v>
      </c>
      <c r="B69" s="20" t="s">
        <v>106</v>
      </c>
      <c r="C69" s="20">
        <v>9100</v>
      </c>
      <c r="D69" s="21" t="s">
        <v>127</v>
      </c>
      <c r="E69" s="22">
        <v>-10062</v>
      </c>
      <c r="F69" s="22">
        <v>10062</v>
      </c>
      <c r="G69" s="22">
        <f t="shared" si="0"/>
        <v>0</v>
      </c>
      <c r="H69" s="23"/>
      <c r="I69" s="23"/>
      <c r="J69" s="21"/>
      <c r="K69" s="18"/>
    </row>
    <row r="70" spans="1:11" x14ac:dyDescent="0.2">
      <c r="A70" s="20">
        <v>655</v>
      </c>
      <c r="B70" s="20" t="s">
        <v>90</v>
      </c>
      <c r="C70" s="20">
        <v>9119</v>
      </c>
      <c r="D70" s="21" t="s">
        <v>127</v>
      </c>
      <c r="E70" s="22">
        <v>14801</v>
      </c>
      <c r="F70" s="22">
        <f>-10425-4376</f>
        <v>-14801</v>
      </c>
      <c r="G70" s="22">
        <f t="shared" si="0"/>
        <v>0</v>
      </c>
      <c r="H70" s="23"/>
      <c r="I70" s="23"/>
      <c r="J70" s="21"/>
      <c r="K70" s="18"/>
    </row>
    <row r="71" spans="1:11" x14ac:dyDescent="0.2">
      <c r="A71" s="20">
        <v>4100</v>
      </c>
      <c r="B71" s="20" t="s">
        <v>161</v>
      </c>
      <c r="C71" s="20">
        <v>9133</v>
      </c>
      <c r="D71" s="21" t="s">
        <v>127</v>
      </c>
      <c r="E71" s="22">
        <v>3</v>
      </c>
      <c r="F71" s="22">
        <v>-3</v>
      </c>
      <c r="G71" s="22">
        <f t="shared" si="0"/>
        <v>0</v>
      </c>
      <c r="H71" s="23"/>
      <c r="I71" s="23"/>
      <c r="J71" s="21"/>
      <c r="K71" s="18"/>
    </row>
    <row r="72" spans="1:11" x14ac:dyDescent="0.2">
      <c r="A72" s="20">
        <v>4103</v>
      </c>
      <c r="B72" s="20" t="s">
        <v>138</v>
      </c>
      <c r="C72" s="20">
        <v>9135</v>
      </c>
      <c r="D72" s="21" t="s">
        <v>127</v>
      </c>
      <c r="E72" s="22">
        <v>22</v>
      </c>
      <c r="F72" s="22">
        <v>-22</v>
      </c>
      <c r="G72" s="22">
        <f t="shared" si="1"/>
        <v>0</v>
      </c>
      <c r="H72" s="23"/>
      <c r="I72" s="23"/>
      <c r="J72" s="21"/>
      <c r="K72" s="18"/>
    </row>
    <row r="73" spans="1:11" x14ac:dyDescent="0.2">
      <c r="A73" s="20">
        <v>4106</v>
      </c>
      <c r="B73" s="20" t="s">
        <v>162</v>
      </c>
      <c r="C73" s="20">
        <v>9136</v>
      </c>
      <c r="D73" s="21" t="s">
        <v>127</v>
      </c>
      <c r="E73" s="22">
        <v>1</v>
      </c>
      <c r="F73" s="22">
        <v>-1</v>
      </c>
      <c r="G73" s="22">
        <f t="shared" si="1"/>
        <v>0</v>
      </c>
      <c r="H73" s="23"/>
      <c r="I73" s="23"/>
      <c r="J73" s="21"/>
      <c r="K73" s="18"/>
    </row>
    <row r="74" spans="1:11" x14ac:dyDescent="0.2">
      <c r="A74" s="20">
        <v>11420</v>
      </c>
      <c r="B74" s="20" t="s">
        <v>97</v>
      </c>
      <c r="C74" s="20">
        <v>9139</v>
      </c>
      <c r="D74" s="21" t="s">
        <v>127</v>
      </c>
      <c r="E74" s="22">
        <v>5725</v>
      </c>
      <c r="F74" s="22">
        <v>-5725</v>
      </c>
      <c r="G74" s="22">
        <f t="shared" si="1"/>
        <v>0</v>
      </c>
      <c r="H74" s="23"/>
      <c r="I74" s="23"/>
      <c r="J74" s="21"/>
      <c r="K74" s="18"/>
    </row>
    <row r="75" spans="1:11" x14ac:dyDescent="0.2">
      <c r="A75" s="20">
        <v>11145</v>
      </c>
      <c r="B75" s="20" t="s">
        <v>153</v>
      </c>
      <c r="C75" s="20">
        <v>9142</v>
      </c>
      <c r="D75" s="21" t="s">
        <v>127</v>
      </c>
      <c r="E75" s="22">
        <v>-904</v>
      </c>
      <c r="F75" s="22">
        <v>904</v>
      </c>
      <c r="G75" s="22">
        <f t="shared" si="1"/>
        <v>0</v>
      </c>
      <c r="H75" s="23"/>
      <c r="I75" s="23"/>
      <c r="J75" s="21"/>
      <c r="K75" s="18"/>
    </row>
    <row r="76" spans="1:11" x14ac:dyDescent="0.2">
      <c r="A76" s="20">
        <v>11143</v>
      </c>
      <c r="B76" s="20" t="s">
        <v>139</v>
      </c>
      <c r="C76" s="20">
        <v>9143</v>
      </c>
      <c r="D76" s="21" t="s">
        <v>127</v>
      </c>
      <c r="E76" s="22">
        <v>252</v>
      </c>
      <c r="F76" s="22">
        <v>-252</v>
      </c>
      <c r="G76" s="22">
        <f t="shared" si="1"/>
        <v>0</v>
      </c>
      <c r="H76" s="23"/>
      <c r="I76" s="23"/>
      <c r="J76" s="21"/>
      <c r="K76" s="18"/>
    </row>
    <row r="77" spans="1:11" x14ac:dyDescent="0.2">
      <c r="A77" s="20">
        <v>4118</v>
      </c>
      <c r="B77" s="20" t="s">
        <v>99</v>
      </c>
      <c r="C77" s="20">
        <v>9145</v>
      </c>
      <c r="D77" s="21" t="s">
        <v>127</v>
      </c>
      <c r="E77" s="22">
        <v>4</v>
      </c>
      <c r="F77" s="22">
        <v>-4</v>
      </c>
      <c r="G77" s="22">
        <f t="shared" si="1"/>
        <v>0</v>
      </c>
      <c r="H77" s="23"/>
      <c r="I77" s="23"/>
      <c r="J77" s="21"/>
      <c r="K77" s="18"/>
    </row>
    <row r="78" spans="1:11" x14ac:dyDescent="0.2">
      <c r="A78" s="20">
        <v>11128</v>
      </c>
      <c r="B78" s="20" t="s">
        <v>140</v>
      </c>
      <c r="C78" s="20">
        <v>9152</v>
      </c>
      <c r="D78" s="21" t="s">
        <v>127</v>
      </c>
      <c r="E78" s="22">
        <v>-204</v>
      </c>
      <c r="F78" s="22">
        <v>204</v>
      </c>
      <c r="G78" s="22">
        <f t="shared" si="1"/>
        <v>0</v>
      </c>
      <c r="H78" s="23"/>
      <c r="I78" s="23"/>
      <c r="J78" s="21"/>
      <c r="K78" s="18"/>
    </row>
    <row r="79" spans="1:11" x14ac:dyDescent="0.2">
      <c r="A79" s="20">
        <v>7812</v>
      </c>
      <c r="B79" s="20" t="s">
        <v>66</v>
      </c>
      <c r="C79" s="20">
        <v>9168</v>
      </c>
      <c r="D79" s="21" t="s">
        <v>127</v>
      </c>
      <c r="E79" s="22">
        <v>1</v>
      </c>
      <c r="F79" s="22">
        <f>1509+12+3+22+1-1547</f>
        <v>0</v>
      </c>
      <c r="G79" s="22">
        <f>+E79+F79</f>
        <v>1</v>
      </c>
      <c r="H79" s="23"/>
      <c r="I79" s="23"/>
      <c r="J79" s="21"/>
      <c r="K79" s="18"/>
    </row>
    <row r="80" spans="1:11" x14ac:dyDescent="0.2">
      <c r="A80" s="20">
        <v>11611</v>
      </c>
      <c r="B80" s="20" t="s">
        <v>147</v>
      </c>
      <c r="C80" s="20">
        <v>9099</v>
      </c>
      <c r="D80" s="21" t="s">
        <v>127</v>
      </c>
      <c r="E80" s="22">
        <v>2</v>
      </c>
      <c r="F80" s="22"/>
      <c r="G80" s="22">
        <f t="shared" si="1"/>
        <v>2</v>
      </c>
      <c r="H80" s="23"/>
      <c r="I80" s="23"/>
      <c r="J80" s="21"/>
      <c r="K80" s="18"/>
    </row>
    <row r="81" spans="1:11" x14ac:dyDescent="0.2">
      <c r="A81" s="20">
        <v>4122</v>
      </c>
      <c r="B81" s="20" t="s">
        <v>143</v>
      </c>
      <c r="C81" s="20">
        <v>9085</v>
      </c>
      <c r="D81" s="21" t="s">
        <v>127</v>
      </c>
      <c r="E81" s="22">
        <v>3</v>
      </c>
      <c r="F81" s="22"/>
      <c r="G81" s="22">
        <f t="shared" si="1"/>
        <v>3</v>
      </c>
      <c r="H81" s="23"/>
      <c r="I81" s="23"/>
      <c r="J81" s="21"/>
      <c r="K81" s="18"/>
    </row>
    <row r="82" spans="1:11" x14ac:dyDescent="0.2">
      <c r="A82" s="20">
        <v>11641</v>
      </c>
      <c r="B82" s="20" t="s">
        <v>133</v>
      </c>
      <c r="C82" s="20">
        <v>9090</v>
      </c>
      <c r="D82" s="21" t="s">
        <v>127</v>
      </c>
      <c r="E82" s="22">
        <v>-1749</v>
      </c>
      <c r="F82" s="22">
        <f>5+1749</f>
        <v>1754</v>
      </c>
      <c r="G82" s="22">
        <f t="shared" si="0"/>
        <v>5</v>
      </c>
      <c r="H82" s="23"/>
      <c r="I82" s="23"/>
      <c r="J82" s="21"/>
      <c r="K82" s="18"/>
    </row>
    <row r="83" spans="1:11" x14ac:dyDescent="0.2">
      <c r="A83" s="20">
        <v>4175</v>
      </c>
      <c r="B83" s="20" t="s">
        <v>104</v>
      </c>
      <c r="C83" s="20">
        <v>9087</v>
      </c>
      <c r="D83" s="21" t="s">
        <v>127</v>
      </c>
      <c r="E83" s="22">
        <v>10</v>
      </c>
      <c r="F83" s="22"/>
      <c r="G83" s="22">
        <f t="shared" si="1"/>
        <v>10</v>
      </c>
      <c r="H83" s="23"/>
      <c r="I83" s="23"/>
      <c r="J83" s="21"/>
      <c r="K83" s="18"/>
    </row>
    <row r="84" spans="1:11" x14ac:dyDescent="0.2">
      <c r="A84" s="20">
        <v>6268</v>
      </c>
      <c r="B84" s="20" t="s">
        <v>96</v>
      </c>
      <c r="C84" s="20">
        <v>9115</v>
      </c>
      <c r="D84" s="21" t="s">
        <v>127</v>
      </c>
      <c r="E84" s="22">
        <v>-1522</v>
      </c>
      <c r="F84" s="22">
        <f>-5+1547</f>
        <v>1542</v>
      </c>
      <c r="G84" s="22">
        <f t="shared" si="1"/>
        <v>20</v>
      </c>
      <c r="H84" s="23"/>
      <c r="I84" s="23"/>
      <c r="J84" s="21"/>
      <c r="K84" s="18"/>
    </row>
    <row r="85" spans="1:11" x14ac:dyDescent="0.2">
      <c r="A85" s="20">
        <v>4084</v>
      </c>
      <c r="B85" s="20" t="s">
        <v>108</v>
      </c>
      <c r="C85" s="20">
        <v>9123</v>
      </c>
      <c r="D85" s="21" t="s">
        <v>127</v>
      </c>
      <c r="E85" s="22">
        <v>30</v>
      </c>
      <c r="F85" s="22">
        <v>-10</v>
      </c>
      <c r="G85" s="22">
        <f t="shared" si="1"/>
        <v>20</v>
      </c>
      <c r="H85" s="23"/>
      <c r="I85" s="23"/>
      <c r="J85" s="21"/>
      <c r="K85" s="18"/>
    </row>
    <row r="86" spans="1:11" x14ac:dyDescent="0.2">
      <c r="A86" s="20">
        <v>8700</v>
      </c>
      <c r="B86" s="20" t="s">
        <v>146</v>
      </c>
      <c r="C86" s="20">
        <v>9167</v>
      </c>
      <c r="D86" s="21" t="s">
        <v>127</v>
      </c>
      <c r="E86" s="22">
        <v>24</v>
      </c>
      <c r="F86" s="22"/>
      <c r="G86" s="22">
        <f t="shared" si="1"/>
        <v>24</v>
      </c>
      <c r="H86" s="23"/>
      <c r="I86" s="23"/>
      <c r="J86" s="21"/>
      <c r="K86" s="18"/>
    </row>
    <row r="87" spans="1:11" x14ac:dyDescent="0.2">
      <c r="A87" s="20">
        <v>5736</v>
      </c>
      <c r="B87" s="20" t="s">
        <v>123</v>
      </c>
      <c r="C87" s="20">
        <v>9121</v>
      </c>
      <c r="D87" s="21" t="s">
        <v>127</v>
      </c>
      <c r="E87" s="22">
        <v>30</v>
      </c>
      <c r="F87" s="22"/>
      <c r="G87" s="22">
        <f t="shared" si="1"/>
        <v>30</v>
      </c>
      <c r="H87" s="23"/>
      <c r="I87" s="23"/>
      <c r="J87" s="21"/>
      <c r="K87" s="18"/>
    </row>
    <row r="88" spans="1:11" x14ac:dyDescent="0.2">
      <c r="A88" s="20">
        <v>12907</v>
      </c>
      <c r="B88" s="20" t="s">
        <v>107</v>
      </c>
      <c r="C88" s="20">
        <v>9106</v>
      </c>
      <c r="D88" s="21" t="s">
        <v>127</v>
      </c>
      <c r="E88" s="22">
        <v>11706</v>
      </c>
      <c r="F88" s="22">
        <f>-10062-2000-53+474+4</f>
        <v>-11637</v>
      </c>
      <c r="G88" s="22">
        <f t="shared" si="1"/>
        <v>69</v>
      </c>
      <c r="H88" s="23"/>
      <c r="I88" s="23"/>
      <c r="J88" s="21"/>
      <c r="K88" s="18"/>
    </row>
    <row r="89" spans="1:11" x14ac:dyDescent="0.2">
      <c r="A89" s="20">
        <v>7834</v>
      </c>
      <c r="B89" s="20" t="s">
        <v>160</v>
      </c>
      <c r="C89" s="20">
        <v>9084</v>
      </c>
      <c r="D89" s="21" t="s">
        <v>127</v>
      </c>
      <c r="E89" s="22">
        <v>156</v>
      </c>
      <c r="F89" s="22">
        <v>10</v>
      </c>
      <c r="G89" s="22">
        <f t="shared" si="1"/>
        <v>166</v>
      </c>
      <c r="H89" s="23"/>
      <c r="I89" s="23"/>
      <c r="J89" s="21"/>
      <c r="K89" s="18"/>
    </row>
    <row r="90" spans="1:11" x14ac:dyDescent="0.2">
      <c r="A90" s="20">
        <v>3975</v>
      </c>
      <c r="B90" s="20" t="s">
        <v>148</v>
      </c>
      <c r="C90" s="20">
        <v>9097</v>
      </c>
      <c r="D90" s="21" t="s">
        <v>127</v>
      </c>
      <c r="E90" s="22">
        <v>1046</v>
      </c>
      <c r="F90" s="22"/>
      <c r="G90" s="22">
        <f t="shared" si="1"/>
        <v>1046</v>
      </c>
      <c r="H90" s="23"/>
      <c r="I90" s="23"/>
      <c r="J90" s="21"/>
      <c r="K90" s="18"/>
    </row>
    <row r="91" spans="1:11" x14ac:dyDescent="0.2">
      <c r="A91" s="20">
        <v>11364</v>
      </c>
      <c r="B91" s="20" t="s">
        <v>135</v>
      </c>
      <c r="C91" s="20">
        <v>9083</v>
      </c>
      <c r="D91" s="21" t="s">
        <v>127</v>
      </c>
      <c r="E91" s="22">
        <v>1125</v>
      </c>
      <c r="F91" s="22"/>
      <c r="G91" s="22">
        <f t="shared" si="1"/>
        <v>1125</v>
      </c>
      <c r="H91" s="23"/>
      <c r="I91" s="23"/>
      <c r="J91" s="21"/>
      <c r="K91" s="18"/>
    </row>
    <row r="92" spans="1:11" x14ac:dyDescent="0.2">
      <c r="A92" s="20">
        <v>6321</v>
      </c>
      <c r="B92" s="20" t="s">
        <v>113</v>
      </c>
      <c r="C92" s="20">
        <v>9154</v>
      </c>
      <c r="D92" s="21" t="s">
        <v>127</v>
      </c>
      <c r="E92" s="22">
        <v>1581</v>
      </c>
      <c r="F92" s="22"/>
      <c r="G92" s="22">
        <f t="shared" si="1"/>
        <v>1581</v>
      </c>
      <c r="H92" s="23"/>
      <c r="I92" s="23"/>
      <c r="J92" s="21"/>
      <c r="K92" s="18"/>
    </row>
    <row r="93" spans="1:11" x14ac:dyDescent="0.2">
      <c r="A93" s="20">
        <v>1455</v>
      </c>
      <c r="B93" s="20" t="s">
        <v>129</v>
      </c>
      <c r="C93" s="20">
        <v>9092</v>
      </c>
      <c r="D93" s="21" t="s">
        <v>127</v>
      </c>
      <c r="E93" s="22">
        <v>5163</v>
      </c>
      <c r="F93" s="22">
        <v>53</v>
      </c>
      <c r="G93" s="22">
        <f t="shared" si="1"/>
        <v>5216</v>
      </c>
      <c r="H93" s="23"/>
      <c r="I93" s="23"/>
      <c r="J93" s="21"/>
      <c r="K93" s="18"/>
    </row>
    <row r="94" spans="1:11" x14ac:dyDescent="0.2">
      <c r="A94" s="20">
        <v>4120</v>
      </c>
      <c r="B94" s="20" t="s">
        <v>94</v>
      </c>
      <c r="C94" s="20">
        <v>9149</v>
      </c>
      <c r="D94" s="21" t="s">
        <v>127</v>
      </c>
      <c r="E94" s="22">
        <v>6365</v>
      </c>
      <c r="F94" s="22"/>
      <c r="G94" s="22">
        <f t="shared" si="1"/>
        <v>6365</v>
      </c>
      <c r="H94" s="23"/>
      <c r="I94" s="23"/>
      <c r="J94" s="21"/>
      <c r="K94" s="18"/>
    </row>
    <row r="95" spans="1:11" x14ac:dyDescent="0.2">
      <c r="A95" s="20">
        <v>11893</v>
      </c>
      <c r="B95" s="20" t="s">
        <v>131</v>
      </c>
      <c r="C95" s="20">
        <v>9166</v>
      </c>
      <c r="D95" s="21" t="s">
        <v>127</v>
      </c>
      <c r="E95" s="22">
        <v>10034</v>
      </c>
      <c r="F95" s="22">
        <f>-1285-1749</f>
        <v>-3034</v>
      </c>
      <c r="G95" s="22">
        <f t="shared" si="1"/>
        <v>7000</v>
      </c>
      <c r="H95" s="23"/>
      <c r="I95" s="23"/>
      <c r="J95" s="21"/>
      <c r="K95" s="18"/>
    </row>
    <row r="96" spans="1:11" x14ac:dyDescent="0.2">
      <c r="A96" s="20">
        <v>11509</v>
      </c>
      <c r="B96" s="20" t="s">
        <v>126</v>
      </c>
      <c r="C96" s="20">
        <v>9138</v>
      </c>
      <c r="D96" s="21" t="s">
        <v>127</v>
      </c>
      <c r="E96" s="22">
        <v>7055</v>
      </c>
      <c r="F96" s="22"/>
      <c r="G96" s="22">
        <f t="shared" si="1"/>
        <v>7055</v>
      </c>
      <c r="H96" s="23"/>
      <c r="I96" s="23"/>
      <c r="J96" s="21"/>
      <c r="K96" s="18"/>
    </row>
    <row r="97" spans="1:11" x14ac:dyDescent="0.2">
      <c r="A97" s="20">
        <v>4105</v>
      </c>
      <c r="B97" s="20" t="s">
        <v>163</v>
      </c>
      <c r="C97" s="20">
        <v>9141</v>
      </c>
      <c r="D97" s="21" t="s">
        <v>127</v>
      </c>
      <c r="E97" s="22">
        <v>9538</v>
      </c>
      <c r="F97" s="22"/>
      <c r="G97" s="22">
        <f t="shared" si="1"/>
        <v>9538</v>
      </c>
      <c r="H97" s="23"/>
      <c r="I97" s="23"/>
      <c r="J97" s="21"/>
      <c r="K97" s="18"/>
    </row>
    <row r="98" spans="1:11" x14ac:dyDescent="0.2">
      <c r="A98" s="20">
        <v>11793</v>
      </c>
      <c r="B98" s="20" t="s">
        <v>93</v>
      </c>
      <c r="C98" s="20">
        <v>9128</v>
      </c>
      <c r="D98" s="21" t="s">
        <v>127</v>
      </c>
      <c r="E98" s="22">
        <v>44772</v>
      </c>
      <c r="F98" s="22">
        <f>-1509-772-3207-904</f>
        <v>-6392</v>
      </c>
      <c r="G98" s="22">
        <f t="shared" si="1"/>
        <v>38380</v>
      </c>
      <c r="H98" s="23"/>
      <c r="I98" s="23"/>
      <c r="J98" s="21"/>
      <c r="K98" s="18"/>
    </row>
    <row r="99" spans="1:11" s="9" customFormat="1" x14ac:dyDescent="0.2">
      <c r="A99" s="24"/>
      <c r="B99" s="24"/>
      <c r="C99" s="24"/>
      <c r="D99" s="25"/>
      <c r="E99" s="26">
        <f>SUM(E67:E98)</f>
        <v>103735</v>
      </c>
      <c r="F99" s="26">
        <f>SUM(F67:F98)</f>
        <v>-26079</v>
      </c>
      <c r="G99" s="26">
        <f>SUM(G67:G98)</f>
        <v>77656</v>
      </c>
      <c r="H99" s="27">
        <v>5.2</v>
      </c>
      <c r="I99" s="27">
        <f>ROUND(G99*H99,2)</f>
        <v>403811.2</v>
      </c>
      <c r="J99" s="25"/>
      <c r="K99" s="19"/>
    </row>
    <row r="100" spans="1:11" s="9" customFormat="1" x14ac:dyDescent="0.2">
      <c r="E100" s="10"/>
      <c r="F100" s="10"/>
      <c r="G100" s="10"/>
      <c r="H100" s="14"/>
      <c r="I100" s="14"/>
    </row>
    <row r="103" spans="1:11" x14ac:dyDescent="0.2">
      <c r="A103" s="20">
        <v>8573</v>
      </c>
      <c r="B103" s="20" t="s">
        <v>53</v>
      </c>
      <c r="C103" s="20">
        <v>9162</v>
      </c>
      <c r="D103" s="21" t="s">
        <v>154</v>
      </c>
      <c r="E103" s="22">
        <v>-4298</v>
      </c>
      <c r="F103" s="22"/>
      <c r="G103" s="22">
        <f t="shared" si="1"/>
        <v>-4298</v>
      </c>
      <c r="H103" s="23"/>
      <c r="I103" s="23"/>
      <c r="J103" s="21"/>
      <c r="K103" s="18"/>
    </row>
    <row r="104" spans="1:11" x14ac:dyDescent="0.2">
      <c r="A104" s="20">
        <v>3975</v>
      </c>
      <c r="B104" s="20" t="s">
        <v>148</v>
      </c>
      <c r="C104" s="20">
        <v>9098</v>
      </c>
      <c r="D104" s="21" t="s">
        <v>154</v>
      </c>
      <c r="E104" s="22">
        <v>-463</v>
      </c>
      <c r="F104" s="22"/>
      <c r="G104" s="22">
        <f t="shared" si="1"/>
        <v>-463</v>
      </c>
      <c r="H104" s="23"/>
      <c r="I104" s="23"/>
      <c r="J104" s="21"/>
      <c r="K104" s="18"/>
    </row>
    <row r="105" spans="1:11" x14ac:dyDescent="0.2">
      <c r="A105" s="20">
        <v>4997</v>
      </c>
      <c r="B105" s="20" t="s">
        <v>132</v>
      </c>
      <c r="C105" s="20">
        <v>9104</v>
      </c>
      <c r="D105" s="21" t="s">
        <v>154</v>
      </c>
      <c r="E105" s="22">
        <v>-121</v>
      </c>
      <c r="F105" s="22"/>
      <c r="G105" s="22">
        <f t="shared" si="1"/>
        <v>-121</v>
      </c>
      <c r="H105" s="23"/>
      <c r="I105" s="23"/>
      <c r="J105" s="21"/>
      <c r="K105" s="18"/>
    </row>
    <row r="106" spans="1:11" x14ac:dyDescent="0.2">
      <c r="A106" s="20">
        <v>330</v>
      </c>
      <c r="B106" s="20" t="s">
        <v>120</v>
      </c>
      <c r="C106" s="20">
        <v>9109</v>
      </c>
      <c r="D106" s="21" t="s">
        <v>154</v>
      </c>
      <c r="E106" s="22">
        <v>-68</v>
      </c>
      <c r="F106" s="22"/>
      <c r="G106" s="22">
        <f t="shared" si="1"/>
        <v>-68</v>
      </c>
      <c r="H106" s="23"/>
      <c r="I106" s="23"/>
      <c r="J106" s="21"/>
      <c r="K106" s="18"/>
    </row>
    <row r="107" spans="1:11" s="9" customFormat="1" x14ac:dyDescent="0.2">
      <c r="A107" s="24"/>
      <c r="B107" s="24"/>
      <c r="C107" s="24"/>
      <c r="D107" s="25"/>
      <c r="E107" s="26">
        <f>SUM(E103:E106)</f>
        <v>-4950</v>
      </c>
      <c r="F107" s="26">
        <f>SUM(F103:F106)</f>
        <v>0</v>
      </c>
      <c r="G107" s="26">
        <f>SUM(G103:G106)</f>
        <v>-4950</v>
      </c>
      <c r="H107" s="27">
        <v>4.83</v>
      </c>
      <c r="I107" s="27">
        <f>ROUND(G107*H107,2)</f>
        <v>-23908.5</v>
      </c>
      <c r="J107" s="25"/>
      <c r="K107" s="19"/>
    </row>
    <row r="108" spans="1:11" x14ac:dyDescent="0.2">
      <c r="A108" s="20"/>
      <c r="B108" s="20"/>
      <c r="C108" s="20"/>
      <c r="D108" s="21"/>
      <c r="E108" s="22"/>
      <c r="F108" s="22"/>
      <c r="G108" s="22"/>
      <c r="H108" s="23"/>
      <c r="I108" s="23"/>
      <c r="J108" s="21"/>
      <c r="K108" s="18"/>
    </row>
    <row r="109" spans="1:11" x14ac:dyDescent="0.2">
      <c r="A109" s="20"/>
      <c r="B109" s="20"/>
      <c r="C109" s="20"/>
      <c r="D109" s="21"/>
      <c r="E109" s="22"/>
      <c r="F109" s="22"/>
      <c r="G109" s="22"/>
      <c r="H109" s="23"/>
      <c r="I109" s="23"/>
      <c r="J109" s="21"/>
      <c r="K109" s="18"/>
    </row>
    <row r="110" spans="1:11" x14ac:dyDescent="0.2">
      <c r="A110" s="20">
        <v>11641</v>
      </c>
      <c r="B110" s="20" t="s">
        <v>133</v>
      </c>
      <c r="C110" s="20">
        <v>9091</v>
      </c>
      <c r="D110" s="21" t="s">
        <v>154</v>
      </c>
      <c r="E110" s="22">
        <v>1110</v>
      </c>
      <c r="F110" s="22"/>
      <c r="G110" s="22">
        <f t="shared" si="1"/>
        <v>1110</v>
      </c>
      <c r="H110" s="23"/>
      <c r="I110" s="23"/>
      <c r="J110" s="21"/>
      <c r="K110" s="18"/>
    </row>
    <row r="111" spans="1:11" x14ac:dyDescent="0.2">
      <c r="A111">
        <v>11905</v>
      </c>
      <c r="B111" t="s">
        <v>141</v>
      </c>
      <c r="C111">
        <v>9079</v>
      </c>
      <c r="D111" s="21" t="s">
        <v>154</v>
      </c>
      <c r="E111" s="22">
        <v>1144</v>
      </c>
      <c r="F111" s="22"/>
      <c r="G111" s="22">
        <f t="shared" si="1"/>
        <v>1144</v>
      </c>
      <c r="H111" s="23"/>
      <c r="I111" s="23"/>
      <c r="J111" s="21"/>
      <c r="K111" s="18"/>
    </row>
    <row r="112" spans="1:11" x14ac:dyDescent="0.2">
      <c r="A112" s="20">
        <v>6321</v>
      </c>
      <c r="B112" s="20" t="s">
        <v>113</v>
      </c>
      <c r="C112" s="20">
        <v>9155</v>
      </c>
      <c r="D112" s="21" t="s">
        <v>154</v>
      </c>
      <c r="E112" s="22">
        <v>10219</v>
      </c>
      <c r="F112" s="22"/>
      <c r="G112" s="22">
        <f t="shared" si="1"/>
        <v>10219</v>
      </c>
      <c r="H112" s="23"/>
      <c r="I112" s="23"/>
      <c r="J112" s="21"/>
      <c r="K112" s="18"/>
    </row>
    <row r="113" spans="1:11" x14ac:dyDescent="0.2">
      <c r="A113" s="20">
        <v>11687</v>
      </c>
      <c r="B113" s="20" t="s">
        <v>106</v>
      </c>
      <c r="C113" s="20">
        <v>9101</v>
      </c>
      <c r="D113" s="21" t="s">
        <v>154</v>
      </c>
      <c r="E113" s="22">
        <v>18390</v>
      </c>
      <c r="F113" s="22"/>
      <c r="G113" s="22">
        <f t="shared" si="1"/>
        <v>18390</v>
      </c>
      <c r="H113" s="23"/>
      <c r="I113" s="23"/>
      <c r="J113" s="21"/>
      <c r="K113" s="18"/>
    </row>
    <row r="114" spans="1:11" x14ac:dyDescent="0.2">
      <c r="A114" s="20">
        <v>7672</v>
      </c>
      <c r="B114" s="20" t="s">
        <v>156</v>
      </c>
      <c r="C114" s="20">
        <v>9096</v>
      </c>
      <c r="D114" s="21" t="s">
        <v>154</v>
      </c>
      <c r="E114" s="22">
        <v>21787</v>
      </c>
      <c r="F114" s="22"/>
      <c r="G114" s="22">
        <f t="shared" si="1"/>
        <v>21787</v>
      </c>
      <c r="H114" s="23"/>
      <c r="I114" s="23"/>
      <c r="J114" s="28"/>
      <c r="K114" s="18"/>
    </row>
    <row r="115" spans="1:11" s="9" customFormat="1" x14ac:dyDescent="0.2">
      <c r="A115" s="24"/>
      <c r="B115" s="24"/>
      <c r="C115" s="24"/>
      <c r="D115" s="48"/>
      <c r="E115" s="45">
        <f>SUM(E110:E114)</f>
        <v>52650</v>
      </c>
      <c r="F115" s="45">
        <f>SUM(F110:F114)</f>
        <v>0</v>
      </c>
      <c r="G115" s="45">
        <f>SUM(G110:G114)</f>
        <v>52650</v>
      </c>
      <c r="H115" s="27">
        <v>5.2</v>
      </c>
      <c r="I115" s="27">
        <f>ROUND(G115*H115,2)</f>
        <v>273780</v>
      </c>
    </row>
    <row r="119" spans="1:11" s="9" customFormat="1" x14ac:dyDescent="0.2">
      <c r="B119" s="9" t="s">
        <v>216</v>
      </c>
      <c r="E119" s="10">
        <f>+E115+E107+E99+E64+E49+E18</f>
        <v>-74695</v>
      </c>
      <c r="F119" s="10">
        <f>+F115+F107+F99+F64+F49+F18</f>
        <v>0</v>
      </c>
      <c r="G119" s="10">
        <f>+G115+G107+G99+G64+G49+G18</f>
        <v>-74695</v>
      </c>
      <c r="H119" s="14"/>
      <c r="I119" s="14">
        <f>+I115+I107+I99+I64+I49+I18</f>
        <v>-308493.26000000013</v>
      </c>
    </row>
    <row r="122" spans="1:11" x14ac:dyDescent="0.2">
      <c r="B122" t="s">
        <v>225</v>
      </c>
      <c r="G122" s="6">
        <f>+G107+G64+G18</f>
        <v>-216002</v>
      </c>
      <c r="I122" s="13">
        <f>+I107+I64+I18</f>
        <v>-1043289.66</v>
      </c>
    </row>
    <row r="124" spans="1:11" x14ac:dyDescent="0.2">
      <c r="B124" t="s">
        <v>226</v>
      </c>
      <c r="G124" s="6">
        <f>+G115+G99+G49</f>
        <v>141307</v>
      </c>
      <c r="I124" s="13">
        <f>+I115+I99+I49</f>
        <v>734796.39999999991</v>
      </c>
    </row>
    <row r="126" spans="1:11" x14ac:dyDescent="0.2">
      <c r="B126" t="s">
        <v>227</v>
      </c>
      <c r="G126" s="6">
        <f>SUM(G122:G125)</f>
        <v>-74695</v>
      </c>
      <c r="I126" s="13">
        <f>SUM(I122:I125)</f>
        <v>-308493.26000000013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selection activeCell="B1" sqref="B1"/>
    </sheetView>
  </sheetViews>
  <sheetFormatPr defaultRowHeight="12.75" x14ac:dyDescent="0.2"/>
  <cols>
    <col min="1" max="1" width="6.85546875" bestFit="1" customWidth="1"/>
    <col min="2" max="2" width="36.42578125" bestFit="1" customWidth="1"/>
    <col min="3" max="3" width="8.28515625" customWidth="1"/>
    <col min="4" max="4" width="21" bestFit="1" customWidth="1"/>
    <col min="5" max="5" width="10.7109375" style="6" customWidth="1"/>
    <col min="6" max="6" width="8.85546875" style="6" customWidth="1"/>
    <col min="7" max="7" width="10.28515625" style="6" customWidth="1"/>
    <col min="8" max="8" width="6.140625" style="13" bestFit="1" customWidth="1"/>
    <col min="9" max="9" width="14" style="13" bestFit="1" customWidth="1"/>
    <col min="10" max="10" width="33.42578125" bestFit="1" customWidth="1"/>
  </cols>
  <sheetData>
    <row r="1" spans="1:11" s="9" customFormat="1" x14ac:dyDescent="0.2">
      <c r="A1" s="9" t="s">
        <v>73</v>
      </c>
      <c r="E1" s="10"/>
      <c r="F1" s="10"/>
      <c r="G1" s="10"/>
      <c r="H1" s="14"/>
      <c r="I1" s="14"/>
    </row>
    <row r="2" spans="1:11" s="9" customFormat="1" x14ac:dyDescent="0.2">
      <c r="A2" s="15">
        <v>36861</v>
      </c>
      <c r="E2" s="10"/>
      <c r="F2" s="10"/>
      <c r="G2" s="10"/>
      <c r="H2" s="14"/>
      <c r="I2" s="14"/>
    </row>
    <row r="3" spans="1:11" s="9" customFormat="1" x14ac:dyDescent="0.2">
      <c r="E3" s="10"/>
      <c r="F3" s="10"/>
      <c r="G3" s="10"/>
      <c r="H3" s="14"/>
      <c r="I3" s="14"/>
    </row>
    <row r="4" spans="1:11" s="1" customFormat="1" ht="42" customHeight="1" x14ac:dyDescent="0.2">
      <c r="A4" s="1" t="s">
        <v>0</v>
      </c>
      <c r="B4" s="1" t="s">
        <v>164</v>
      </c>
      <c r="C4" s="1" t="s">
        <v>2</v>
      </c>
      <c r="D4" s="1" t="s">
        <v>3</v>
      </c>
      <c r="E4" s="16" t="s">
        <v>4</v>
      </c>
      <c r="F4" s="16" t="s">
        <v>88</v>
      </c>
      <c r="G4" s="16" t="s">
        <v>89</v>
      </c>
      <c r="H4" s="17"/>
      <c r="I4" s="17"/>
    </row>
    <row r="5" spans="1:11" ht="14.25" customHeight="1" x14ac:dyDescent="0.2">
      <c r="A5">
        <v>4120</v>
      </c>
      <c r="B5" t="s">
        <v>94</v>
      </c>
      <c r="C5">
        <v>9236</v>
      </c>
      <c r="D5" t="s">
        <v>91</v>
      </c>
      <c r="E5" s="6">
        <v>-212761</v>
      </c>
      <c r="G5" s="6">
        <f t="shared" ref="G5:G71" si="0">+E5+F5</f>
        <v>-212761</v>
      </c>
      <c r="K5" s="18"/>
    </row>
    <row r="6" spans="1:11" x14ac:dyDescent="0.2">
      <c r="A6">
        <v>655</v>
      </c>
      <c r="B6" t="s">
        <v>90</v>
      </c>
      <c r="C6">
        <v>9210</v>
      </c>
      <c r="D6" t="s">
        <v>91</v>
      </c>
      <c r="E6" s="6">
        <v>-141568</v>
      </c>
      <c r="F6" s="6">
        <v>29859</v>
      </c>
      <c r="G6" s="6">
        <f t="shared" si="0"/>
        <v>-111709</v>
      </c>
      <c r="K6" s="18"/>
    </row>
    <row r="7" spans="1:11" x14ac:dyDescent="0.2">
      <c r="A7">
        <v>4101</v>
      </c>
      <c r="B7" t="s">
        <v>110</v>
      </c>
      <c r="C7">
        <v>9223</v>
      </c>
      <c r="D7" t="s">
        <v>91</v>
      </c>
      <c r="E7" s="6">
        <v>-66556</v>
      </c>
      <c r="G7" s="6">
        <f t="shared" si="0"/>
        <v>-66556</v>
      </c>
      <c r="K7" s="18"/>
    </row>
    <row r="8" spans="1:11" x14ac:dyDescent="0.2">
      <c r="A8">
        <v>6268</v>
      </c>
      <c r="B8" t="s">
        <v>96</v>
      </c>
      <c r="C8">
        <v>9206</v>
      </c>
      <c r="D8" t="s">
        <v>91</v>
      </c>
      <c r="E8" s="6">
        <f>-151798+59154</f>
        <v>-92644</v>
      </c>
      <c r="F8" s="6">
        <f>128093-128093+68939</f>
        <v>68939</v>
      </c>
      <c r="G8" s="6">
        <f t="shared" si="0"/>
        <v>-23705</v>
      </c>
      <c r="K8" s="18"/>
    </row>
    <row r="9" spans="1:11" x14ac:dyDescent="0.2">
      <c r="A9">
        <v>330</v>
      </c>
      <c r="B9" t="s">
        <v>165</v>
      </c>
      <c r="C9">
        <v>9201</v>
      </c>
      <c r="D9" t="s">
        <v>101</v>
      </c>
      <c r="E9" s="6">
        <v>-15224</v>
      </c>
      <c r="G9" s="6">
        <f t="shared" si="0"/>
        <v>-15224</v>
      </c>
      <c r="K9" s="18"/>
    </row>
    <row r="10" spans="1:11" x14ac:dyDescent="0.2">
      <c r="A10">
        <v>11516</v>
      </c>
      <c r="B10" t="s">
        <v>95</v>
      </c>
      <c r="C10">
        <v>9231</v>
      </c>
      <c r="D10" t="s">
        <v>91</v>
      </c>
      <c r="E10" s="6">
        <f>-33620+1159</f>
        <v>-32461</v>
      </c>
      <c r="F10" s="6">
        <f>2424+14320+1386</f>
        <v>18130</v>
      </c>
      <c r="G10" s="6">
        <f t="shared" si="0"/>
        <v>-14331</v>
      </c>
      <c r="K10" s="18"/>
    </row>
    <row r="11" spans="1:11" x14ac:dyDescent="0.2">
      <c r="A11">
        <v>11185</v>
      </c>
      <c r="B11" t="s">
        <v>119</v>
      </c>
      <c r="C11">
        <v>9224</v>
      </c>
      <c r="D11" t="s">
        <v>91</v>
      </c>
      <c r="E11" s="6">
        <v>-10099</v>
      </c>
      <c r="G11" s="6">
        <f t="shared" si="0"/>
        <v>-10099</v>
      </c>
      <c r="K11" s="18"/>
    </row>
    <row r="12" spans="1:11" x14ac:dyDescent="0.2">
      <c r="A12">
        <v>12907</v>
      </c>
      <c r="B12" t="s">
        <v>166</v>
      </c>
      <c r="C12">
        <v>9197</v>
      </c>
      <c r="D12" t="s">
        <v>91</v>
      </c>
      <c r="E12" s="6">
        <v>-11229</v>
      </c>
      <c r="F12" s="6">
        <f>2024+4497</f>
        <v>6521</v>
      </c>
      <c r="G12" s="6">
        <f t="shared" si="0"/>
        <v>-4708</v>
      </c>
      <c r="K12" s="18"/>
    </row>
    <row r="13" spans="1:11" x14ac:dyDescent="0.2">
      <c r="A13">
        <v>11687</v>
      </c>
      <c r="B13" t="s">
        <v>106</v>
      </c>
      <c r="C13">
        <v>9192</v>
      </c>
      <c r="D13" t="s">
        <v>91</v>
      </c>
      <c r="E13" s="6">
        <f>-23842+2847</f>
        <v>-20995</v>
      </c>
      <c r="F13" s="6">
        <v>17598</v>
      </c>
      <c r="G13" s="6">
        <f t="shared" si="0"/>
        <v>-3397</v>
      </c>
      <c r="K13" s="18"/>
    </row>
    <row r="14" spans="1:11" x14ac:dyDescent="0.2">
      <c r="A14">
        <v>1004</v>
      </c>
      <c r="B14" t="s">
        <v>122</v>
      </c>
      <c r="C14">
        <v>9171</v>
      </c>
      <c r="D14" t="s">
        <v>91</v>
      </c>
      <c r="E14" s="6">
        <v>-3271</v>
      </c>
      <c r="G14" s="6">
        <f t="shared" si="0"/>
        <v>-3271</v>
      </c>
      <c r="K14" s="18"/>
    </row>
    <row r="15" spans="1:11" x14ac:dyDescent="0.2">
      <c r="A15">
        <v>4131</v>
      </c>
      <c r="B15" t="s">
        <v>118</v>
      </c>
      <c r="C15">
        <v>9245</v>
      </c>
      <c r="D15" t="s">
        <v>91</v>
      </c>
      <c r="E15" s="6">
        <v>-2218</v>
      </c>
      <c r="G15" s="6">
        <f t="shared" si="0"/>
        <v>-2218</v>
      </c>
      <c r="K15" s="18"/>
    </row>
    <row r="16" spans="1:11" x14ac:dyDescent="0.2">
      <c r="A16">
        <v>3974</v>
      </c>
      <c r="B16" t="s">
        <v>115</v>
      </c>
      <c r="C16">
        <v>9244</v>
      </c>
      <c r="D16" t="s">
        <v>91</v>
      </c>
      <c r="E16" s="6">
        <f>-4571+2498</f>
        <v>-2073</v>
      </c>
      <c r="G16" s="6">
        <f t="shared" si="0"/>
        <v>-2073</v>
      </c>
      <c r="K16" s="18"/>
    </row>
    <row r="17" spans="1:11" x14ac:dyDescent="0.2">
      <c r="A17">
        <v>4118</v>
      </c>
      <c r="B17" t="s">
        <v>99</v>
      </c>
      <c r="C17">
        <v>9232</v>
      </c>
      <c r="D17" t="s">
        <v>91</v>
      </c>
      <c r="E17" s="6">
        <v>-979</v>
      </c>
      <c r="G17" s="6">
        <f t="shared" si="0"/>
        <v>-979</v>
      </c>
      <c r="K17" s="18"/>
    </row>
    <row r="18" spans="1:11" x14ac:dyDescent="0.2">
      <c r="A18">
        <v>330</v>
      </c>
      <c r="B18" t="s">
        <v>165</v>
      </c>
      <c r="C18">
        <v>9200</v>
      </c>
      <c r="D18" t="s">
        <v>121</v>
      </c>
      <c r="E18" s="6">
        <v>-800</v>
      </c>
      <c r="G18" s="6">
        <f>+E18+F18</f>
        <v>-800</v>
      </c>
      <c r="K18" s="18"/>
    </row>
    <row r="19" spans="1:11" x14ac:dyDescent="0.2">
      <c r="A19">
        <v>6321</v>
      </c>
      <c r="B19" t="s">
        <v>113</v>
      </c>
      <c r="C19">
        <v>9242</v>
      </c>
      <c r="D19" t="s">
        <v>91</v>
      </c>
      <c r="E19" s="6">
        <v>-252</v>
      </c>
      <c r="G19" s="6">
        <f t="shared" si="0"/>
        <v>-252</v>
      </c>
      <c r="K19" s="18"/>
    </row>
    <row r="20" spans="1:11" x14ac:dyDescent="0.2">
      <c r="A20">
        <v>11594</v>
      </c>
      <c r="B20" t="s">
        <v>100</v>
      </c>
      <c r="C20">
        <v>9173</v>
      </c>
      <c r="D20" t="s">
        <v>91</v>
      </c>
      <c r="E20" s="6">
        <v>-199</v>
      </c>
      <c r="G20" s="6">
        <f t="shared" si="0"/>
        <v>-199</v>
      </c>
      <c r="K20" s="18"/>
    </row>
    <row r="21" spans="1:11" x14ac:dyDescent="0.2">
      <c r="A21">
        <v>11594</v>
      </c>
      <c r="B21" t="s">
        <v>100</v>
      </c>
      <c r="C21">
        <v>9174</v>
      </c>
      <c r="D21" t="s">
        <v>101</v>
      </c>
      <c r="E21" s="6">
        <v>-194</v>
      </c>
      <c r="G21" s="6">
        <f t="shared" si="0"/>
        <v>-194</v>
      </c>
      <c r="K21" s="18"/>
    </row>
    <row r="22" spans="1:11" x14ac:dyDescent="0.2">
      <c r="A22">
        <v>13252</v>
      </c>
      <c r="B22" t="s">
        <v>157</v>
      </c>
      <c r="C22">
        <v>9221</v>
      </c>
      <c r="D22" t="s">
        <v>91</v>
      </c>
      <c r="E22" s="6">
        <v>-1</v>
      </c>
      <c r="G22" s="6">
        <f t="shared" si="0"/>
        <v>-1</v>
      </c>
      <c r="K22" s="18"/>
    </row>
    <row r="23" spans="1:11" s="9" customFormat="1" x14ac:dyDescent="0.2">
      <c r="B23" s="9" t="s">
        <v>217</v>
      </c>
      <c r="E23" s="10">
        <f>SUM(E5:E22)</f>
        <v>-613524</v>
      </c>
      <c r="F23" s="10">
        <f>SUM(F5:F22)</f>
        <v>141047</v>
      </c>
      <c r="G23" s="10">
        <f>SUM(G5:G22)</f>
        <v>-472477</v>
      </c>
      <c r="H23" s="14">
        <v>7.22</v>
      </c>
      <c r="I23" s="14">
        <f>ROUND(G23*H23,2)</f>
        <v>-3411283.94</v>
      </c>
      <c r="K23" s="19"/>
    </row>
    <row r="24" spans="1:11" x14ac:dyDescent="0.2">
      <c r="K24" s="18"/>
    </row>
    <row r="25" spans="1:11" x14ac:dyDescent="0.2">
      <c r="K25" s="18"/>
    </row>
    <row r="26" spans="1:11" x14ac:dyDescent="0.2">
      <c r="A26">
        <v>4175</v>
      </c>
      <c r="B26" t="s">
        <v>104</v>
      </c>
      <c r="C26">
        <v>9181</v>
      </c>
      <c r="D26" t="s">
        <v>91</v>
      </c>
      <c r="E26" s="6">
        <f>2024+33282</f>
        <v>35306</v>
      </c>
      <c r="F26" s="6">
        <f>-2024-8296-2400-20162-2424</f>
        <v>-35306</v>
      </c>
      <c r="G26" s="6">
        <f t="shared" si="0"/>
        <v>0</v>
      </c>
      <c r="K26" s="18"/>
    </row>
    <row r="27" spans="1:11" x14ac:dyDescent="0.2">
      <c r="A27">
        <v>4179</v>
      </c>
      <c r="B27" t="s">
        <v>105</v>
      </c>
      <c r="C27">
        <v>9185</v>
      </c>
      <c r="D27" t="s">
        <v>91</v>
      </c>
      <c r="E27" s="6">
        <v>-2972</v>
      </c>
      <c r="F27" s="6">
        <v>2972</v>
      </c>
      <c r="G27" s="6">
        <f t="shared" si="0"/>
        <v>0</v>
      </c>
      <c r="K27" s="18"/>
    </row>
    <row r="28" spans="1:11" x14ac:dyDescent="0.2">
      <c r="A28">
        <v>5736</v>
      </c>
      <c r="B28" t="s">
        <v>123</v>
      </c>
      <c r="C28">
        <v>9212</v>
      </c>
      <c r="D28" t="s">
        <v>91</v>
      </c>
      <c r="E28" s="6">
        <f>15159+71378</f>
        <v>86537</v>
      </c>
      <c r="F28" s="6">
        <f>-128093+128093-68939-17598</f>
        <v>-86537</v>
      </c>
      <c r="G28" s="6">
        <f t="shared" si="0"/>
        <v>0</v>
      </c>
      <c r="K28" s="18"/>
    </row>
    <row r="29" spans="1:11" x14ac:dyDescent="0.2">
      <c r="A29">
        <v>11729</v>
      </c>
      <c r="B29" t="s">
        <v>109</v>
      </c>
      <c r="C29">
        <v>9215</v>
      </c>
      <c r="D29" t="s">
        <v>91</v>
      </c>
      <c r="E29" s="6">
        <v>-414</v>
      </c>
      <c r="F29" s="6">
        <v>414</v>
      </c>
      <c r="G29" s="6">
        <f t="shared" si="0"/>
        <v>0</v>
      </c>
      <c r="K29" s="18"/>
    </row>
    <row r="30" spans="1:11" x14ac:dyDescent="0.2">
      <c r="A30">
        <v>11793</v>
      </c>
      <c r="B30" t="s">
        <v>93</v>
      </c>
      <c r="C30">
        <v>9218</v>
      </c>
      <c r="D30" t="s">
        <v>91</v>
      </c>
      <c r="E30" s="6">
        <f>-60951+538+1526+3726+3184+8770</f>
        <v>-43207</v>
      </c>
      <c r="F30" s="6">
        <f>-2972+2277+8296+912+34694</f>
        <v>43207</v>
      </c>
      <c r="G30" s="6">
        <f t="shared" si="0"/>
        <v>0</v>
      </c>
      <c r="K30" s="18"/>
    </row>
    <row r="31" spans="1:11" x14ac:dyDescent="0.2">
      <c r="A31">
        <v>11420</v>
      </c>
      <c r="B31" t="s">
        <v>97</v>
      </c>
      <c r="C31">
        <v>9227</v>
      </c>
      <c r="D31" t="s">
        <v>91</v>
      </c>
      <c r="E31" s="6">
        <f>-11200+14320</f>
        <v>3120</v>
      </c>
      <c r="F31" s="6">
        <f>11200-14320</f>
        <v>-3120</v>
      </c>
      <c r="G31" s="6">
        <f t="shared" si="0"/>
        <v>0</v>
      </c>
      <c r="K31" s="18"/>
    </row>
    <row r="32" spans="1:11" x14ac:dyDescent="0.2">
      <c r="A32">
        <v>2974</v>
      </c>
      <c r="B32" t="s">
        <v>111</v>
      </c>
      <c r="C32">
        <v>9233</v>
      </c>
      <c r="D32" t="s">
        <v>91</v>
      </c>
      <c r="E32" s="6">
        <f>4497+912</f>
        <v>5409</v>
      </c>
      <c r="F32" s="6">
        <f>-4497-912</f>
        <v>-5409</v>
      </c>
      <c r="G32" s="6">
        <f t="shared" si="0"/>
        <v>0</v>
      </c>
      <c r="K32" s="18"/>
    </row>
    <row r="33" spans="1:11" x14ac:dyDescent="0.2">
      <c r="A33">
        <v>4079</v>
      </c>
      <c r="B33" t="s">
        <v>112</v>
      </c>
      <c r="C33">
        <v>9239</v>
      </c>
      <c r="D33" t="s">
        <v>91</v>
      </c>
      <c r="E33" s="6">
        <v>283</v>
      </c>
      <c r="F33" s="6">
        <v>-283</v>
      </c>
      <c r="G33" s="6">
        <f t="shared" si="0"/>
        <v>0</v>
      </c>
      <c r="K33" s="18"/>
    </row>
    <row r="34" spans="1:11" x14ac:dyDescent="0.2">
      <c r="A34">
        <v>6075</v>
      </c>
      <c r="B34" t="s">
        <v>114</v>
      </c>
      <c r="C34">
        <v>9243</v>
      </c>
      <c r="D34" t="s">
        <v>91</v>
      </c>
      <c r="E34" s="6">
        <f>-4627+1725</f>
        <v>-2902</v>
      </c>
      <c r="F34" s="6">
        <f>2400+502</f>
        <v>2902</v>
      </c>
      <c r="G34" s="6">
        <f t="shared" si="0"/>
        <v>0</v>
      </c>
      <c r="K34" s="18"/>
    </row>
    <row r="35" spans="1:11" x14ac:dyDescent="0.2">
      <c r="A35">
        <v>4133</v>
      </c>
      <c r="B35" t="s">
        <v>116</v>
      </c>
      <c r="C35">
        <v>9248</v>
      </c>
      <c r="D35" t="s">
        <v>91</v>
      </c>
      <c r="E35" s="6">
        <f>-5045+1386</f>
        <v>-3659</v>
      </c>
      <c r="F35" s="6">
        <f>5045-1386</f>
        <v>3659</v>
      </c>
      <c r="G35" s="6">
        <f t="shared" si="0"/>
        <v>0</v>
      </c>
      <c r="K35" s="18"/>
    </row>
    <row r="36" spans="1:11" x14ac:dyDescent="0.2">
      <c r="A36">
        <v>4109</v>
      </c>
      <c r="B36" t="s">
        <v>92</v>
      </c>
      <c r="C36">
        <v>9250</v>
      </c>
      <c r="D36" t="s">
        <v>91</v>
      </c>
      <c r="E36" s="6">
        <f>41059+34694</f>
        <v>75753</v>
      </c>
      <c r="F36" s="6">
        <f>-29859-11200-34694</f>
        <v>-75753</v>
      </c>
      <c r="G36" s="6">
        <f t="shared" si="0"/>
        <v>0</v>
      </c>
      <c r="K36" s="18"/>
    </row>
    <row r="37" spans="1:11" x14ac:dyDescent="0.2">
      <c r="A37">
        <v>6431</v>
      </c>
      <c r="B37" t="s">
        <v>117</v>
      </c>
      <c r="C37">
        <v>9251</v>
      </c>
      <c r="D37" t="s">
        <v>91</v>
      </c>
      <c r="E37" s="6">
        <f>-22331+2169</f>
        <v>-20162</v>
      </c>
      <c r="F37" s="6">
        <v>20162</v>
      </c>
      <c r="G37" s="6">
        <f t="shared" si="0"/>
        <v>0</v>
      </c>
      <c r="K37" s="18"/>
    </row>
    <row r="38" spans="1:11" x14ac:dyDescent="0.2">
      <c r="A38">
        <v>4084</v>
      </c>
      <c r="B38" t="s">
        <v>108</v>
      </c>
      <c r="C38">
        <v>9214</v>
      </c>
      <c r="D38" t="s">
        <v>101</v>
      </c>
      <c r="E38" s="6">
        <v>-5443</v>
      </c>
      <c r="F38" s="6">
        <v>5443</v>
      </c>
      <c r="G38" s="6">
        <f t="shared" si="0"/>
        <v>0</v>
      </c>
      <c r="K38" s="18"/>
    </row>
    <row r="39" spans="1:11" x14ac:dyDescent="0.2">
      <c r="A39">
        <v>2974</v>
      </c>
      <c r="B39" t="s">
        <v>111</v>
      </c>
      <c r="C39">
        <v>9234</v>
      </c>
      <c r="D39" t="s">
        <v>101</v>
      </c>
      <c r="E39" s="6">
        <v>720</v>
      </c>
      <c r="F39" s="6">
        <v>-720</v>
      </c>
      <c r="G39" s="6">
        <f t="shared" si="0"/>
        <v>0</v>
      </c>
      <c r="K39" s="18"/>
    </row>
    <row r="40" spans="1:11" x14ac:dyDescent="0.2">
      <c r="A40">
        <v>6268</v>
      </c>
      <c r="B40" t="s">
        <v>96</v>
      </c>
      <c r="C40">
        <v>9207</v>
      </c>
      <c r="D40" t="s">
        <v>121</v>
      </c>
      <c r="E40" s="6">
        <v>-1704</v>
      </c>
      <c r="F40" s="6">
        <v>1704</v>
      </c>
      <c r="G40" s="6">
        <f>+E40+F40</f>
        <v>0</v>
      </c>
      <c r="K40" s="18"/>
    </row>
    <row r="41" spans="1:11" x14ac:dyDescent="0.2">
      <c r="A41">
        <v>6228</v>
      </c>
      <c r="B41" t="s">
        <v>103</v>
      </c>
      <c r="C41">
        <v>9180</v>
      </c>
      <c r="D41" t="s">
        <v>91</v>
      </c>
      <c r="E41" s="6">
        <f>7453+512</f>
        <v>7965</v>
      </c>
      <c r="F41" s="6">
        <f>-5045-131-2277-502</f>
        <v>-7955</v>
      </c>
      <c r="G41" s="6">
        <f t="shared" si="0"/>
        <v>10</v>
      </c>
      <c r="K41" s="18"/>
    </row>
    <row r="42" spans="1:11" x14ac:dyDescent="0.2">
      <c r="A42">
        <v>287</v>
      </c>
      <c r="B42" t="s">
        <v>98</v>
      </c>
      <c r="C42">
        <v>9202</v>
      </c>
      <c r="D42" t="s">
        <v>91</v>
      </c>
      <c r="E42" s="6">
        <v>22</v>
      </c>
      <c r="G42" s="6">
        <f t="shared" si="0"/>
        <v>22</v>
      </c>
      <c r="K42" s="18"/>
    </row>
    <row r="43" spans="1:11" x14ac:dyDescent="0.2">
      <c r="A43">
        <v>11793</v>
      </c>
      <c r="B43" t="s">
        <v>93</v>
      </c>
      <c r="C43">
        <v>9219</v>
      </c>
      <c r="D43" t="s">
        <v>121</v>
      </c>
      <c r="E43" s="6">
        <v>1993</v>
      </c>
      <c r="F43" s="6">
        <v>-1704</v>
      </c>
      <c r="G43" s="6">
        <f>+E43+F43</f>
        <v>289</v>
      </c>
      <c r="K43" s="18"/>
    </row>
    <row r="44" spans="1:11" x14ac:dyDescent="0.2">
      <c r="A44">
        <v>4131</v>
      </c>
      <c r="B44" t="s">
        <v>118</v>
      </c>
      <c r="C44">
        <v>9246</v>
      </c>
      <c r="D44" t="s">
        <v>101</v>
      </c>
      <c r="E44" s="6">
        <v>737</v>
      </c>
      <c r="G44" s="6">
        <f t="shared" si="0"/>
        <v>737</v>
      </c>
      <c r="K44" s="18"/>
    </row>
    <row r="45" spans="1:11" x14ac:dyDescent="0.2">
      <c r="A45">
        <v>6268</v>
      </c>
      <c r="B45" t="s">
        <v>96</v>
      </c>
      <c r="C45">
        <v>9208</v>
      </c>
      <c r="D45" t="s">
        <v>101</v>
      </c>
      <c r="E45" s="6">
        <v>3782</v>
      </c>
      <c r="G45" s="6">
        <f t="shared" si="0"/>
        <v>3782</v>
      </c>
      <c r="K45" s="18"/>
    </row>
    <row r="46" spans="1:11" x14ac:dyDescent="0.2">
      <c r="A46">
        <v>4175</v>
      </c>
      <c r="B46" t="s">
        <v>104</v>
      </c>
      <c r="C46">
        <v>9182</v>
      </c>
      <c r="D46" t="s">
        <v>101</v>
      </c>
      <c r="E46" s="6">
        <v>27490</v>
      </c>
      <c r="F46" s="6">
        <f>-1899-1865-744-4723-7526</f>
        <v>-16757</v>
      </c>
      <c r="G46" s="6">
        <f t="shared" si="0"/>
        <v>10733</v>
      </c>
      <c r="K46" s="18"/>
    </row>
    <row r="47" spans="1:11" x14ac:dyDescent="0.2">
      <c r="A47">
        <v>11793</v>
      </c>
      <c r="B47" t="s">
        <v>93</v>
      </c>
      <c r="C47">
        <v>9220</v>
      </c>
      <c r="D47" t="s">
        <v>101</v>
      </c>
      <c r="E47" s="6">
        <v>52618</v>
      </c>
      <c r="F47" s="6">
        <v>-18268</v>
      </c>
      <c r="G47" s="6">
        <f t="shared" si="0"/>
        <v>34350</v>
      </c>
      <c r="K47" s="18"/>
    </row>
    <row r="48" spans="1:11" x14ac:dyDescent="0.2">
      <c r="A48">
        <v>4120</v>
      </c>
      <c r="B48" t="s">
        <v>94</v>
      </c>
      <c r="C48">
        <v>9237</v>
      </c>
      <c r="D48" t="s">
        <v>101</v>
      </c>
      <c r="E48" s="6">
        <v>116847</v>
      </c>
      <c r="G48" s="6">
        <f t="shared" si="0"/>
        <v>116847</v>
      </c>
      <c r="K48" s="18"/>
    </row>
    <row r="49" spans="1:11" s="9" customFormat="1" x14ac:dyDescent="0.2">
      <c r="B49" s="9" t="s">
        <v>218</v>
      </c>
      <c r="E49" s="10">
        <f>SUM(E26:E48)</f>
        <v>338119</v>
      </c>
      <c r="F49" s="10">
        <f>SUM(F26:F48)</f>
        <v>-171349</v>
      </c>
      <c r="G49" s="10">
        <f>SUM(G26:G48)</f>
        <v>166770</v>
      </c>
      <c r="H49" s="14">
        <v>7.79</v>
      </c>
      <c r="I49" s="14">
        <f>ROUND(G49*H49,2)</f>
        <v>1299138.3</v>
      </c>
      <c r="K49" s="19"/>
    </row>
    <row r="50" spans="1:11" x14ac:dyDescent="0.2">
      <c r="K50" s="18"/>
    </row>
    <row r="51" spans="1:11" s="9" customFormat="1" x14ac:dyDescent="0.2">
      <c r="B51" s="9" t="s">
        <v>74</v>
      </c>
      <c r="E51" s="10"/>
      <c r="F51" s="10"/>
      <c r="G51" s="10">
        <f>+G23+G49</f>
        <v>-305707</v>
      </c>
      <c r="H51" s="14"/>
      <c r="I51" s="14"/>
      <c r="K51" s="19"/>
    </row>
    <row r="52" spans="1:11" x14ac:dyDescent="0.2">
      <c r="K52" s="18"/>
    </row>
    <row r="53" spans="1:11" s="9" customFormat="1" x14ac:dyDescent="0.2">
      <c r="B53" s="9" t="s">
        <v>167</v>
      </c>
      <c r="E53" s="10"/>
      <c r="F53" s="10"/>
      <c r="G53" s="10">
        <v>-1032269</v>
      </c>
      <c r="H53" s="14"/>
      <c r="I53" s="14"/>
      <c r="K53" s="19"/>
    </row>
    <row r="54" spans="1:11" s="9" customFormat="1" x14ac:dyDescent="0.2">
      <c r="B54" s="9" t="s">
        <v>168</v>
      </c>
      <c r="E54" s="10"/>
      <c r="F54" s="10"/>
      <c r="G54" s="10">
        <v>177252</v>
      </c>
      <c r="H54" s="14"/>
      <c r="I54" s="14"/>
      <c r="K54" s="19"/>
    </row>
    <row r="55" spans="1:11" s="9" customFormat="1" x14ac:dyDescent="0.2">
      <c r="B55" s="9" t="s">
        <v>169</v>
      </c>
      <c r="E55" s="10"/>
      <c r="F55" s="10"/>
      <c r="G55" s="10">
        <v>240933</v>
      </c>
      <c r="H55" s="14"/>
      <c r="I55" s="14"/>
      <c r="K55" s="19"/>
    </row>
    <row r="56" spans="1:11" s="9" customFormat="1" x14ac:dyDescent="0.2">
      <c r="B56" s="9" t="s">
        <v>71</v>
      </c>
      <c r="E56" s="10"/>
      <c r="F56" s="10"/>
      <c r="G56" s="10">
        <f>+G51-G53-G54-G55</f>
        <v>308377</v>
      </c>
      <c r="H56" s="14"/>
      <c r="I56" s="14"/>
      <c r="K56" s="19"/>
    </row>
    <row r="57" spans="1:11" x14ac:dyDescent="0.2">
      <c r="K57" s="18"/>
    </row>
    <row r="58" spans="1:11" x14ac:dyDescent="0.2">
      <c r="K58" s="18"/>
    </row>
    <row r="59" spans="1:11" x14ac:dyDescent="0.2">
      <c r="K59" s="18"/>
    </row>
    <row r="60" spans="1:11" x14ac:dyDescent="0.2">
      <c r="K60" s="18"/>
    </row>
    <row r="61" spans="1:11" x14ac:dyDescent="0.2">
      <c r="K61" s="18"/>
    </row>
    <row r="62" spans="1:11" x14ac:dyDescent="0.2">
      <c r="A62">
        <v>15</v>
      </c>
      <c r="B62" t="s">
        <v>128</v>
      </c>
      <c r="C62">
        <v>9216</v>
      </c>
      <c r="D62" t="s">
        <v>127</v>
      </c>
      <c r="E62" s="6">
        <v>-17713</v>
      </c>
      <c r="G62" s="6">
        <f t="shared" ref="G62:G111" si="1">+E62+F62</f>
        <v>-17713</v>
      </c>
      <c r="K62" s="18"/>
    </row>
    <row r="63" spans="1:11" x14ac:dyDescent="0.2">
      <c r="A63">
        <v>1455</v>
      </c>
      <c r="B63" t="s">
        <v>129</v>
      </c>
      <c r="C63">
        <v>9184</v>
      </c>
      <c r="D63" t="s">
        <v>127</v>
      </c>
      <c r="E63" s="6">
        <v>-1011</v>
      </c>
      <c r="F63" s="6">
        <v>-1358</v>
      </c>
      <c r="G63" s="6">
        <f t="shared" si="0"/>
        <v>-2369</v>
      </c>
      <c r="K63" s="18"/>
    </row>
    <row r="64" spans="1:11" x14ac:dyDescent="0.2">
      <c r="A64">
        <v>11420</v>
      </c>
      <c r="B64" t="s">
        <v>97</v>
      </c>
      <c r="C64">
        <v>9226</v>
      </c>
      <c r="D64" t="s">
        <v>127</v>
      </c>
      <c r="E64" s="6">
        <v>-167</v>
      </c>
      <c r="G64" s="6">
        <f t="shared" si="0"/>
        <v>-167</v>
      </c>
      <c r="K64" s="18"/>
    </row>
    <row r="65" spans="1:11" x14ac:dyDescent="0.2">
      <c r="A65">
        <v>7834</v>
      </c>
      <c r="B65" t="s">
        <v>160</v>
      </c>
      <c r="C65">
        <v>9177</v>
      </c>
      <c r="D65" t="s">
        <v>127</v>
      </c>
      <c r="E65" s="6">
        <v>-18</v>
      </c>
      <c r="F65" s="6">
        <v>6</v>
      </c>
      <c r="G65" s="6">
        <f t="shared" si="0"/>
        <v>-12</v>
      </c>
      <c r="K65" s="18"/>
    </row>
    <row r="66" spans="1:11" s="9" customFormat="1" x14ac:dyDescent="0.2">
      <c r="E66" s="10">
        <f>SUM(E62:E65)</f>
        <v>-18909</v>
      </c>
      <c r="F66" s="10">
        <f>SUM(F62:F65)</f>
        <v>-1352</v>
      </c>
      <c r="G66" s="10">
        <f>SUM(G62:G65)</f>
        <v>-20261</v>
      </c>
      <c r="H66" s="14">
        <v>7.22</v>
      </c>
      <c r="I66" s="14">
        <f>ROUND(G66*H66,2)</f>
        <v>-146284.42000000001</v>
      </c>
      <c r="K66" s="19"/>
    </row>
    <row r="67" spans="1:11" x14ac:dyDescent="0.2">
      <c r="K67" s="18"/>
    </row>
    <row r="68" spans="1:11" x14ac:dyDescent="0.2">
      <c r="K68" s="18"/>
    </row>
    <row r="69" spans="1:11" x14ac:dyDescent="0.2">
      <c r="A69">
        <v>1141</v>
      </c>
      <c r="B69" t="s">
        <v>151</v>
      </c>
      <c r="C69">
        <v>9176</v>
      </c>
      <c r="D69" t="s">
        <v>127</v>
      </c>
      <c r="E69" s="6">
        <v>-1899</v>
      </c>
      <c r="F69" s="6">
        <v>1899</v>
      </c>
      <c r="G69" s="6">
        <f t="shared" si="0"/>
        <v>0</v>
      </c>
      <c r="K69" s="18"/>
    </row>
    <row r="70" spans="1:11" x14ac:dyDescent="0.2">
      <c r="A70">
        <v>2707</v>
      </c>
      <c r="B70" t="s">
        <v>150</v>
      </c>
      <c r="C70">
        <v>9179</v>
      </c>
      <c r="D70" t="s">
        <v>127</v>
      </c>
      <c r="E70" s="6">
        <v>-1865</v>
      </c>
      <c r="F70" s="6">
        <v>1865</v>
      </c>
      <c r="G70" s="6">
        <f t="shared" si="0"/>
        <v>0</v>
      </c>
      <c r="K70" s="18"/>
    </row>
    <row r="71" spans="1:11" x14ac:dyDescent="0.2">
      <c r="A71">
        <v>4997</v>
      </c>
      <c r="B71" t="s">
        <v>132</v>
      </c>
      <c r="C71">
        <v>9193</v>
      </c>
      <c r="D71" t="s">
        <v>127</v>
      </c>
      <c r="E71" s="6">
        <v>446</v>
      </c>
      <c r="F71" s="6">
        <v>-446</v>
      </c>
      <c r="G71" s="6">
        <f t="shared" si="0"/>
        <v>0</v>
      </c>
      <c r="K71" s="18"/>
    </row>
    <row r="72" spans="1:11" x14ac:dyDescent="0.2">
      <c r="A72">
        <v>11937</v>
      </c>
      <c r="B72" t="s">
        <v>137</v>
      </c>
      <c r="C72">
        <v>9195</v>
      </c>
      <c r="D72" t="s">
        <v>127</v>
      </c>
      <c r="E72" s="6">
        <v>-1190</v>
      </c>
      <c r="F72" s="6">
        <v>1190</v>
      </c>
      <c r="G72" s="6">
        <f t="shared" si="1"/>
        <v>0</v>
      </c>
      <c r="K72" s="18"/>
    </row>
    <row r="73" spans="1:11" x14ac:dyDescent="0.2">
      <c r="A73">
        <v>330</v>
      </c>
      <c r="B73" t="s">
        <v>165</v>
      </c>
      <c r="C73">
        <v>9198</v>
      </c>
      <c r="D73" t="s">
        <v>127</v>
      </c>
      <c r="E73" s="6">
        <v>-41324</v>
      </c>
      <c r="F73" s="6">
        <v>41324</v>
      </c>
      <c r="G73" s="6">
        <f t="shared" si="1"/>
        <v>0</v>
      </c>
      <c r="K73" s="18"/>
    </row>
    <row r="74" spans="1:11" x14ac:dyDescent="0.2">
      <c r="A74">
        <v>6268</v>
      </c>
      <c r="B74" t="s">
        <v>96</v>
      </c>
      <c r="C74">
        <v>9205</v>
      </c>
      <c r="D74" t="s">
        <v>127</v>
      </c>
      <c r="E74" s="6">
        <v>1</v>
      </c>
      <c r="F74" s="6">
        <v>-1</v>
      </c>
      <c r="G74" s="6">
        <f t="shared" si="1"/>
        <v>0</v>
      </c>
      <c r="K74" s="18"/>
    </row>
    <row r="75" spans="1:11" x14ac:dyDescent="0.2">
      <c r="A75">
        <v>655</v>
      </c>
      <c r="B75" t="s">
        <v>90</v>
      </c>
      <c r="C75">
        <v>9209</v>
      </c>
      <c r="D75" t="s">
        <v>127</v>
      </c>
      <c r="E75" s="6">
        <v>14004</v>
      </c>
      <c r="F75" s="6">
        <v>-14004</v>
      </c>
      <c r="G75" s="6">
        <f t="shared" si="1"/>
        <v>0</v>
      </c>
      <c r="K75" s="18"/>
    </row>
    <row r="76" spans="1:11" x14ac:dyDescent="0.2">
      <c r="A76">
        <v>11793</v>
      </c>
      <c r="B76" t="s">
        <v>93</v>
      </c>
      <c r="C76">
        <v>9217</v>
      </c>
      <c r="D76" t="s">
        <v>127</v>
      </c>
      <c r="E76" s="6">
        <v>-22064</v>
      </c>
      <c r="F76" s="6">
        <f>18268+3796</f>
        <v>22064</v>
      </c>
      <c r="G76" s="6">
        <f t="shared" si="1"/>
        <v>0</v>
      </c>
      <c r="K76" s="18"/>
    </row>
    <row r="77" spans="1:11" x14ac:dyDescent="0.2">
      <c r="A77">
        <v>4101</v>
      </c>
      <c r="B77" t="s">
        <v>110</v>
      </c>
      <c r="C77">
        <v>9222</v>
      </c>
      <c r="D77" t="s">
        <v>127</v>
      </c>
      <c r="E77" s="6">
        <v>2</v>
      </c>
      <c r="F77" s="6">
        <v>-2</v>
      </c>
      <c r="G77" s="6">
        <f t="shared" si="1"/>
        <v>0</v>
      </c>
      <c r="K77" s="18"/>
    </row>
    <row r="78" spans="1:11" x14ac:dyDescent="0.2">
      <c r="A78">
        <v>4105</v>
      </c>
      <c r="B78" t="s">
        <v>163</v>
      </c>
      <c r="C78">
        <v>9228</v>
      </c>
      <c r="D78" t="s">
        <v>127</v>
      </c>
      <c r="E78" s="6">
        <v>3796</v>
      </c>
      <c r="F78" s="6">
        <v>-3796</v>
      </c>
      <c r="G78" s="6">
        <f t="shared" si="1"/>
        <v>0</v>
      </c>
      <c r="K78" s="18"/>
    </row>
    <row r="79" spans="1:11" x14ac:dyDescent="0.2">
      <c r="A79">
        <v>11143</v>
      </c>
      <c r="B79" t="s">
        <v>139</v>
      </c>
      <c r="C79">
        <v>9230</v>
      </c>
      <c r="D79" t="s">
        <v>127</v>
      </c>
      <c r="E79" s="6">
        <v>322</v>
      </c>
      <c r="F79" s="6">
        <v>-322</v>
      </c>
      <c r="G79" s="6">
        <f t="shared" si="1"/>
        <v>0</v>
      </c>
      <c r="K79" s="18"/>
    </row>
    <row r="80" spans="1:11" x14ac:dyDescent="0.2">
      <c r="A80">
        <v>11128</v>
      </c>
      <c r="B80" t="s">
        <v>140</v>
      </c>
      <c r="C80">
        <v>9238</v>
      </c>
      <c r="D80" t="s">
        <v>127</v>
      </c>
      <c r="E80" s="6">
        <v>-5384</v>
      </c>
      <c r="F80" s="6">
        <v>5384</v>
      </c>
      <c r="G80" s="6">
        <f t="shared" si="1"/>
        <v>0</v>
      </c>
      <c r="K80" s="18"/>
    </row>
    <row r="81" spans="1:11" x14ac:dyDescent="0.2">
      <c r="A81">
        <v>11893</v>
      </c>
      <c r="B81" t="s">
        <v>131</v>
      </c>
      <c r="C81">
        <v>9252</v>
      </c>
      <c r="D81" t="s">
        <v>127</v>
      </c>
      <c r="E81" s="6">
        <v>-7526</v>
      </c>
      <c r="F81" s="6">
        <v>7526</v>
      </c>
      <c r="G81" s="6">
        <f t="shared" si="1"/>
        <v>0</v>
      </c>
      <c r="K81" s="18"/>
    </row>
    <row r="82" spans="1:11" x14ac:dyDescent="0.2">
      <c r="A82">
        <v>4122</v>
      </c>
      <c r="B82" t="s">
        <v>143</v>
      </c>
      <c r="C82">
        <v>9178</v>
      </c>
      <c r="D82" t="s">
        <v>127</v>
      </c>
      <c r="E82" s="6">
        <v>1</v>
      </c>
      <c r="G82" s="6">
        <f t="shared" si="1"/>
        <v>1</v>
      </c>
      <c r="K82" s="18"/>
    </row>
    <row r="83" spans="1:11" x14ac:dyDescent="0.2">
      <c r="A83">
        <v>4084</v>
      </c>
      <c r="B83" t="s">
        <v>108</v>
      </c>
      <c r="C83">
        <v>9213</v>
      </c>
      <c r="D83" t="s">
        <v>127</v>
      </c>
      <c r="E83" s="6">
        <v>6</v>
      </c>
      <c r="F83" s="6">
        <v>-5</v>
      </c>
      <c r="G83" s="6">
        <f t="shared" si="1"/>
        <v>1</v>
      </c>
      <c r="K83" s="18"/>
    </row>
    <row r="84" spans="1:11" x14ac:dyDescent="0.2">
      <c r="A84">
        <v>4109</v>
      </c>
      <c r="B84" t="s">
        <v>92</v>
      </c>
      <c r="C84">
        <v>9249</v>
      </c>
      <c r="D84" t="s">
        <v>127</v>
      </c>
      <c r="E84" s="6">
        <v>1</v>
      </c>
      <c r="G84" s="6">
        <f t="shared" si="1"/>
        <v>1</v>
      </c>
      <c r="K84" s="18"/>
    </row>
    <row r="85" spans="1:11" x14ac:dyDescent="0.2">
      <c r="A85">
        <v>11509</v>
      </c>
      <c r="B85" t="s">
        <v>126</v>
      </c>
      <c r="C85">
        <v>9225</v>
      </c>
      <c r="D85" t="s">
        <v>127</v>
      </c>
      <c r="E85" s="6">
        <v>2</v>
      </c>
      <c r="G85" s="6">
        <f t="shared" si="1"/>
        <v>2</v>
      </c>
      <c r="K85" s="18"/>
    </row>
    <row r="86" spans="1:11" x14ac:dyDescent="0.2">
      <c r="A86">
        <v>11611</v>
      </c>
      <c r="B86" t="s">
        <v>147</v>
      </c>
      <c r="C86">
        <v>9189</v>
      </c>
      <c r="D86" t="s">
        <v>127</v>
      </c>
      <c r="E86" s="6">
        <v>5</v>
      </c>
      <c r="G86" s="6">
        <f t="shared" si="1"/>
        <v>5</v>
      </c>
      <c r="K86" s="18"/>
    </row>
    <row r="87" spans="1:11" x14ac:dyDescent="0.2">
      <c r="A87">
        <v>5736</v>
      </c>
      <c r="B87" t="s">
        <v>123</v>
      </c>
      <c r="C87">
        <v>9211</v>
      </c>
      <c r="D87" t="s">
        <v>127</v>
      </c>
      <c r="E87" s="6">
        <v>5</v>
      </c>
      <c r="G87" s="6">
        <f t="shared" si="1"/>
        <v>5</v>
      </c>
      <c r="K87" s="18"/>
    </row>
    <row r="88" spans="1:11" x14ac:dyDescent="0.2">
      <c r="A88">
        <v>11145</v>
      </c>
      <c r="B88" t="s">
        <v>153</v>
      </c>
      <c r="C88">
        <v>9229</v>
      </c>
      <c r="D88" t="s">
        <v>127</v>
      </c>
      <c r="E88" s="6">
        <v>31</v>
      </c>
      <c r="G88" s="6">
        <f t="shared" si="1"/>
        <v>31</v>
      </c>
      <c r="K88" s="18"/>
    </row>
    <row r="89" spans="1:11" x14ac:dyDescent="0.2">
      <c r="A89">
        <v>285</v>
      </c>
      <c r="B89" t="s">
        <v>130</v>
      </c>
      <c r="C89">
        <v>9172</v>
      </c>
      <c r="D89" t="s">
        <v>127</v>
      </c>
      <c r="E89" s="6">
        <v>233</v>
      </c>
      <c r="G89" s="6">
        <f t="shared" si="1"/>
        <v>233</v>
      </c>
      <c r="K89" s="18"/>
    </row>
    <row r="90" spans="1:11" x14ac:dyDescent="0.2">
      <c r="A90">
        <v>11364</v>
      </c>
      <c r="B90" t="s">
        <v>135</v>
      </c>
      <c r="C90">
        <v>9175</v>
      </c>
      <c r="D90" t="s">
        <v>127</v>
      </c>
      <c r="E90" s="6">
        <v>445</v>
      </c>
      <c r="G90" s="6">
        <f t="shared" si="1"/>
        <v>445</v>
      </c>
      <c r="K90" s="18"/>
    </row>
    <row r="91" spans="1:11" x14ac:dyDescent="0.2">
      <c r="A91">
        <v>11687</v>
      </c>
      <c r="B91" t="s">
        <v>106</v>
      </c>
      <c r="C91">
        <v>9190</v>
      </c>
      <c r="D91" t="s">
        <v>127</v>
      </c>
      <c r="E91" s="6">
        <v>466</v>
      </c>
      <c r="G91" s="6">
        <f t="shared" si="1"/>
        <v>466</v>
      </c>
      <c r="K91" s="18"/>
    </row>
    <row r="92" spans="1:11" x14ac:dyDescent="0.2">
      <c r="A92">
        <v>12673</v>
      </c>
      <c r="B92" t="s">
        <v>134</v>
      </c>
      <c r="C92">
        <v>9169</v>
      </c>
      <c r="D92" t="s">
        <v>127</v>
      </c>
      <c r="E92" s="6">
        <v>1104</v>
      </c>
      <c r="G92" s="6">
        <f>+E92+F92</f>
        <v>1104</v>
      </c>
      <c r="K92" s="18"/>
    </row>
    <row r="93" spans="1:11" x14ac:dyDescent="0.2">
      <c r="A93">
        <v>3975</v>
      </c>
      <c r="B93" t="s">
        <v>148</v>
      </c>
      <c r="C93">
        <v>9187</v>
      </c>
      <c r="D93" t="s">
        <v>127</v>
      </c>
      <c r="E93" s="6">
        <v>1863</v>
      </c>
      <c r="G93" s="6">
        <f t="shared" si="1"/>
        <v>1863</v>
      </c>
      <c r="K93" s="18"/>
    </row>
    <row r="94" spans="1:11" x14ac:dyDescent="0.2">
      <c r="A94">
        <v>12907</v>
      </c>
      <c r="B94" t="s">
        <v>166</v>
      </c>
      <c r="C94">
        <v>9196</v>
      </c>
      <c r="D94" t="s">
        <v>127</v>
      </c>
      <c r="E94" s="6">
        <v>32927</v>
      </c>
      <c r="F94" s="6">
        <f>1358-5062+2-27320</f>
        <v>-31022</v>
      </c>
      <c r="G94" s="6">
        <f t="shared" si="1"/>
        <v>1905</v>
      </c>
      <c r="K94" s="18"/>
    </row>
    <row r="95" spans="1:11" x14ac:dyDescent="0.2">
      <c r="A95">
        <v>4120</v>
      </c>
      <c r="B95" t="s">
        <v>94</v>
      </c>
      <c r="C95">
        <v>9235</v>
      </c>
      <c r="D95" t="s">
        <v>127</v>
      </c>
      <c r="E95" s="6">
        <v>10249</v>
      </c>
      <c r="G95" s="6">
        <f t="shared" si="1"/>
        <v>10249</v>
      </c>
      <c r="K95" s="18"/>
    </row>
    <row r="96" spans="1:11" x14ac:dyDescent="0.2">
      <c r="A96">
        <v>6321</v>
      </c>
      <c r="B96" t="s">
        <v>113</v>
      </c>
      <c r="C96">
        <v>9240</v>
      </c>
      <c r="D96" t="s">
        <v>127</v>
      </c>
      <c r="E96" s="6">
        <v>12821</v>
      </c>
      <c r="G96" s="6">
        <f t="shared" si="1"/>
        <v>12821</v>
      </c>
      <c r="K96" s="18"/>
    </row>
    <row r="97" spans="1:11" s="9" customFormat="1" x14ac:dyDescent="0.2">
      <c r="E97" s="10">
        <f>SUM(E69:E96)</f>
        <v>-2522</v>
      </c>
      <c r="F97" s="10">
        <f>SUM(F69:F96)</f>
        <v>31654</v>
      </c>
      <c r="G97" s="10">
        <f>SUM(G69:G96)</f>
        <v>29132</v>
      </c>
      <c r="H97" s="14">
        <v>7.79</v>
      </c>
      <c r="I97" s="14">
        <f>ROUND(G97*H97,2)</f>
        <v>226938.28</v>
      </c>
    </row>
    <row r="100" spans="1:11" x14ac:dyDescent="0.2">
      <c r="A100">
        <v>7672</v>
      </c>
      <c r="B100" t="s">
        <v>156</v>
      </c>
      <c r="C100">
        <v>9186</v>
      </c>
      <c r="D100" t="s">
        <v>154</v>
      </c>
      <c r="E100" s="6">
        <v>-46596</v>
      </c>
      <c r="G100" s="6">
        <f t="shared" si="1"/>
        <v>-46596</v>
      </c>
      <c r="K100" s="18"/>
    </row>
    <row r="101" spans="1:11" x14ac:dyDescent="0.2">
      <c r="A101">
        <v>11905</v>
      </c>
      <c r="B101" t="s">
        <v>141</v>
      </c>
      <c r="C101">
        <v>9170</v>
      </c>
      <c r="D101" t="s">
        <v>154</v>
      </c>
      <c r="E101" s="6">
        <v>-689</v>
      </c>
      <c r="G101" s="6">
        <f t="shared" si="1"/>
        <v>-689</v>
      </c>
      <c r="K101" s="18"/>
    </row>
    <row r="102" spans="1:11" s="9" customFormat="1" x14ac:dyDescent="0.2">
      <c r="E102" s="10">
        <f>SUM(E100:E101)</f>
        <v>-47285</v>
      </c>
      <c r="F102" s="10">
        <f>SUM(F100:F101)</f>
        <v>0</v>
      </c>
      <c r="G102" s="10">
        <f>SUM(G100:G101)</f>
        <v>-47285</v>
      </c>
      <c r="H102" s="14">
        <v>7.22</v>
      </c>
      <c r="I102" s="14">
        <f>ROUND(G102*H102,2)</f>
        <v>-341397.7</v>
      </c>
      <c r="K102" s="19"/>
    </row>
    <row r="103" spans="1:11" x14ac:dyDescent="0.2">
      <c r="K103" s="18"/>
    </row>
    <row r="104" spans="1:11" x14ac:dyDescent="0.2">
      <c r="K104" s="18"/>
    </row>
    <row r="105" spans="1:11" x14ac:dyDescent="0.2">
      <c r="A105">
        <v>330</v>
      </c>
      <c r="B105" t="s">
        <v>165</v>
      </c>
      <c r="C105">
        <v>9199</v>
      </c>
      <c r="D105" t="s">
        <v>154</v>
      </c>
      <c r="E105" s="6">
        <v>122</v>
      </c>
      <c r="G105" s="6">
        <f t="shared" si="1"/>
        <v>122</v>
      </c>
      <c r="K105" s="18"/>
    </row>
    <row r="106" spans="1:11" x14ac:dyDescent="0.2">
      <c r="A106">
        <v>11687</v>
      </c>
      <c r="B106" t="s">
        <v>106</v>
      </c>
      <c r="C106">
        <v>9191</v>
      </c>
      <c r="D106" t="s">
        <v>154</v>
      </c>
      <c r="E106" s="6">
        <v>1481</v>
      </c>
      <c r="G106" s="6">
        <f t="shared" si="1"/>
        <v>1481</v>
      </c>
      <c r="K106" s="18"/>
    </row>
    <row r="107" spans="1:11" x14ac:dyDescent="0.2">
      <c r="A107">
        <v>4997</v>
      </c>
      <c r="B107" t="s">
        <v>132</v>
      </c>
      <c r="C107">
        <v>9194</v>
      </c>
      <c r="D107" t="s">
        <v>154</v>
      </c>
      <c r="E107" s="6">
        <v>1642</v>
      </c>
      <c r="G107" s="6">
        <f t="shared" si="1"/>
        <v>1642</v>
      </c>
      <c r="K107" s="18"/>
    </row>
    <row r="108" spans="1:11" x14ac:dyDescent="0.2">
      <c r="A108">
        <v>3975</v>
      </c>
      <c r="B108" t="s">
        <v>148</v>
      </c>
      <c r="C108">
        <v>9188</v>
      </c>
      <c r="D108" t="s">
        <v>154</v>
      </c>
      <c r="E108" s="6">
        <v>2604</v>
      </c>
      <c r="G108" s="6">
        <f t="shared" si="1"/>
        <v>2604</v>
      </c>
      <c r="K108" s="18"/>
    </row>
    <row r="109" spans="1:11" x14ac:dyDescent="0.2">
      <c r="A109">
        <v>11641</v>
      </c>
      <c r="B109" t="s">
        <v>133</v>
      </c>
      <c r="C109">
        <v>9183</v>
      </c>
      <c r="D109" t="s">
        <v>154</v>
      </c>
      <c r="E109" s="6">
        <v>3429</v>
      </c>
      <c r="G109" s="6">
        <f t="shared" si="1"/>
        <v>3429</v>
      </c>
      <c r="K109" s="18"/>
    </row>
    <row r="110" spans="1:11" x14ac:dyDescent="0.2">
      <c r="A110">
        <v>8573</v>
      </c>
      <c r="B110" t="s">
        <v>53</v>
      </c>
      <c r="C110">
        <v>9247</v>
      </c>
      <c r="D110" t="s">
        <v>154</v>
      </c>
      <c r="E110" s="6">
        <v>21087</v>
      </c>
      <c r="G110" s="6">
        <f t="shared" si="1"/>
        <v>21087</v>
      </c>
      <c r="K110" s="18"/>
    </row>
    <row r="111" spans="1:11" x14ac:dyDescent="0.2">
      <c r="A111">
        <v>6321</v>
      </c>
      <c r="B111" t="s">
        <v>113</v>
      </c>
      <c r="C111">
        <v>9241</v>
      </c>
      <c r="D111" t="s">
        <v>154</v>
      </c>
      <c r="E111" s="6">
        <v>29959</v>
      </c>
      <c r="G111" s="6">
        <f t="shared" si="1"/>
        <v>29959</v>
      </c>
      <c r="K111" s="18"/>
    </row>
    <row r="112" spans="1:11" s="9" customFormat="1" x14ac:dyDescent="0.2">
      <c r="E112" s="10">
        <f>SUM(E105:E111)</f>
        <v>60324</v>
      </c>
      <c r="F112" s="10">
        <f>SUM(F105:F111)</f>
        <v>0</v>
      </c>
      <c r="G112" s="10">
        <f>SUM(G105:G111)</f>
        <v>60324</v>
      </c>
      <c r="H112" s="14">
        <v>7.79</v>
      </c>
      <c r="I112" s="14">
        <f>ROUND(G112*H112,2)</f>
        <v>469923.96</v>
      </c>
    </row>
    <row r="115" spans="2:9" s="9" customFormat="1" x14ac:dyDescent="0.2">
      <c r="B115" s="9" t="s">
        <v>216</v>
      </c>
      <c r="E115" s="10">
        <f>+E112+E102+E97+E66+E49+E23</f>
        <v>-283797</v>
      </c>
      <c r="F115" s="10">
        <f>+F112+F102+F97+F66+F49+F23</f>
        <v>0</v>
      </c>
      <c r="G115" s="10">
        <f>+G112+G102+G97+G66+G49+G23</f>
        <v>-283797</v>
      </c>
      <c r="H115" s="14"/>
      <c r="I115" s="14">
        <f>+I112+I102+I97+I66+I49+I23</f>
        <v>-1902965.5199999998</v>
      </c>
    </row>
    <row r="118" spans="2:9" x14ac:dyDescent="0.2">
      <c r="B118" t="s">
        <v>225</v>
      </c>
      <c r="G118" s="6">
        <f>+G102+G66+G23</f>
        <v>-540023</v>
      </c>
      <c r="I118" s="13">
        <f>+I102+I66+I23</f>
        <v>-3898966.06</v>
      </c>
    </row>
    <row r="120" spans="2:9" x14ac:dyDescent="0.2">
      <c r="B120" t="s">
        <v>226</v>
      </c>
      <c r="G120" s="6">
        <f>+G112+G97+G49</f>
        <v>256226</v>
      </c>
      <c r="I120" s="13">
        <f>+I112+I97+I49</f>
        <v>1996000.54</v>
      </c>
    </row>
    <row r="122" spans="2:9" x14ac:dyDescent="0.2">
      <c r="B122" t="s">
        <v>227</v>
      </c>
      <c r="G122" s="6">
        <f>SUM(G118:G121)</f>
        <v>-283797</v>
      </c>
      <c r="I122" s="13">
        <f>SUM(I118:I121)</f>
        <v>-1902965.52</v>
      </c>
    </row>
  </sheetData>
  <phoneticPr fontId="0" type="noConversion"/>
  <pageMargins left="0.75" right="0" top="1" bottom="1" header="0.5" footer="0.5"/>
  <pageSetup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B1" sqref="B1"/>
    </sheetView>
  </sheetViews>
  <sheetFormatPr defaultRowHeight="12.75" x14ac:dyDescent="0.2"/>
  <cols>
    <col min="1" max="1" width="8.42578125" customWidth="1"/>
    <col min="2" max="2" width="35.140625" bestFit="1" customWidth="1"/>
    <col min="3" max="3" width="8.5703125" customWidth="1"/>
    <col min="4" max="4" width="19.28515625" bestFit="1" customWidth="1"/>
    <col min="5" max="5" width="13.140625" style="6" customWidth="1"/>
    <col min="6" max="6" width="8.42578125" style="6" bestFit="1" customWidth="1"/>
    <col min="7" max="7" width="11.7109375" style="6" customWidth="1"/>
    <col min="8" max="8" width="9.140625" style="13"/>
    <col min="9" max="9" width="14" style="13" bestFit="1" customWidth="1"/>
  </cols>
  <sheetData>
    <row r="1" spans="1:10" s="9" customFormat="1" x14ac:dyDescent="0.2">
      <c r="A1" s="9" t="s">
        <v>73</v>
      </c>
      <c r="E1" s="10"/>
      <c r="F1" s="10"/>
      <c r="G1" s="10"/>
      <c r="H1" s="14"/>
      <c r="I1" s="14"/>
    </row>
    <row r="2" spans="1:10" s="9" customFormat="1" x14ac:dyDescent="0.2">
      <c r="A2" s="15">
        <v>36892</v>
      </c>
      <c r="E2" s="10"/>
      <c r="F2" s="10"/>
      <c r="G2" s="10"/>
      <c r="H2" s="14"/>
      <c r="I2" s="14"/>
    </row>
    <row r="3" spans="1:10" s="1" customFormat="1" ht="38.25" customHeight="1" x14ac:dyDescent="0.2">
      <c r="A3" s="1" t="s">
        <v>0</v>
      </c>
      <c r="B3" s="1" t="s">
        <v>164</v>
      </c>
      <c r="C3" s="1" t="s">
        <v>170</v>
      </c>
      <c r="D3" s="1" t="s">
        <v>3</v>
      </c>
      <c r="E3" s="16" t="s">
        <v>4</v>
      </c>
      <c r="F3" s="16" t="s">
        <v>88</v>
      </c>
      <c r="G3" s="16" t="s">
        <v>89</v>
      </c>
      <c r="H3" s="17"/>
      <c r="I3" s="17"/>
    </row>
    <row r="4" spans="1:10" x14ac:dyDescent="0.2">
      <c r="A4" s="20">
        <v>655</v>
      </c>
      <c r="B4" s="20" t="s">
        <v>90</v>
      </c>
      <c r="C4" s="20">
        <v>9290</v>
      </c>
      <c r="D4" s="20" t="s">
        <v>91</v>
      </c>
      <c r="E4" s="29">
        <v>-376317</v>
      </c>
      <c r="F4" s="29"/>
      <c r="G4" s="29">
        <f t="shared" ref="G4:G70" si="0">+E4+F4</f>
        <v>-376317</v>
      </c>
      <c r="H4" s="23"/>
      <c r="I4" s="23"/>
      <c r="J4" s="20"/>
    </row>
    <row r="5" spans="1:10" x14ac:dyDescent="0.2">
      <c r="A5" s="20">
        <v>11793</v>
      </c>
      <c r="B5" s="20" t="s">
        <v>93</v>
      </c>
      <c r="C5" s="20">
        <v>9298</v>
      </c>
      <c r="D5" s="20" t="s">
        <v>91</v>
      </c>
      <c r="E5" s="29">
        <v>-282253</v>
      </c>
      <c r="F5" s="29">
        <f>19589+1191+15560+77-14-2989</f>
        <v>33414</v>
      </c>
      <c r="G5" s="29">
        <f t="shared" si="0"/>
        <v>-248839</v>
      </c>
      <c r="H5" s="23"/>
      <c r="I5" s="23"/>
      <c r="J5" s="20"/>
    </row>
    <row r="6" spans="1:10" x14ac:dyDescent="0.2">
      <c r="A6" s="20">
        <v>5736</v>
      </c>
      <c r="B6" s="20" t="s">
        <v>123</v>
      </c>
      <c r="C6" s="20">
        <v>9292</v>
      </c>
      <c r="D6" s="20" t="s">
        <v>91</v>
      </c>
      <c r="E6" s="29">
        <v>18429</v>
      </c>
      <c r="F6" s="29">
        <v>-101517</v>
      </c>
      <c r="G6" s="29">
        <f t="shared" si="0"/>
        <v>-83088</v>
      </c>
      <c r="H6" s="23"/>
      <c r="I6" s="23"/>
      <c r="J6" s="20"/>
    </row>
    <row r="7" spans="1:10" x14ac:dyDescent="0.2">
      <c r="A7" s="20">
        <v>6268</v>
      </c>
      <c r="B7" s="20" t="s">
        <v>96</v>
      </c>
      <c r="C7" s="20">
        <v>9288</v>
      </c>
      <c r="D7" s="20" t="s">
        <v>101</v>
      </c>
      <c r="E7" s="29">
        <v>-37111</v>
      </c>
      <c r="F7" s="29">
        <f>1602+1874</f>
        <v>3476</v>
      </c>
      <c r="G7" s="29">
        <f t="shared" si="0"/>
        <v>-33635</v>
      </c>
      <c r="H7" s="23"/>
      <c r="I7" s="23"/>
      <c r="J7" s="20"/>
    </row>
    <row r="8" spans="1:10" x14ac:dyDescent="0.2">
      <c r="A8" s="20">
        <v>4109</v>
      </c>
      <c r="B8" s="20" t="s">
        <v>92</v>
      </c>
      <c r="C8" s="20">
        <v>9330</v>
      </c>
      <c r="D8" s="20" t="s">
        <v>91</v>
      </c>
      <c r="E8" s="29">
        <v>-25826</v>
      </c>
      <c r="F8" s="29"/>
      <c r="G8" s="29">
        <f t="shared" si="0"/>
        <v>-25826</v>
      </c>
      <c r="H8" s="23"/>
      <c r="I8" s="23"/>
      <c r="J8" s="20"/>
    </row>
    <row r="9" spans="1:10" x14ac:dyDescent="0.2">
      <c r="A9" s="20">
        <v>4175</v>
      </c>
      <c r="B9" s="20" t="s">
        <v>104</v>
      </c>
      <c r="C9" s="20">
        <v>9263</v>
      </c>
      <c r="D9" s="20" t="s">
        <v>91</v>
      </c>
      <c r="E9" s="29">
        <v>-23676</v>
      </c>
      <c r="F9" s="29">
        <v>33</v>
      </c>
      <c r="G9" s="29">
        <f t="shared" si="0"/>
        <v>-23643</v>
      </c>
      <c r="H9" s="23"/>
      <c r="I9" s="23"/>
      <c r="J9" s="20"/>
    </row>
    <row r="10" spans="1:10" x14ac:dyDescent="0.2">
      <c r="A10" s="20">
        <v>11516</v>
      </c>
      <c r="B10" s="20" t="s">
        <v>95</v>
      </c>
      <c r="C10" s="20">
        <v>9309</v>
      </c>
      <c r="D10" s="20" t="s">
        <v>91</v>
      </c>
      <c r="E10" s="29">
        <v>-18924</v>
      </c>
      <c r="F10" s="29"/>
      <c r="G10" s="29">
        <f t="shared" si="0"/>
        <v>-18924</v>
      </c>
      <c r="H10" s="23"/>
      <c r="I10" s="23"/>
      <c r="J10" s="20"/>
    </row>
    <row r="11" spans="1:10" x14ac:dyDescent="0.2">
      <c r="A11" s="20">
        <v>4120</v>
      </c>
      <c r="B11" s="20" t="s">
        <v>94</v>
      </c>
      <c r="C11" s="20">
        <v>9315</v>
      </c>
      <c r="D11" s="20" t="s">
        <v>91</v>
      </c>
      <c r="E11" s="29">
        <v>-12043</v>
      </c>
      <c r="F11" s="29"/>
      <c r="G11" s="29">
        <f t="shared" si="0"/>
        <v>-12043</v>
      </c>
      <c r="H11" s="23"/>
      <c r="I11" s="23"/>
      <c r="J11" s="20"/>
    </row>
    <row r="12" spans="1:10" x14ac:dyDescent="0.2">
      <c r="A12" s="20">
        <v>330</v>
      </c>
      <c r="B12" s="20" t="s">
        <v>165</v>
      </c>
      <c r="C12" s="20">
        <v>9281</v>
      </c>
      <c r="D12" s="20" t="s">
        <v>101</v>
      </c>
      <c r="E12" s="29">
        <v>-8470</v>
      </c>
      <c r="F12" s="29"/>
      <c r="G12" s="29">
        <f t="shared" si="0"/>
        <v>-8470</v>
      </c>
      <c r="H12" s="23"/>
      <c r="I12" s="23"/>
      <c r="J12" s="20"/>
    </row>
    <row r="13" spans="1:10" x14ac:dyDescent="0.2">
      <c r="A13" s="20">
        <v>11420</v>
      </c>
      <c r="B13" s="20" t="s">
        <v>97</v>
      </c>
      <c r="C13" s="20">
        <v>9307</v>
      </c>
      <c r="D13" s="20" t="s">
        <v>91</v>
      </c>
      <c r="E13" s="29">
        <f>-14149+5217</f>
        <v>-8932</v>
      </c>
      <c r="F13" s="29">
        <v>522</v>
      </c>
      <c r="G13" s="29">
        <f t="shared" si="0"/>
        <v>-8410</v>
      </c>
      <c r="H13" s="23"/>
      <c r="I13" s="23"/>
      <c r="J13" s="20"/>
    </row>
    <row r="14" spans="1:10" x14ac:dyDescent="0.2">
      <c r="A14" s="20">
        <v>4101</v>
      </c>
      <c r="B14" s="20" t="s">
        <v>110</v>
      </c>
      <c r="C14" s="20">
        <v>9303</v>
      </c>
      <c r="D14" s="20" t="s">
        <v>91</v>
      </c>
      <c r="E14" s="29">
        <v>-8101</v>
      </c>
      <c r="F14" s="29"/>
      <c r="G14" s="29">
        <f t="shared" si="0"/>
        <v>-8101</v>
      </c>
      <c r="H14" s="23"/>
      <c r="I14" s="23"/>
      <c r="J14" s="20"/>
    </row>
    <row r="15" spans="1:10" x14ac:dyDescent="0.2">
      <c r="A15" s="20">
        <v>6075</v>
      </c>
      <c r="B15" s="20" t="s">
        <v>114</v>
      </c>
      <c r="C15" s="20">
        <v>9322</v>
      </c>
      <c r="D15" s="20" t="s">
        <v>91</v>
      </c>
      <c r="E15" s="29">
        <v>-7295</v>
      </c>
      <c r="F15" s="29"/>
      <c r="G15" s="29">
        <f t="shared" si="0"/>
        <v>-7295</v>
      </c>
      <c r="H15" s="23"/>
      <c r="I15" s="23"/>
      <c r="J15" s="20"/>
    </row>
    <row r="16" spans="1:10" x14ac:dyDescent="0.2">
      <c r="A16" s="20">
        <v>11793</v>
      </c>
      <c r="B16" s="20" t="s">
        <v>93</v>
      </c>
      <c r="C16" s="20">
        <v>9300</v>
      </c>
      <c r="D16" s="20" t="s">
        <v>101</v>
      </c>
      <c r="E16" s="29">
        <v>-9552</v>
      </c>
      <c r="F16" s="29">
        <f>3245+40</f>
        <v>3285</v>
      </c>
      <c r="G16" s="29">
        <f t="shared" si="0"/>
        <v>-6267</v>
      </c>
      <c r="H16" s="23"/>
      <c r="I16" s="23"/>
      <c r="J16" s="20"/>
    </row>
    <row r="17" spans="1:10" x14ac:dyDescent="0.2">
      <c r="A17" s="20">
        <v>11793</v>
      </c>
      <c r="B17" s="20" t="s">
        <v>93</v>
      </c>
      <c r="C17" s="20">
        <v>9299</v>
      </c>
      <c r="D17" s="20" t="s">
        <v>121</v>
      </c>
      <c r="E17" s="29">
        <v>-5457</v>
      </c>
      <c r="F17" s="29"/>
      <c r="G17" s="29">
        <f>+E17+F17</f>
        <v>-5457</v>
      </c>
      <c r="H17" s="23"/>
      <c r="I17" s="23"/>
      <c r="J17" s="20"/>
    </row>
    <row r="18" spans="1:10" x14ac:dyDescent="0.2">
      <c r="A18" s="20">
        <v>4133</v>
      </c>
      <c r="B18" s="20" t="s">
        <v>116</v>
      </c>
      <c r="C18" s="20">
        <v>9328</v>
      </c>
      <c r="D18" s="20" t="s">
        <v>91</v>
      </c>
      <c r="E18" s="29">
        <v>-4968</v>
      </c>
      <c r="F18" s="29"/>
      <c r="G18" s="29">
        <f t="shared" si="0"/>
        <v>-4968</v>
      </c>
      <c r="H18" s="23"/>
      <c r="I18" s="23"/>
      <c r="J18" s="20"/>
    </row>
    <row r="19" spans="1:10" x14ac:dyDescent="0.2">
      <c r="A19" s="20">
        <v>4084</v>
      </c>
      <c r="B19" s="20" t="s">
        <v>108</v>
      </c>
      <c r="C19" s="20">
        <v>9294</v>
      </c>
      <c r="D19" s="20" t="s">
        <v>101</v>
      </c>
      <c r="E19" s="29">
        <v>-4921</v>
      </c>
      <c r="F19" s="29"/>
      <c r="G19" s="29">
        <f t="shared" si="0"/>
        <v>-4921</v>
      </c>
      <c r="H19" s="23"/>
      <c r="I19" s="23"/>
      <c r="J19" s="20"/>
    </row>
    <row r="20" spans="1:10" x14ac:dyDescent="0.2">
      <c r="A20" s="20">
        <v>4118</v>
      </c>
      <c r="B20" s="20" t="s">
        <v>99</v>
      </c>
      <c r="C20" s="20">
        <v>9311</v>
      </c>
      <c r="D20" s="20" t="s">
        <v>91</v>
      </c>
      <c r="E20" s="29">
        <v>-3584</v>
      </c>
      <c r="F20" s="29"/>
      <c r="G20" s="29">
        <f t="shared" si="0"/>
        <v>-3584</v>
      </c>
      <c r="H20" s="23"/>
      <c r="I20" s="23"/>
      <c r="J20" s="20"/>
    </row>
    <row r="21" spans="1:10" x14ac:dyDescent="0.2">
      <c r="A21" s="20">
        <v>13252</v>
      </c>
      <c r="B21" s="20" t="s">
        <v>157</v>
      </c>
      <c r="C21" s="20">
        <v>9301</v>
      </c>
      <c r="D21" s="20" t="s">
        <v>91</v>
      </c>
      <c r="E21" s="29">
        <v>-3083</v>
      </c>
      <c r="F21" s="29"/>
      <c r="G21" s="29">
        <f t="shared" si="0"/>
        <v>-3083</v>
      </c>
      <c r="H21" s="23"/>
      <c r="I21" s="23"/>
      <c r="J21" s="20"/>
    </row>
    <row r="22" spans="1:10" x14ac:dyDescent="0.2">
      <c r="A22" s="20">
        <v>4131</v>
      </c>
      <c r="B22" s="20" t="s">
        <v>118</v>
      </c>
      <c r="C22" s="20">
        <v>9325</v>
      </c>
      <c r="D22" s="20" t="s">
        <v>101</v>
      </c>
      <c r="E22" s="29">
        <v>-2461</v>
      </c>
      <c r="F22" s="29"/>
      <c r="G22" s="29">
        <f t="shared" si="0"/>
        <v>-2461</v>
      </c>
      <c r="H22" s="23"/>
      <c r="I22" s="23"/>
      <c r="J22" s="20"/>
    </row>
    <row r="23" spans="1:10" x14ac:dyDescent="0.2">
      <c r="A23" s="20">
        <v>11185</v>
      </c>
      <c r="B23" s="20" t="s">
        <v>119</v>
      </c>
      <c r="C23" s="20">
        <v>9304</v>
      </c>
      <c r="D23" s="20" t="s">
        <v>91</v>
      </c>
      <c r="E23" s="29">
        <v>-1925</v>
      </c>
      <c r="F23" s="29"/>
      <c r="G23" s="29">
        <f t="shared" si="0"/>
        <v>-1925</v>
      </c>
      <c r="H23" s="23"/>
      <c r="I23" s="23"/>
      <c r="J23" s="20"/>
    </row>
    <row r="24" spans="1:10" x14ac:dyDescent="0.2">
      <c r="A24" s="20">
        <v>3974</v>
      </c>
      <c r="B24" s="20" t="s">
        <v>115</v>
      </c>
      <c r="C24" s="20">
        <v>9324</v>
      </c>
      <c r="D24" s="20" t="s">
        <v>91</v>
      </c>
      <c r="E24" s="29">
        <v>-753</v>
      </c>
      <c r="F24" s="29"/>
      <c r="G24" s="29">
        <f t="shared" si="0"/>
        <v>-753</v>
      </c>
      <c r="H24" s="23"/>
      <c r="I24" s="23"/>
      <c r="J24" s="20"/>
    </row>
    <row r="25" spans="1:10" x14ac:dyDescent="0.2">
      <c r="A25" s="20">
        <v>6321</v>
      </c>
      <c r="B25" s="20" t="s">
        <v>113</v>
      </c>
      <c r="C25" s="20">
        <v>9321</v>
      </c>
      <c r="D25" s="20" t="s">
        <v>91</v>
      </c>
      <c r="E25" s="29">
        <v>-32</v>
      </c>
      <c r="F25" s="29"/>
      <c r="G25" s="29">
        <f t="shared" si="0"/>
        <v>-32</v>
      </c>
      <c r="H25" s="23"/>
      <c r="I25" s="23"/>
      <c r="J25" s="20"/>
    </row>
    <row r="26" spans="1:10" s="9" customFormat="1" x14ac:dyDescent="0.2">
      <c r="A26" s="24"/>
      <c r="B26" s="24" t="s">
        <v>220</v>
      </c>
      <c r="C26" s="24"/>
      <c r="D26" s="24"/>
      <c r="E26" s="30">
        <f>SUM(E4:E25)</f>
        <v>-827255</v>
      </c>
      <c r="F26" s="30">
        <f>SUM(F4:F25)</f>
        <v>-60787</v>
      </c>
      <c r="G26" s="30">
        <f>SUM(G4:G25)</f>
        <v>-888042</v>
      </c>
      <c r="H26" s="27">
        <v>9.07</v>
      </c>
      <c r="I26" s="27">
        <f>ROUND(G26*H26,2)</f>
        <v>-8054540.9400000004</v>
      </c>
      <c r="J26" s="24"/>
    </row>
    <row r="27" spans="1:10" x14ac:dyDescent="0.2">
      <c r="A27" s="20"/>
      <c r="B27" s="20"/>
      <c r="C27" s="20"/>
      <c r="D27" s="20"/>
      <c r="E27" s="29"/>
      <c r="F27" s="29"/>
      <c r="G27" s="29"/>
      <c r="H27" s="23"/>
      <c r="I27" s="23"/>
      <c r="J27" s="20"/>
    </row>
    <row r="28" spans="1:10" x14ac:dyDescent="0.2">
      <c r="A28" s="20"/>
      <c r="B28" s="20"/>
      <c r="C28" s="20"/>
      <c r="D28" s="20"/>
      <c r="E28" s="29"/>
      <c r="F28" s="29"/>
      <c r="G28" s="29"/>
      <c r="H28" s="23"/>
      <c r="I28" s="23"/>
      <c r="J28" s="20"/>
    </row>
    <row r="29" spans="1:10" x14ac:dyDescent="0.2">
      <c r="A29" s="20">
        <v>1004</v>
      </c>
      <c r="B29" s="20" t="s">
        <v>122</v>
      </c>
      <c r="C29" s="20">
        <v>9255</v>
      </c>
      <c r="D29" s="20" t="s">
        <v>91</v>
      </c>
      <c r="E29" s="29">
        <v>77</v>
      </c>
      <c r="F29" s="29">
        <v>-77</v>
      </c>
      <c r="G29" s="29">
        <f t="shared" si="0"/>
        <v>0</v>
      </c>
      <c r="H29" s="23"/>
      <c r="I29" s="23"/>
      <c r="J29" s="20"/>
    </row>
    <row r="30" spans="1:10" x14ac:dyDescent="0.2">
      <c r="A30" s="20">
        <v>11594</v>
      </c>
      <c r="B30" s="20" t="s">
        <v>100</v>
      </c>
      <c r="C30" s="20">
        <v>9257</v>
      </c>
      <c r="D30" s="20" t="s">
        <v>91</v>
      </c>
      <c r="E30" s="29">
        <v>-14</v>
      </c>
      <c r="F30" s="29">
        <v>14</v>
      </c>
      <c r="G30" s="29">
        <f t="shared" si="0"/>
        <v>0</v>
      </c>
      <c r="H30" s="23"/>
      <c r="I30" s="23"/>
      <c r="J30" s="20"/>
    </row>
    <row r="31" spans="1:10" x14ac:dyDescent="0.2">
      <c r="A31" s="20">
        <v>6228</v>
      </c>
      <c r="B31" s="20" t="s">
        <v>103</v>
      </c>
      <c r="C31" s="20">
        <v>9262</v>
      </c>
      <c r="D31" s="20" t="s">
        <v>91</v>
      </c>
      <c r="E31" s="29">
        <v>4302</v>
      </c>
      <c r="F31" s="29">
        <v>-4302</v>
      </c>
      <c r="G31" s="29">
        <f t="shared" si="0"/>
        <v>0</v>
      </c>
      <c r="H31" s="23"/>
      <c r="I31" s="23"/>
      <c r="J31" s="20"/>
    </row>
    <row r="32" spans="1:10" x14ac:dyDescent="0.2">
      <c r="A32" s="20">
        <v>4179</v>
      </c>
      <c r="B32" s="20" t="s">
        <v>105</v>
      </c>
      <c r="C32" s="20">
        <v>9267</v>
      </c>
      <c r="D32" s="20" t="s">
        <v>91</v>
      </c>
      <c r="E32" s="29">
        <v>-2989</v>
      </c>
      <c r="F32" s="29">
        <v>2989</v>
      </c>
      <c r="G32" s="29">
        <f t="shared" si="0"/>
        <v>0</v>
      </c>
      <c r="H32" s="23"/>
      <c r="I32" s="23"/>
      <c r="J32" s="20"/>
    </row>
    <row r="33" spans="1:10" x14ac:dyDescent="0.2">
      <c r="A33" s="20">
        <v>11687</v>
      </c>
      <c r="B33" s="20" t="s">
        <v>106</v>
      </c>
      <c r="C33" s="20">
        <v>9273</v>
      </c>
      <c r="D33" s="20" t="s">
        <v>91</v>
      </c>
      <c r="E33" s="29">
        <v>522</v>
      </c>
      <c r="F33" s="29">
        <v>-522</v>
      </c>
      <c r="G33" s="29">
        <f t="shared" si="0"/>
        <v>0</v>
      </c>
      <c r="H33" s="23"/>
      <c r="I33" s="23"/>
      <c r="J33" s="20"/>
    </row>
    <row r="34" spans="1:10" x14ac:dyDescent="0.2">
      <c r="A34" s="20">
        <v>12907</v>
      </c>
      <c r="B34" s="20" t="s">
        <v>166</v>
      </c>
      <c r="C34" s="20">
        <v>9278</v>
      </c>
      <c r="D34" s="20" t="s">
        <v>91</v>
      </c>
      <c r="E34" s="29">
        <v>-19705</v>
      </c>
      <c r="F34" s="29">
        <v>19705</v>
      </c>
      <c r="G34" s="29">
        <f t="shared" si="0"/>
        <v>0</v>
      </c>
      <c r="H34" s="23"/>
      <c r="I34" s="23"/>
      <c r="J34" s="20"/>
    </row>
    <row r="35" spans="1:10" x14ac:dyDescent="0.2">
      <c r="A35" s="20">
        <v>11729</v>
      </c>
      <c r="B35" s="20" t="s">
        <v>109</v>
      </c>
      <c r="C35" s="20">
        <v>9295</v>
      </c>
      <c r="D35" s="20" t="s">
        <v>91</v>
      </c>
      <c r="E35" s="29">
        <v>29</v>
      </c>
      <c r="F35" s="29">
        <v>-29</v>
      </c>
      <c r="G35" s="29">
        <f t="shared" si="0"/>
        <v>0</v>
      </c>
      <c r="H35" s="23"/>
      <c r="I35" s="23"/>
      <c r="J35" s="20"/>
    </row>
    <row r="36" spans="1:10" x14ac:dyDescent="0.2">
      <c r="A36" s="20">
        <v>2974</v>
      </c>
      <c r="B36" s="20" t="s">
        <v>111</v>
      </c>
      <c r="C36" s="20">
        <v>9312</v>
      </c>
      <c r="D36" s="20" t="s">
        <v>91</v>
      </c>
      <c r="E36" s="29">
        <v>33</v>
      </c>
      <c r="F36" s="29">
        <v>-33</v>
      </c>
      <c r="G36" s="29">
        <f t="shared" si="0"/>
        <v>0</v>
      </c>
      <c r="H36" s="23"/>
      <c r="I36" s="23"/>
      <c r="J36" s="20"/>
    </row>
    <row r="37" spans="1:10" x14ac:dyDescent="0.2">
      <c r="A37" s="20">
        <v>4079</v>
      </c>
      <c r="B37" s="20" t="s">
        <v>112</v>
      </c>
      <c r="C37" s="20">
        <v>9318</v>
      </c>
      <c r="D37" s="20" t="s">
        <v>91</v>
      </c>
      <c r="E37" s="29">
        <v>-3140</v>
      </c>
      <c r="F37" s="29">
        <v>3140</v>
      </c>
      <c r="G37" s="29">
        <f t="shared" si="0"/>
        <v>0</v>
      </c>
      <c r="H37" s="23"/>
      <c r="I37" s="23"/>
      <c r="J37" s="20"/>
    </row>
    <row r="38" spans="1:10" x14ac:dyDescent="0.2">
      <c r="A38" s="20">
        <v>6431</v>
      </c>
      <c r="B38" s="20" t="s">
        <v>117</v>
      </c>
      <c r="C38" s="20">
        <v>9331</v>
      </c>
      <c r="D38" s="20" t="s">
        <v>91</v>
      </c>
      <c r="E38" s="29">
        <v>15560</v>
      </c>
      <c r="F38" s="29">
        <v>-15560</v>
      </c>
      <c r="G38" s="29">
        <f t="shared" si="0"/>
        <v>0</v>
      </c>
      <c r="H38" s="23"/>
      <c r="I38" s="23"/>
      <c r="J38" s="20"/>
    </row>
    <row r="39" spans="1:10" x14ac:dyDescent="0.2">
      <c r="A39" s="20">
        <v>11594</v>
      </c>
      <c r="B39" s="20" t="s">
        <v>100</v>
      </c>
      <c r="C39" s="20">
        <v>9258</v>
      </c>
      <c r="D39" s="20" t="s">
        <v>101</v>
      </c>
      <c r="E39" s="29">
        <v>40</v>
      </c>
      <c r="F39" s="29">
        <v>-40</v>
      </c>
      <c r="G39" s="29">
        <f t="shared" si="0"/>
        <v>0</v>
      </c>
      <c r="H39" s="23"/>
      <c r="I39" s="23"/>
      <c r="J39" s="20"/>
    </row>
    <row r="40" spans="1:10" x14ac:dyDescent="0.2">
      <c r="A40" s="20">
        <v>4175</v>
      </c>
      <c r="B40" s="20" t="s">
        <v>104</v>
      </c>
      <c r="C40" s="20">
        <v>9264</v>
      </c>
      <c r="D40" s="20" t="s">
        <v>101</v>
      </c>
      <c r="E40" s="29">
        <v>1602</v>
      </c>
      <c r="F40" s="29">
        <v>-1602</v>
      </c>
      <c r="G40" s="29">
        <f t="shared" si="0"/>
        <v>0</v>
      </c>
      <c r="H40" s="23"/>
      <c r="I40" s="23"/>
      <c r="J40" s="20"/>
    </row>
    <row r="41" spans="1:10" x14ac:dyDescent="0.2">
      <c r="A41" s="20">
        <v>2974</v>
      </c>
      <c r="B41" s="20" t="s">
        <v>111</v>
      </c>
      <c r="C41" s="20">
        <v>9313</v>
      </c>
      <c r="D41" s="20" t="s">
        <v>101</v>
      </c>
      <c r="E41" s="29">
        <v>1874</v>
      </c>
      <c r="F41" s="29">
        <v>-1874</v>
      </c>
      <c r="G41" s="29">
        <f t="shared" si="0"/>
        <v>0</v>
      </c>
      <c r="H41" s="23"/>
      <c r="I41" s="23"/>
      <c r="J41" s="20"/>
    </row>
    <row r="42" spans="1:10" x14ac:dyDescent="0.2">
      <c r="A42" s="20">
        <v>4120</v>
      </c>
      <c r="B42" s="20" t="s">
        <v>94</v>
      </c>
      <c r="C42" s="20">
        <v>9316</v>
      </c>
      <c r="D42" s="20" t="s">
        <v>101</v>
      </c>
      <c r="E42" s="29">
        <v>25292</v>
      </c>
      <c r="F42" s="29">
        <v>-25292</v>
      </c>
      <c r="G42" s="29">
        <f t="shared" si="0"/>
        <v>0</v>
      </c>
      <c r="H42" s="23"/>
      <c r="I42" s="23"/>
      <c r="J42" s="20"/>
    </row>
    <row r="43" spans="1:10" x14ac:dyDescent="0.2">
      <c r="A43" s="20">
        <v>6268</v>
      </c>
      <c r="B43" s="20" t="s">
        <v>96</v>
      </c>
      <c r="C43" s="20">
        <v>9287</v>
      </c>
      <c r="D43" s="20" t="s">
        <v>121</v>
      </c>
      <c r="E43" s="29">
        <v>-4906</v>
      </c>
      <c r="F43" s="29">
        <v>4906</v>
      </c>
      <c r="G43" s="29">
        <f>+E43+F43</f>
        <v>0</v>
      </c>
      <c r="H43" s="23"/>
      <c r="I43" s="23"/>
      <c r="J43" s="20"/>
    </row>
    <row r="44" spans="1:10" x14ac:dyDescent="0.2">
      <c r="A44" s="20">
        <v>6268</v>
      </c>
      <c r="B44" s="20" t="s">
        <v>96</v>
      </c>
      <c r="C44" s="20">
        <v>9286</v>
      </c>
      <c r="D44" s="20" t="s">
        <v>91</v>
      </c>
      <c r="E44" s="29">
        <v>-57272</v>
      </c>
      <c r="F44" s="29">
        <f>-19589-4906+101517-19705</f>
        <v>57317</v>
      </c>
      <c r="G44" s="29">
        <f t="shared" si="0"/>
        <v>45</v>
      </c>
      <c r="H44" s="23"/>
      <c r="I44" s="23"/>
      <c r="J44" s="20"/>
    </row>
    <row r="45" spans="1:10" x14ac:dyDescent="0.2">
      <c r="A45" s="20">
        <v>287</v>
      </c>
      <c r="B45" s="20" t="s">
        <v>98</v>
      </c>
      <c r="C45" s="20">
        <v>9282</v>
      </c>
      <c r="D45" s="20" t="s">
        <v>91</v>
      </c>
      <c r="E45" s="29">
        <v>897</v>
      </c>
      <c r="F45" s="29"/>
      <c r="G45" s="29">
        <f t="shared" si="0"/>
        <v>897</v>
      </c>
      <c r="H45" s="23"/>
      <c r="I45" s="23"/>
      <c r="J45" s="20"/>
    </row>
    <row r="46" spans="1:10" s="9" customFormat="1" x14ac:dyDescent="0.2">
      <c r="A46" s="24"/>
      <c r="B46" s="24" t="s">
        <v>218</v>
      </c>
      <c r="C46" s="24"/>
      <c r="D46" s="24"/>
      <c r="E46" s="30">
        <f>SUM(E29:E45)</f>
        <v>-37798</v>
      </c>
      <c r="F46" s="30">
        <f>SUM(F29:F45)</f>
        <v>38740</v>
      </c>
      <c r="G46" s="30">
        <f>SUM(G29:G45)</f>
        <v>942</v>
      </c>
      <c r="H46" s="27">
        <v>9.19</v>
      </c>
      <c r="I46" s="27">
        <f>ROUND(G46*H46,2)</f>
        <v>8656.98</v>
      </c>
      <c r="J46" s="24"/>
    </row>
    <row r="47" spans="1:10" x14ac:dyDescent="0.2">
      <c r="A47" s="20"/>
      <c r="B47" s="20"/>
      <c r="C47" s="20"/>
      <c r="D47" s="20"/>
      <c r="E47" s="29"/>
      <c r="F47" s="29"/>
      <c r="G47" s="29"/>
      <c r="H47" s="23"/>
      <c r="I47" s="23"/>
      <c r="J47" s="20"/>
    </row>
    <row r="48" spans="1:10" s="9" customFormat="1" x14ac:dyDescent="0.2">
      <c r="A48" s="24"/>
      <c r="B48" s="24" t="s">
        <v>69</v>
      </c>
      <c r="C48" s="24"/>
      <c r="D48" s="24"/>
      <c r="E48" s="30"/>
      <c r="F48" s="30"/>
      <c r="G48" s="30">
        <f>+G26+G46</f>
        <v>-887100</v>
      </c>
      <c r="H48" s="27"/>
      <c r="I48" s="27"/>
      <c r="J48" s="24"/>
    </row>
    <row r="49" spans="1:10" s="9" customFormat="1" x14ac:dyDescent="0.2">
      <c r="A49" s="24"/>
      <c r="B49" s="24"/>
      <c r="C49" s="24"/>
      <c r="D49" s="24"/>
      <c r="E49" s="30"/>
      <c r="F49" s="30"/>
      <c r="G49" s="30"/>
      <c r="H49" s="27"/>
      <c r="I49" s="27"/>
      <c r="J49" s="24"/>
    </row>
    <row r="50" spans="1:10" s="9" customFormat="1" x14ac:dyDescent="0.2">
      <c r="A50" s="24"/>
      <c r="B50" s="24" t="s">
        <v>171</v>
      </c>
      <c r="C50" s="24"/>
      <c r="D50" s="24"/>
      <c r="E50" s="30"/>
      <c r="F50" s="30"/>
      <c r="G50" s="30">
        <v>-914508</v>
      </c>
      <c r="H50" s="27"/>
      <c r="I50" s="27"/>
      <c r="J50" s="24"/>
    </row>
    <row r="51" spans="1:10" s="9" customFormat="1" x14ac:dyDescent="0.2">
      <c r="A51" s="24"/>
      <c r="B51" s="24" t="s">
        <v>172</v>
      </c>
      <c r="C51" s="24"/>
      <c r="D51" s="24"/>
      <c r="E51" s="30"/>
      <c r="F51" s="30"/>
      <c r="G51" s="30">
        <v>-32948</v>
      </c>
      <c r="H51" s="27"/>
      <c r="I51" s="27"/>
      <c r="J51" s="24"/>
    </row>
    <row r="52" spans="1:10" s="9" customFormat="1" x14ac:dyDescent="0.2">
      <c r="A52" s="24"/>
      <c r="B52" s="24" t="s">
        <v>71</v>
      </c>
      <c r="C52" s="24"/>
      <c r="D52" s="24"/>
      <c r="E52" s="30"/>
      <c r="F52" s="30"/>
      <c r="G52" s="30">
        <f>+G48-G50-G51</f>
        <v>60356</v>
      </c>
      <c r="H52" s="27"/>
      <c r="I52" s="27"/>
      <c r="J52" s="24"/>
    </row>
    <row r="53" spans="1:10" x14ac:dyDescent="0.2">
      <c r="A53" s="20"/>
      <c r="B53" s="20"/>
      <c r="C53" s="20"/>
      <c r="D53" s="20"/>
      <c r="E53" s="29"/>
      <c r="F53" s="29"/>
      <c r="G53" s="29"/>
      <c r="H53" s="23"/>
      <c r="I53" s="23"/>
      <c r="J53" s="20"/>
    </row>
    <row r="54" spans="1:10" x14ac:dyDescent="0.2">
      <c r="A54" s="20"/>
      <c r="B54" s="20"/>
      <c r="C54" s="20"/>
      <c r="D54" s="20"/>
      <c r="E54" s="29"/>
      <c r="F54" s="29"/>
      <c r="G54" s="29"/>
      <c r="H54" s="23"/>
      <c r="I54" s="23"/>
      <c r="J54" s="20"/>
    </row>
    <row r="55" spans="1:10" x14ac:dyDescent="0.2">
      <c r="A55" s="20">
        <v>11687</v>
      </c>
      <c r="B55" s="20" t="s">
        <v>106</v>
      </c>
      <c r="C55" s="20">
        <v>9272</v>
      </c>
      <c r="D55" s="20" t="s">
        <v>127</v>
      </c>
      <c r="E55" s="29">
        <v>-121129</v>
      </c>
      <c r="F55" s="29">
        <f>99+15093+1857</f>
        <v>17049</v>
      </c>
      <c r="G55" s="29">
        <f t="shared" si="0"/>
        <v>-104080</v>
      </c>
      <c r="H55" s="23"/>
      <c r="I55" s="23"/>
      <c r="J55" s="20"/>
    </row>
    <row r="56" spans="1:10" x14ac:dyDescent="0.2">
      <c r="A56" s="20">
        <v>4997</v>
      </c>
      <c r="B56" s="20" t="s">
        <v>132</v>
      </c>
      <c r="C56" s="20">
        <v>9274</v>
      </c>
      <c r="D56" s="20" t="s">
        <v>127</v>
      </c>
      <c r="E56" s="29">
        <f>-37708-27002</f>
        <v>-64710</v>
      </c>
      <c r="F56" s="29">
        <v>37708</v>
      </c>
      <c r="G56" s="29">
        <f t="shared" ref="G56:G105" si="1">+E56+F56</f>
        <v>-27002</v>
      </c>
      <c r="H56" s="23"/>
      <c r="I56" s="23"/>
      <c r="J56" s="20"/>
    </row>
    <row r="57" spans="1:10" x14ac:dyDescent="0.2">
      <c r="A57" s="20">
        <v>12673</v>
      </c>
      <c r="B57" s="20" t="s">
        <v>134</v>
      </c>
      <c r="C57" s="20">
        <v>9253</v>
      </c>
      <c r="D57" s="20" t="s">
        <v>127</v>
      </c>
      <c r="E57" s="29">
        <v>-1327</v>
      </c>
      <c r="F57" s="29"/>
      <c r="G57" s="29">
        <f>+E57+F57</f>
        <v>-1327</v>
      </c>
      <c r="H57" s="23"/>
      <c r="I57" s="23"/>
      <c r="J57" s="20"/>
    </row>
    <row r="58" spans="1:10" x14ac:dyDescent="0.2">
      <c r="A58" s="20">
        <v>330</v>
      </c>
      <c r="B58" s="20" t="s">
        <v>165</v>
      </c>
      <c r="C58" s="20">
        <v>9279</v>
      </c>
      <c r="D58" s="20" t="s">
        <v>127</v>
      </c>
      <c r="E58" s="29">
        <v>-813</v>
      </c>
      <c r="F58" s="29">
        <v>1</v>
      </c>
      <c r="G58" s="29">
        <f t="shared" si="0"/>
        <v>-812</v>
      </c>
      <c r="H58" s="23"/>
      <c r="I58" s="23"/>
      <c r="J58" s="20"/>
    </row>
    <row r="59" spans="1:10" x14ac:dyDescent="0.2">
      <c r="A59" s="20">
        <v>11793</v>
      </c>
      <c r="B59" s="20" t="s">
        <v>93</v>
      </c>
      <c r="C59" s="20">
        <v>9296</v>
      </c>
      <c r="D59" s="20" t="s">
        <v>127</v>
      </c>
      <c r="E59" s="29">
        <v>-32493</v>
      </c>
      <c r="F59" s="29">
        <f>218+25292+6802</f>
        <v>32312</v>
      </c>
      <c r="G59" s="29">
        <f t="shared" si="0"/>
        <v>-181</v>
      </c>
      <c r="H59" s="23"/>
      <c r="I59" s="23"/>
      <c r="J59" s="20"/>
    </row>
    <row r="60" spans="1:10" x14ac:dyDescent="0.2">
      <c r="A60" s="20">
        <v>11834</v>
      </c>
      <c r="B60" s="20" t="s">
        <v>173</v>
      </c>
      <c r="C60" s="20">
        <v>9327</v>
      </c>
      <c r="D60" s="20" t="s">
        <v>127</v>
      </c>
      <c r="E60" s="29">
        <v>-90</v>
      </c>
      <c r="F60" s="29"/>
      <c r="G60" s="29">
        <f t="shared" si="0"/>
        <v>-90</v>
      </c>
      <c r="H60" s="23"/>
      <c r="I60" s="23"/>
      <c r="J60" s="20"/>
    </row>
    <row r="61" spans="1:10" x14ac:dyDescent="0.2">
      <c r="A61" s="20">
        <v>11893</v>
      </c>
      <c r="B61" s="20" t="s">
        <v>131</v>
      </c>
      <c r="C61" s="20">
        <v>9332</v>
      </c>
      <c r="D61" s="20" t="s">
        <v>127</v>
      </c>
      <c r="E61" s="29">
        <v>1857</v>
      </c>
      <c r="F61" s="29">
        <f>-1857-3</f>
        <v>-1860</v>
      </c>
      <c r="G61" s="29">
        <f t="shared" si="0"/>
        <v>-3</v>
      </c>
      <c r="H61" s="23"/>
      <c r="I61" s="23"/>
      <c r="J61" s="20"/>
    </row>
    <row r="62" spans="1:10" s="9" customFormat="1" x14ac:dyDescent="0.2">
      <c r="A62" s="24"/>
      <c r="B62" s="24"/>
      <c r="C62" s="24"/>
      <c r="D62" s="24"/>
      <c r="E62" s="30">
        <f>SUM(E55:E61)</f>
        <v>-218705</v>
      </c>
      <c r="F62" s="30">
        <f>SUM(F55:F61)</f>
        <v>85210</v>
      </c>
      <c r="G62" s="30">
        <f>SUM(G55:G61)</f>
        <v>-133495</v>
      </c>
      <c r="H62" s="27">
        <v>9.07</v>
      </c>
      <c r="I62" s="27">
        <f>ROUND(G62*H62,2)</f>
        <v>-1210799.6499999999</v>
      </c>
      <c r="J62" s="24"/>
    </row>
    <row r="63" spans="1:10" x14ac:dyDescent="0.2">
      <c r="A63" s="20"/>
      <c r="B63" s="20"/>
      <c r="C63" s="20"/>
      <c r="D63" s="20"/>
      <c r="E63" s="29"/>
      <c r="F63" s="29"/>
      <c r="G63" s="29"/>
      <c r="H63" s="23"/>
      <c r="I63" s="23"/>
      <c r="J63" s="20"/>
    </row>
    <row r="64" spans="1:10" x14ac:dyDescent="0.2">
      <c r="A64" s="20"/>
      <c r="B64" s="20"/>
      <c r="C64" s="20"/>
      <c r="D64" s="20"/>
      <c r="E64" s="29"/>
      <c r="F64" s="29"/>
      <c r="G64" s="29"/>
      <c r="H64" s="23"/>
      <c r="I64" s="23"/>
      <c r="J64" s="20"/>
    </row>
    <row r="65" spans="1:10" x14ac:dyDescent="0.2">
      <c r="A65" s="20">
        <v>11364</v>
      </c>
      <c r="B65" s="20" t="s">
        <v>135</v>
      </c>
      <c r="C65" s="20">
        <v>9259</v>
      </c>
      <c r="D65" s="20" t="s">
        <v>127</v>
      </c>
      <c r="E65" s="29">
        <v>5426</v>
      </c>
      <c r="F65" s="29">
        <v>-5426</v>
      </c>
      <c r="G65" s="29">
        <f t="shared" si="0"/>
        <v>0</v>
      </c>
      <c r="H65" s="23"/>
      <c r="I65" s="23"/>
      <c r="J65" s="20"/>
    </row>
    <row r="66" spans="1:10" x14ac:dyDescent="0.2">
      <c r="A66" s="20">
        <v>11937</v>
      </c>
      <c r="B66" s="20" t="s">
        <v>137</v>
      </c>
      <c r="C66" s="20">
        <v>9276</v>
      </c>
      <c r="D66" s="20" t="s">
        <v>127</v>
      </c>
      <c r="E66" s="29">
        <v>1167</v>
      </c>
      <c r="F66" s="29">
        <v>-1167</v>
      </c>
      <c r="G66" s="29">
        <f t="shared" si="0"/>
        <v>0</v>
      </c>
      <c r="H66" s="23"/>
      <c r="I66" s="23"/>
      <c r="J66" s="20"/>
    </row>
    <row r="67" spans="1:10" x14ac:dyDescent="0.2">
      <c r="A67" s="20">
        <v>6268</v>
      </c>
      <c r="B67" s="20" t="s">
        <v>96</v>
      </c>
      <c r="C67" s="20">
        <v>9285</v>
      </c>
      <c r="D67" s="20" t="s">
        <v>127</v>
      </c>
      <c r="E67" s="29">
        <v>4</v>
      </c>
      <c r="F67" s="29">
        <v>-4</v>
      </c>
      <c r="G67" s="29">
        <f t="shared" si="0"/>
        <v>0</v>
      </c>
      <c r="H67" s="23"/>
      <c r="I67" s="23"/>
      <c r="J67" s="20"/>
    </row>
    <row r="68" spans="1:10" x14ac:dyDescent="0.2">
      <c r="A68" s="20">
        <v>655</v>
      </c>
      <c r="B68" s="20" t="s">
        <v>90</v>
      </c>
      <c r="C68" s="20">
        <v>9289</v>
      </c>
      <c r="D68" s="20" t="s">
        <v>127</v>
      </c>
      <c r="E68" s="29">
        <v>15093</v>
      </c>
      <c r="F68" s="29">
        <v>-15093</v>
      </c>
      <c r="G68" s="29">
        <f t="shared" si="0"/>
        <v>0</v>
      </c>
      <c r="H68" s="23"/>
      <c r="I68" s="23"/>
      <c r="J68" s="20"/>
    </row>
    <row r="69" spans="1:10" x14ac:dyDescent="0.2">
      <c r="A69" s="20">
        <v>5736</v>
      </c>
      <c r="B69" s="20" t="s">
        <v>123</v>
      </c>
      <c r="C69" s="20">
        <v>9291</v>
      </c>
      <c r="D69" s="20" t="s">
        <v>127</v>
      </c>
      <c r="E69" s="29">
        <v>16778</v>
      </c>
      <c r="F69" s="29">
        <v>-16778</v>
      </c>
      <c r="G69" s="29">
        <f t="shared" si="0"/>
        <v>0</v>
      </c>
      <c r="H69" s="23"/>
      <c r="I69" s="23"/>
      <c r="J69" s="20"/>
    </row>
    <row r="70" spans="1:10" x14ac:dyDescent="0.2">
      <c r="A70" s="20">
        <v>4101</v>
      </c>
      <c r="B70" s="20" t="s">
        <v>110</v>
      </c>
      <c r="C70" s="20">
        <v>9302</v>
      </c>
      <c r="D70" s="20" t="s">
        <v>127</v>
      </c>
      <c r="E70" s="29">
        <v>2</v>
      </c>
      <c r="F70" s="29">
        <v>-2</v>
      </c>
      <c r="G70" s="29">
        <f t="shared" si="0"/>
        <v>0</v>
      </c>
      <c r="H70" s="23"/>
      <c r="I70" s="23"/>
      <c r="J70" s="20"/>
    </row>
    <row r="71" spans="1:10" x14ac:dyDescent="0.2">
      <c r="A71" s="20">
        <v>11420</v>
      </c>
      <c r="B71" s="20" t="s">
        <v>97</v>
      </c>
      <c r="C71" s="20">
        <v>9306</v>
      </c>
      <c r="D71" s="20" t="s">
        <v>127</v>
      </c>
      <c r="E71" s="29">
        <v>99</v>
      </c>
      <c r="F71" s="29">
        <v>-99</v>
      </c>
      <c r="G71" s="29">
        <f t="shared" si="1"/>
        <v>0</v>
      </c>
      <c r="H71" s="23"/>
      <c r="I71" s="23"/>
      <c r="J71" s="20"/>
    </row>
    <row r="72" spans="1:10" x14ac:dyDescent="0.2">
      <c r="A72" s="20">
        <v>11143</v>
      </c>
      <c r="B72" s="20" t="s">
        <v>139</v>
      </c>
      <c r="C72" s="20">
        <v>9308</v>
      </c>
      <c r="D72" s="20" t="s">
        <v>127</v>
      </c>
      <c r="E72" s="29">
        <v>3825</v>
      </c>
      <c r="F72" s="29">
        <v>-3825</v>
      </c>
      <c r="G72" s="29">
        <f t="shared" si="1"/>
        <v>0</v>
      </c>
      <c r="H72" s="23"/>
      <c r="I72" s="23"/>
      <c r="J72" s="20"/>
    </row>
    <row r="73" spans="1:10" x14ac:dyDescent="0.2">
      <c r="A73" s="20">
        <v>4120</v>
      </c>
      <c r="B73" s="20" t="s">
        <v>94</v>
      </c>
      <c r="C73" s="20">
        <v>9314</v>
      </c>
      <c r="D73" s="20" t="s">
        <v>127</v>
      </c>
      <c r="E73" s="29">
        <v>218</v>
      </c>
      <c r="F73" s="29">
        <v>-218</v>
      </c>
      <c r="G73" s="29">
        <f t="shared" si="1"/>
        <v>0</v>
      </c>
      <c r="H73" s="23"/>
      <c r="I73" s="23"/>
      <c r="J73" s="20"/>
    </row>
    <row r="74" spans="1:10" x14ac:dyDescent="0.2">
      <c r="A74" s="20">
        <v>11128</v>
      </c>
      <c r="B74" s="20" t="s">
        <v>140</v>
      </c>
      <c r="C74" s="20">
        <v>9317</v>
      </c>
      <c r="D74" s="20" t="s">
        <v>127</v>
      </c>
      <c r="E74" s="29">
        <v>6401</v>
      </c>
      <c r="F74" s="29">
        <v>-6401</v>
      </c>
      <c r="G74" s="29">
        <f t="shared" si="1"/>
        <v>0</v>
      </c>
      <c r="H74" s="23"/>
      <c r="I74" s="23"/>
      <c r="J74" s="20"/>
    </row>
    <row r="75" spans="1:10" x14ac:dyDescent="0.2">
      <c r="A75" s="20">
        <v>6321</v>
      </c>
      <c r="B75" s="20" t="s">
        <v>113</v>
      </c>
      <c r="C75" s="20">
        <v>9319</v>
      </c>
      <c r="D75" s="20" t="s">
        <v>127</v>
      </c>
      <c r="E75" s="29">
        <v>6802</v>
      </c>
      <c r="F75" s="29">
        <v>-6802</v>
      </c>
      <c r="G75" s="29">
        <f t="shared" si="1"/>
        <v>0</v>
      </c>
      <c r="H75" s="23"/>
      <c r="I75" s="23"/>
      <c r="J75" s="20"/>
    </row>
    <row r="76" spans="1:10" x14ac:dyDescent="0.2">
      <c r="A76" s="20">
        <v>3974</v>
      </c>
      <c r="B76" s="20" t="s">
        <v>115</v>
      </c>
      <c r="C76" s="20">
        <v>9323</v>
      </c>
      <c r="D76" s="20" t="s">
        <v>127</v>
      </c>
      <c r="E76" s="29">
        <v>3245</v>
      </c>
      <c r="F76" s="29">
        <v>-3245</v>
      </c>
      <c r="G76" s="29">
        <f t="shared" si="1"/>
        <v>0</v>
      </c>
      <c r="H76" s="23"/>
      <c r="I76" s="23"/>
      <c r="J76" s="20"/>
    </row>
    <row r="77" spans="1:10" x14ac:dyDescent="0.2">
      <c r="A77" s="20">
        <v>1141</v>
      </c>
      <c r="B77" s="20" t="s">
        <v>151</v>
      </c>
      <c r="C77" s="20">
        <v>9260</v>
      </c>
      <c r="D77" s="20" t="s">
        <v>127</v>
      </c>
      <c r="E77" s="29">
        <v>1</v>
      </c>
      <c r="F77" s="29"/>
      <c r="G77" s="29">
        <f t="shared" si="1"/>
        <v>1</v>
      </c>
      <c r="H77" s="23"/>
      <c r="I77" s="23"/>
      <c r="J77" s="20"/>
    </row>
    <row r="78" spans="1:10" x14ac:dyDescent="0.2">
      <c r="A78" s="20">
        <v>11611</v>
      </c>
      <c r="B78" s="20" t="s">
        <v>147</v>
      </c>
      <c r="C78" s="20">
        <v>9271</v>
      </c>
      <c r="D78" s="20" t="s">
        <v>127</v>
      </c>
      <c r="E78" s="29">
        <v>1</v>
      </c>
      <c r="F78" s="29"/>
      <c r="G78" s="29">
        <f t="shared" si="1"/>
        <v>1</v>
      </c>
      <c r="H78" s="23"/>
      <c r="I78" s="23"/>
      <c r="J78" s="20"/>
    </row>
    <row r="79" spans="1:10" x14ac:dyDescent="0.2">
      <c r="A79" s="20">
        <v>11641</v>
      </c>
      <c r="B79" s="20" t="s">
        <v>133</v>
      </c>
      <c r="C79" s="20">
        <v>9336</v>
      </c>
      <c r="D79" s="20" t="s">
        <v>127</v>
      </c>
      <c r="E79" s="29">
        <v>1</v>
      </c>
      <c r="F79" s="29">
        <v>1</v>
      </c>
      <c r="G79" s="29">
        <f>+E79+F79</f>
        <v>2</v>
      </c>
      <c r="H79" s="23"/>
      <c r="I79" s="23"/>
      <c r="J79" s="20"/>
    </row>
    <row r="80" spans="1:10" x14ac:dyDescent="0.2">
      <c r="A80" s="20">
        <v>4109</v>
      </c>
      <c r="B80" s="20" t="s">
        <v>92</v>
      </c>
      <c r="C80" s="20">
        <v>9329</v>
      </c>
      <c r="D80" s="20" t="s">
        <v>127</v>
      </c>
      <c r="E80" s="29">
        <v>2</v>
      </c>
      <c r="F80" s="29"/>
      <c r="G80" s="29">
        <f t="shared" si="1"/>
        <v>2</v>
      </c>
      <c r="H80" s="23"/>
      <c r="I80" s="23"/>
      <c r="J80" s="20"/>
    </row>
    <row r="81" spans="1:10" x14ac:dyDescent="0.2">
      <c r="A81" s="20">
        <v>4084</v>
      </c>
      <c r="B81" s="20" t="s">
        <v>108</v>
      </c>
      <c r="C81" s="20">
        <v>9293</v>
      </c>
      <c r="D81" s="20" t="s">
        <v>127</v>
      </c>
      <c r="E81" s="29">
        <v>4</v>
      </c>
      <c r="F81" s="29"/>
      <c r="G81" s="29">
        <f t="shared" si="1"/>
        <v>4</v>
      </c>
      <c r="H81" s="23"/>
      <c r="I81" s="23"/>
      <c r="J81" s="20"/>
    </row>
    <row r="82" spans="1:10" x14ac:dyDescent="0.2">
      <c r="A82" s="20">
        <v>4118</v>
      </c>
      <c r="B82" s="20" t="s">
        <v>99</v>
      </c>
      <c r="C82" s="20">
        <v>9310</v>
      </c>
      <c r="D82" s="20" t="s">
        <v>127</v>
      </c>
      <c r="E82" s="29">
        <v>4</v>
      </c>
      <c r="F82" s="29"/>
      <c r="G82" s="29">
        <f t="shared" si="1"/>
        <v>4</v>
      </c>
      <c r="H82" s="23"/>
      <c r="I82" s="23"/>
      <c r="J82" s="20"/>
    </row>
    <row r="83" spans="1:10" x14ac:dyDescent="0.2">
      <c r="A83" s="20">
        <v>7812</v>
      </c>
      <c r="B83" s="20" t="s">
        <v>66</v>
      </c>
      <c r="C83" s="20">
        <v>9335</v>
      </c>
      <c r="D83" s="20" t="s">
        <v>127</v>
      </c>
      <c r="E83" s="29">
        <v>1</v>
      </c>
      <c r="F83" s="29">
        <v>6</v>
      </c>
      <c r="G83" s="29">
        <f>+E83+F83</f>
        <v>7</v>
      </c>
      <c r="H83" s="23"/>
      <c r="I83" s="23"/>
      <c r="J83" s="20"/>
    </row>
    <row r="84" spans="1:10" x14ac:dyDescent="0.2">
      <c r="A84" s="20">
        <v>4052</v>
      </c>
      <c r="B84" s="20" t="s">
        <v>175</v>
      </c>
      <c r="C84" s="20">
        <v>9334</v>
      </c>
      <c r="D84" s="20" t="s">
        <v>127</v>
      </c>
      <c r="E84" s="29">
        <v>12</v>
      </c>
      <c r="F84" s="29"/>
      <c r="G84" s="29">
        <f t="shared" si="1"/>
        <v>12</v>
      </c>
      <c r="H84" s="23"/>
      <c r="I84" s="23"/>
      <c r="J84" s="20"/>
    </row>
    <row r="85" spans="1:10" x14ac:dyDescent="0.2">
      <c r="A85" s="20">
        <v>7834</v>
      </c>
      <c r="B85" s="20" t="s">
        <v>160</v>
      </c>
      <c r="C85" s="20">
        <v>9261</v>
      </c>
      <c r="D85" s="20" t="s">
        <v>127</v>
      </c>
      <c r="E85" s="29">
        <v>204</v>
      </c>
      <c r="F85" s="29"/>
      <c r="G85" s="29">
        <f t="shared" si="1"/>
        <v>204</v>
      </c>
      <c r="H85" s="23"/>
      <c r="I85" s="23"/>
      <c r="J85" s="20"/>
    </row>
    <row r="86" spans="1:10" x14ac:dyDescent="0.2">
      <c r="A86" s="20">
        <v>11509</v>
      </c>
      <c r="B86" s="20" t="s">
        <v>126</v>
      </c>
      <c r="C86" s="20">
        <v>9305</v>
      </c>
      <c r="D86" s="20" t="s">
        <v>127</v>
      </c>
      <c r="E86" s="29">
        <v>400</v>
      </c>
      <c r="F86" s="29"/>
      <c r="G86" s="29">
        <f t="shared" si="1"/>
        <v>400</v>
      </c>
      <c r="H86" s="23"/>
      <c r="I86" s="23"/>
      <c r="J86" s="20"/>
    </row>
    <row r="87" spans="1:10" x14ac:dyDescent="0.2">
      <c r="A87" s="20">
        <v>285</v>
      </c>
      <c r="B87" s="20" t="s">
        <v>130</v>
      </c>
      <c r="C87" s="20">
        <v>9256</v>
      </c>
      <c r="D87" s="20" t="s">
        <v>127</v>
      </c>
      <c r="E87" s="29">
        <v>1366</v>
      </c>
      <c r="F87" s="29"/>
      <c r="G87" s="29">
        <f t="shared" si="1"/>
        <v>1366</v>
      </c>
      <c r="H87" s="23"/>
      <c r="I87" s="23"/>
      <c r="J87" s="20"/>
    </row>
    <row r="88" spans="1:10" x14ac:dyDescent="0.2">
      <c r="A88" s="20">
        <v>12907</v>
      </c>
      <c r="B88" s="20" t="s">
        <v>166</v>
      </c>
      <c r="C88" s="20">
        <v>9277</v>
      </c>
      <c r="D88" s="20" t="s">
        <v>127</v>
      </c>
      <c r="E88" s="29">
        <v>10972</v>
      </c>
      <c r="F88" s="29">
        <f>-10972+562+1448-12</f>
        <v>-8974</v>
      </c>
      <c r="G88" s="29">
        <f t="shared" si="1"/>
        <v>1998</v>
      </c>
      <c r="H88" s="23"/>
      <c r="I88" s="23"/>
      <c r="J88" s="20"/>
    </row>
    <row r="89" spans="1:10" x14ac:dyDescent="0.2">
      <c r="A89" s="20">
        <v>3975</v>
      </c>
      <c r="B89" s="20" t="s">
        <v>148</v>
      </c>
      <c r="C89" s="20">
        <v>9269</v>
      </c>
      <c r="D89" s="20" t="s">
        <v>127</v>
      </c>
      <c r="E89" s="29">
        <v>4941</v>
      </c>
      <c r="F89" s="29"/>
      <c r="G89" s="29">
        <f t="shared" si="1"/>
        <v>4941</v>
      </c>
      <c r="H89" s="23"/>
      <c r="I89" s="23"/>
      <c r="J89" s="20"/>
    </row>
    <row r="90" spans="1:10" x14ac:dyDescent="0.2">
      <c r="A90" s="20">
        <v>11953</v>
      </c>
      <c r="B90" s="20" t="s">
        <v>174</v>
      </c>
      <c r="C90" s="20">
        <v>9333</v>
      </c>
      <c r="D90" s="20" t="s">
        <v>127</v>
      </c>
      <c r="E90" s="29">
        <v>6959</v>
      </c>
      <c r="F90" s="29"/>
      <c r="G90" s="29">
        <f t="shared" si="1"/>
        <v>6959</v>
      </c>
      <c r="H90" s="23"/>
      <c r="I90" s="23"/>
      <c r="J90" s="20"/>
    </row>
    <row r="91" spans="1:10" x14ac:dyDescent="0.2">
      <c r="A91" s="20">
        <v>1455</v>
      </c>
      <c r="B91" s="20" t="s">
        <v>129</v>
      </c>
      <c r="C91" s="20">
        <v>9266</v>
      </c>
      <c r="D91" s="20" t="s">
        <v>127</v>
      </c>
      <c r="E91" s="29">
        <v>8454</v>
      </c>
      <c r="F91" s="29">
        <f>-562+5426</f>
        <v>4864</v>
      </c>
      <c r="G91" s="29">
        <f t="shared" si="1"/>
        <v>13318</v>
      </c>
      <c r="H91" s="23"/>
      <c r="I91" s="23"/>
      <c r="J91" s="20"/>
    </row>
    <row r="92" spans="1:10" s="9" customFormat="1" x14ac:dyDescent="0.2">
      <c r="E92" s="10">
        <f>SUM(E65:E91)</f>
        <v>92382</v>
      </c>
      <c r="F92" s="10">
        <f>SUM(F65:F91)</f>
        <v>-63163</v>
      </c>
      <c r="G92" s="10">
        <f>SUM(G65:G91)</f>
        <v>29219</v>
      </c>
      <c r="H92" s="14">
        <v>9.19</v>
      </c>
      <c r="I92" s="27">
        <f>ROUND(G92*H92,2)</f>
        <v>268522.61</v>
      </c>
    </row>
    <row r="94" spans="1:10" x14ac:dyDescent="0.2">
      <c r="A94" s="20">
        <v>6321</v>
      </c>
      <c r="B94" s="20" t="s">
        <v>113</v>
      </c>
      <c r="C94" s="20">
        <v>9320</v>
      </c>
      <c r="D94" s="20" t="s">
        <v>154</v>
      </c>
      <c r="E94" s="29">
        <v>-4481</v>
      </c>
      <c r="F94" s="29">
        <v>1100</v>
      </c>
      <c r="G94" s="29">
        <f t="shared" si="1"/>
        <v>-3381</v>
      </c>
      <c r="H94" s="23"/>
      <c r="I94" s="23"/>
      <c r="J94" s="20"/>
    </row>
    <row r="95" spans="1:10" x14ac:dyDescent="0.2">
      <c r="A95" s="20">
        <v>8573</v>
      </c>
      <c r="B95" s="20" t="s">
        <v>53</v>
      </c>
      <c r="C95" s="20">
        <v>9326</v>
      </c>
      <c r="D95" s="20" t="s">
        <v>154</v>
      </c>
      <c r="E95" s="29">
        <v>-3104</v>
      </c>
      <c r="F95" s="29"/>
      <c r="G95" s="29">
        <f t="shared" si="1"/>
        <v>-3104</v>
      </c>
      <c r="H95" s="23"/>
      <c r="I95" s="23"/>
      <c r="J95" s="20"/>
    </row>
    <row r="96" spans="1:10" x14ac:dyDescent="0.2">
      <c r="A96" s="20">
        <v>330</v>
      </c>
      <c r="B96" s="20" t="s">
        <v>165</v>
      </c>
      <c r="C96" s="20">
        <v>9280</v>
      </c>
      <c r="D96" s="20" t="s">
        <v>154</v>
      </c>
      <c r="E96" s="29">
        <v>-166</v>
      </c>
      <c r="F96" s="29"/>
      <c r="G96" s="29">
        <f t="shared" si="1"/>
        <v>-166</v>
      </c>
      <c r="H96" s="23"/>
      <c r="I96" s="23"/>
      <c r="J96" s="20"/>
    </row>
    <row r="97" spans="1:10" s="9" customFormat="1" x14ac:dyDescent="0.2">
      <c r="A97" s="24"/>
      <c r="B97" s="24"/>
      <c r="C97" s="24"/>
      <c r="D97" s="24"/>
      <c r="E97" s="30">
        <f>SUM(E94:E96)</f>
        <v>-7751</v>
      </c>
      <c r="F97" s="30">
        <f>SUM(F94:F96)</f>
        <v>1100</v>
      </c>
      <c r="G97" s="30">
        <f>SUM(G94:G96)</f>
        <v>-6651</v>
      </c>
      <c r="H97" s="27">
        <v>9.07</v>
      </c>
      <c r="I97" s="27">
        <f>ROUND(G97*H97,2)</f>
        <v>-60324.57</v>
      </c>
      <c r="J97" s="24"/>
    </row>
    <row r="98" spans="1:10" x14ac:dyDescent="0.2">
      <c r="A98" s="20"/>
      <c r="B98" s="20"/>
      <c r="C98" s="20"/>
      <c r="D98" s="20"/>
      <c r="E98" s="29"/>
      <c r="F98" s="29"/>
      <c r="G98" s="29"/>
      <c r="H98" s="23"/>
      <c r="I98" s="23"/>
      <c r="J98" s="20"/>
    </row>
    <row r="99" spans="1:10" x14ac:dyDescent="0.2">
      <c r="A99" s="20"/>
      <c r="B99" s="20"/>
      <c r="C99" s="20"/>
      <c r="D99" s="20"/>
      <c r="E99" s="29"/>
      <c r="F99" s="29"/>
      <c r="G99" s="29"/>
      <c r="H99" s="23"/>
      <c r="I99" s="23"/>
      <c r="J99" s="20"/>
    </row>
    <row r="100" spans="1:10" x14ac:dyDescent="0.2">
      <c r="A100" s="20">
        <v>11793</v>
      </c>
      <c r="B100" s="20" t="s">
        <v>93</v>
      </c>
      <c r="C100" s="20">
        <v>9297</v>
      </c>
      <c r="D100" s="20" t="s">
        <v>154</v>
      </c>
      <c r="E100" s="29">
        <v>1100</v>
      </c>
      <c r="F100" s="29">
        <v>-1100</v>
      </c>
      <c r="G100" s="29">
        <f t="shared" si="1"/>
        <v>0</v>
      </c>
      <c r="H100" s="23"/>
      <c r="I100" s="23"/>
      <c r="J100" s="20"/>
    </row>
    <row r="101" spans="1:10" x14ac:dyDescent="0.2">
      <c r="A101" s="20">
        <v>4997</v>
      </c>
      <c r="B101" s="20" t="s">
        <v>132</v>
      </c>
      <c r="C101" s="20">
        <v>9275</v>
      </c>
      <c r="D101" s="20" t="s">
        <v>154</v>
      </c>
      <c r="E101" s="29">
        <v>2547</v>
      </c>
      <c r="F101" s="29"/>
      <c r="G101" s="29">
        <f t="shared" si="1"/>
        <v>2547</v>
      </c>
      <c r="H101" s="23"/>
      <c r="I101" s="23"/>
      <c r="J101" s="20"/>
    </row>
    <row r="102" spans="1:10" x14ac:dyDescent="0.2">
      <c r="A102" s="20">
        <v>7672</v>
      </c>
      <c r="B102" s="20" t="s">
        <v>156</v>
      </c>
      <c r="C102" s="20">
        <v>9268</v>
      </c>
      <c r="D102" s="20" t="s">
        <v>154</v>
      </c>
      <c r="E102" s="29">
        <v>3503</v>
      </c>
      <c r="F102" s="29"/>
      <c r="G102" s="29">
        <f t="shared" si="1"/>
        <v>3503</v>
      </c>
      <c r="H102" s="23"/>
      <c r="I102" s="23"/>
      <c r="J102" s="20"/>
    </row>
    <row r="103" spans="1:10" x14ac:dyDescent="0.2">
      <c r="A103" s="20">
        <v>11905</v>
      </c>
      <c r="B103" s="20" t="s">
        <v>141</v>
      </c>
      <c r="C103" s="20">
        <v>9254</v>
      </c>
      <c r="D103" s="20" t="s">
        <v>154</v>
      </c>
      <c r="E103" s="29">
        <v>4743</v>
      </c>
      <c r="F103" s="29"/>
      <c r="G103" s="29">
        <f t="shared" si="1"/>
        <v>4743</v>
      </c>
      <c r="H103" s="23"/>
      <c r="I103" s="23"/>
      <c r="J103" s="20"/>
    </row>
    <row r="104" spans="1:10" x14ac:dyDescent="0.2">
      <c r="A104" s="20">
        <v>11641</v>
      </c>
      <c r="B104" s="20" t="s">
        <v>133</v>
      </c>
      <c r="C104" s="20">
        <v>9265</v>
      </c>
      <c r="D104" s="20" t="s">
        <v>154</v>
      </c>
      <c r="E104" s="29">
        <v>7527</v>
      </c>
      <c r="F104" s="29"/>
      <c r="G104" s="29">
        <f t="shared" si="1"/>
        <v>7527</v>
      </c>
      <c r="H104" s="23"/>
      <c r="I104" s="23"/>
      <c r="J104" s="20"/>
    </row>
    <row r="105" spans="1:10" x14ac:dyDescent="0.2">
      <c r="A105" s="20">
        <v>3975</v>
      </c>
      <c r="B105" s="20" t="s">
        <v>148</v>
      </c>
      <c r="C105" s="20">
        <v>9270</v>
      </c>
      <c r="D105" s="20" t="s">
        <v>154</v>
      </c>
      <c r="E105" s="29">
        <v>10682</v>
      </c>
      <c r="F105" s="29"/>
      <c r="G105" s="29">
        <f t="shared" si="1"/>
        <v>10682</v>
      </c>
      <c r="H105" s="23"/>
      <c r="I105" s="23"/>
      <c r="J105" s="20"/>
    </row>
    <row r="106" spans="1:10" s="9" customFormat="1" x14ac:dyDescent="0.2">
      <c r="E106" s="10">
        <f>SUM(E100:E105)</f>
        <v>30102</v>
      </c>
      <c r="F106" s="10">
        <f>SUM(F100:F105)</f>
        <v>-1100</v>
      </c>
      <c r="G106" s="10">
        <f>SUM(G100:G105)</f>
        <v>29002</v>
      </c>
      <c r="H106" s="14">
        <v>9.19</v>
      </c>
      <c r="I106" s="27">
        <f>ROUND(G106*H106,2)</f>
        <v>266528.38</v>
      </c>
    </row>
    <row r="108" spans="1:10" x14ac:dyDescent="0.2">
      <c r="B108" s="9"/>
    </row>
    <row r="109" spans="1:10" s="9" customFormat="1" x14ac:dyDescent="0.2">
      <c r="B109" s="9" t="s">
        <v>216</v>
      </c>
      <c r="E109" s="10">
        <f>+E106+E97+E92+E62+E46+E26</f>
        <v>-969025</v>
      </c>
      <c r="F109" s="10">
        <f>+F106+F97+F92+F62+F46+F26</f>
        <v>0</v>
      </c>
      <c r="G109" s="10">
        <f>+G106+G97+G92+G62+G46+G26</f>
        <v>-969025</v>
      </c>
      <c r="H109" s="14"/>
      <c r="I109" s="14">
        <f>+I106+I97+I92+I62+I46+I26</f>
        <v>-8781957.1900000013</v>
      </c>
    </row>
    <row r="110" spans="1:10" s="9" customFormat="1" x14ac:dyDescent="0.2">
      <c r="E110" s="10"/>
      <c r="F110" s="10"/>
      <c r="G110" s="10"/>
      <c r="H110" s="14"/>
      <c r="I110" s="14"/>
    </row>
    <row r="112" spans="1:10" x14ac:dyDescent="0.2">
      <c r="B112" t="s">
        <v>225</v>
      </c>
      <c r="G112" s="6">
        <f>+G97+G62+G26</f>
        <v>-1028188</v>
      </c>
      <c r="I112" s="13">
        <f>+I97+I62+I26</f>
        <v>-9325665.1600000001</v>
      </c>
    </row>
    <row r="114" spans="2:9" x14ac:dyDescent="0.2">
      <c r="B114" t="s">
        <v>226</v>
      </c>
      <c r="G114" s="6">
        <f>+G106+G92+G46</f>
        <v>59163</v>
      </c>
      <c r="I114" s="13">
        <f>+I106+I92+I46</f>
        <v>543707.97</v>
      </c>
    </row>
    <row r="116" spans="2:9" x14ac:dyDescent="0.2">
      <c r="B116" t="s">
        <v>227</v>
      </c>
      <c r="G116" s="6">
        <f>SUM(G112:G115)</f>
        <v>-969025</v>
      </c>
      <c r="I116" s="13">
        <f>SUM(I112:I115)</f>
        <v>-8781957.1899999995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B1" sqref="B1"/>
    </sheetView>
  </sheetViews>
  <sheetFormatPr defaultRowHeight="12.75" x14ac:dyDescent="0.2"/>
  <cols>
    <col min="1" max="1" width="7.42578125" customWidth="1"/>
    <col min="2" max="2" width="34.140625" bestFit="1" customWidth="1"/>
    <col min="3" max="3" width="7.42578125" customWidth="1"/>
    <col min="4" max="4" width="19.28515625" bestFit="1" customWidth="1"/>
    <col min="5" max="5" width="10.42578125" style="6" customWidth="1"/>
    <col min="6" max="6" width="8.140625" style="6" customWidth="1"/>
    <col min="7" max="7" width="10.42578125" style="6" customWidth="1"/>
    <col min="8" max="8" width="9.28515625" style="13" bestFit="1" customWidth="1"/>
    <col min="9" max="9" width="14" style="13" bestFit="1" customWidth="1"/>
  </cols>
  <sheetData>
    <row r="1" spans="1:9" s="9" customFormat="1" x14ac:dyDescent="0.2">
      <c r="A1" s="9" t="s">
        <v>73</v>
      </c>
      <c r="E1" s="10"/>
      <c r="F1" s="10"/>
      <c r="G1" s="10"/>
      <c r="H1" s="14"/>
      <c r="I1" s="14"/>
    </row>
    <row r="2" spans="1:9" s="9" customFormat="1" x14ac:dyDescent="0.2">
      <c r="A2" s="15">
        <v>36923</v>
      </c>
      <c r="E2" s="10"/>
      <c r="F2" s="10"/>
      <c r="G2" s="10"/>
      <c r="H2" s="14"/>
      <c r="I2" s="14"/>
    </row>
    <row r="3" spans="1:9" s="1" customFormat="1" ht="39" customHeight="1" x14ac:dyDescent="0.2">
      <c r="A3" s="1" t="s">
        <v>0</v>
      </c>
      <c r="B3" s="1" t="s">
        <v>164</v>
      </c>
      <c r="C3" s="1" t="s">
        <v>170</v>
      </c>
      <c r="D3" s="1" t="s">
        <v>3</v>
      </c>
      <c r="E3" s="16" t="s">
        <v>4</v>
      </c>
      <c r="F3" s="16" t="s">
        <v>88</v>
      </c>
      <c r="G3" s="16" t="s">
        <v>89</v>
      </c>
      <c r="H3" s="17"/>
      <c r="I3" s="17"/>
    </row>
    <row r="4" spans="1:9" s="20" customFormat="1" ht="12" x14ac:dyDescent="0.2">
      <c r="A4" s="20">
        <v>4120</v>
      </c>
      <c r="B4" s="20" t="s">
        <v>94</v>
      </c>
      <c r="C4" s="20">
        <v>9396</v>
      </c>
      <c r="D4" s="20" t="s">
        <v>101</v>
      </c>
      <c r="E4" s="29">
        <v>-105982</v>
      </c>
      <c r="F4" s="29"/>
      <c r="G4" s="29">
        <f t="shared" ref="G4:G70" si="0">+E4+F4</f>
        <v>-105982</v>
      </c>
      <c r="H4" s="23"/>
      <c r="I4" s="23"/>
    </row>
    <row r="5" spans="1:9" s="20" customFormat="1" ht="12" x14ac:dyDescent="0.2">
      <c r="A5" s="20">
        <v>11793</v>
      </c>
      <c r="B5" s="20" t="s">
        <v>93</v>
      </c>
      <c r="C5" s="20">
        <v>9380</v>
      </c>
      <c r="D5" s="20" t="s">
        <v>91</v>
      </c>
      <c r="E5" s="29">
        <v>-112584</v>
      </c>
      <c r="F5" s="29">
        <f>2635+13435-2206+96</f>
        <v>13960</v>
      </c>
      <c r="G5" s="29">
        <f t="shared" si="0"/>
        <v>-98624</v>
      </c>
      <c r="H5" s="23"/>
      <c r="I5" s="23"/>
    </row>
    <row r="6" spans="1:9" s="20" customFormat="1" ht="12" x14ac:dyDescent="0.2">
      <c r="A6" s="20">
        <v>4109</v>
      </c>
      <c r="B6" s="20" t="s">
        <v>92</v>
      </c>
      <c r="C6" s="20">
        <v>9411</v>
      </c>
      <c r="D6" s="20" t="s">
        <v>91</v>
      </c>
      <c r="E6" s="29">
        <v>-52008</v>
      </c>
      <c r="F6" s="29"/>
      <c r="G6" s="29">
        <f t="shared" si="0"/>
        <v>-52008</v>
      </c>
      <c r="H6" s="23"/>
      <c r="I6" s="23"/>
    </row>
    <row r="7" spans="1:9" s="20" customFormat="1" ht="12" x14ac:dyDescent="0.2">
      <c r="A7" s="20">
        <v>11516</v>
      </c>
      <c r="B7" s="20" t="s">
        <v>95</v>
      </c>
      <c r="C7" s="20">
        <v>9389</v>
      </c>
      <c r="D7" s="20" t="s">
        <v>91</v>
      </c>
      <c r="E7" s="29">
        <v>-32442</v>
      </c>
      <c r="F7" s="29"/>
      <c r="G7" s="29">
        <f t="shared" si="0"/>
        <v>-32442</v>
      </c>
      <c r="H7" s="23"/>
      <c r="I7" s="23"/>
    </row>
    <row r="8" spans="1:9" s="20" customFormat="1" ht="12" x14ac:dyDescent="0.2">
      <c r="A8" s="20">
        <v>11793</v>
      </c>
      <c r="B8" s="20" t="s">
        <v>93</v>
      </c>
      <c r="C8" s="20">
        <v>9382</v>
      </c>
      <c r="D8" s="20" t="s">
        <v>101</v>
      </c>
      <c r="E8" s="29">
        <v>-21535</v>
      </c>
      <c r="F8" s="29"/>
      <c r="G8" s="29">
        <f t="shared" si="0"/>
        <v>-21535</v>
      </c>
      <c r="H8" s="23"/>
      <c r="I8" s="23"/>
    </row>
    <row r="9" spans="1:9" s="20" customFormat="1" ht="12" x14ac:dyDescent="0.2">
      <c r="A9" s="20">
        <v>4175</v>
      </c>
      <c r="B9" s="20" t="s">
        <v>104</v>
      </c>
      <c r="C9" s="20">
        <v>9344</v>
      </c>
      <c r="D9" s="20" t="s">
        <v>101</v>
      </c>
      <c r="E9" s="29">
        <v>-20564</v>
      </c>
      <c r="F9" s="29">
        <f>5000+1610</f>
        <v>6610</v>
      </c>
      <c r="G9" s="29">
        <f t="shared" si="0"/>
        <v>-13954</v>
      </c>
      <c r="H9" s="23"/>
      <c r="I9" s="23"/>
    </row>
    <row r="10" spans="1:9" s="20" customFormat="1" ht="12" x14ac:dyDescent="0.2">
      <c r="A10" s="20">
        <v>6268</v>
      </c>
      <c r="B10" s="20" t="s">
        <v>96</v>
      </c>
      <c r="C10" s="20">
        <v>9368</v>
      </c>
      <c r="D10" s="20" t="s">
        <v>91</v>
      </c>
      <c r="E10" s="29">
        <v>14823</v>
      </c>
      <c r="F10" s="29">
        <f>-32712+4470</f>
        <v>-28242</v>
      </c>
      <c r="G10" s="29">
        <f t="shared" si="0"/>
        <v>-13419</v>
      </c>
      <c r="H10" s="23"/>
      <c r="I10" s="23"/>
    </row>
    <row r="11" spans="1:9" s="20" customFormat="1" ht="12" x14ac:dyDescent="0.2">
      <c r="A11" s="20">
        <v>4133</v>
      </c>
      <c r="B11" s="20" t="s">
        <v>116</v>
      </c>
      <c r="C11" s="20">
        <v>9409</v>
      </c>
      <c r="D11" s="20" t="s">
        <v>91</v>
      </c>
      <c r="E11" s="29">
        <v>-8889</v>
      </c>
      <c r="F11" s="29"/>
      <c r="G11" s="29">
        <f t="shared" si="0"/>
        <v>-8889</v>
      </c>
      <c r="H11" s="23"/>
      <c r="I11" s="23"/>
    </row>
    <row r="12" spans="1:9" s="20" customFormat="1" ht="12" x14ac:dyDescent="0.2">
      <c r="A12" s="20">
        <v>6075</v>
      </c>
      <c r="B12" s="20" t="s">
        <v>114</v>
      </c>
      <c r="C12" s="20">
        <v>9402</v>
      </c>
      <c r="D12" s="20" t="s">
        <v>91</v>
      </c>
      <c r="E12" s="29">
        <v>-8513</v>
      </c>
      <c r="F12" s="29"/>
      <c r="G12" s="29">
        <f t="shared" si="0"/>
        <v>-8513</v>
      </c>
      <c r="H12" s="23"/>
      <c r="I12" s="23"/>
    </row>
    <row r="13" spans="1:9" s="20" customFormat="1" ht="12" x14ac:dyDescent="0.2">
      <c r="A13" s="20">
        <v>11185</v>
      </c>
      <c r="B13" s="20" t="s">
        <v>119</v>
      </c>
      <c r="C13" s="20">
        <v>9385</v>
      </c>
      <c r="D13" s="20" t="s">
        <v>91</v>
      </c>
      <c r="E13" s="29">
        <v>-3441</v>
      </c>
      <c r="F13" s="29"/>
      <c r="G13" s="29">
        <f t="shared" si="0"/>
        <v>-3441</v>
      </c>
      <c r="H13" s="23"/>
      <c r="I13" s="23"/>
    </row>
    <row r="14" spans="1:9" s="20" customFormat="1" ht="12" x14ac:dyDescent="0.2">
      <c r="A14" s="20">
        <v>11687</v>
      </c>
      <c r="B14" s="20" t="s">
        <v>106</v>
      </c>
      <c r="C14" s="20">
        <v>9355</v>
      </c>
      <c r="D14" s="20" t="s">
        <v>91</v>
      </c>
      <c r="E14" s="29">
        <v>-1494</v>
      </c>
      <c r="F14" s="29"/>
      <c r="G14" s="29">
        <f t="shared" si="0"/>
        <v>-1494</v>
      </c>
      <c r="H14" s="23"/>
      <c r="I14" s="23"/>
    </row>
    <row r="15" spans="1:9" s="20" customFormat="1" ht="12" x14ac:dyDescent="0.2">
      <c r="A15" s="20">
        <v>287</v>
      </c>
      <c r="B15" s="20" t="s">
        <v>98</v>
      </c>
      <c r="C15" s="20">
        <v>9364</v>
      </c>
      <c r="D15" s="20" t="s">
        <v>91</v>
      </c>
      <c r="E15" s="29">
        <v>-1266</v>
      </c>
      <c r="F15" s="29"/>
      <c r="G15" s="29">
        <f t="shared" si="0"/>
        <v>-1266</v>
      </c>
      <c r="H15" s="23"/>
      <c r="I15" s="23"/>
    </row>
    <row r="16" spans="1:9" s="20" customFormat="1" ht="12" x14ac:dyDescent="0.2">
      <c r="A16" s="20">
        <v>4084</v>
      </c>
      <c r="B16" s="20" t="s">
        <v>108</v>
      </c>
      <c r="C16" s="20">
        <v>9376</v>
      </c>
      <c r="D16" s="20" t="s">
        <v>101</v>
      </c>
      <c r="E16" s="29">
        <v>-813</v>
      </c>
      <c r="F16" s="29"/>
      <c r="G16" s="29">
        <f t="shared" si="0"/>
        <v>-813</v>
      </c>
      <c r="H16" s="23"/>
      <c r="I16" s="23"/>
    </row>
    <row r="17" spans="1:9" s="20" customFormat="1" ht="12" x14ac:dyDescent="0.2">
      <c r="A17" s="20">
        <v>4079</v>
      </c>
      <c r="B17" s="20" t="s">
        <v>112</v>
      </c>
      <c r="C17" s="20">
        <v>9398</v>
      </c>
      <c r="D17" s="20" t="s">
        <v>91</v>
      </c>
      <c r="E17" s="29">
        <v>-759</v>
      </c>
      <c r="F17" s="29"/>
      <c r="G17" s="29">
        <f t="shared" si="0"/>
        <v>-759</v>
      </c>
      <c r="H17" s="23"/>
      <c r="I17" s="23"/>
    </row>
    <row r="18" spans="1:9" s="20" customFormat="1" ht="12" x14ac:dyDescent="0.2">
      <c r="A18" s="20">
        <v>6321</v>
      </c>
      <c r="B18" s="20" t="s">
        <v>113</v>
      </c>
      <c r="C18" s="20">
        <v>9401</v>
      </c>
      <c r="D18" s="20" t="s">
        <v>91</v>
      </c>
      <c r="E18" s="29">
        <v>-304</v>
      </c>
      <c r="F18" s="29"/>
      <c r="G18" s="29">
        <f t="shared" si="0"/>
        <v>-304</v>
      </c>
      <c r="H18" s="23"/>
      <c r="I18" s="23"/>
    </row>
    <row r="19" spans="1:9" s="20" customFormat="1" ht="12" x14ac:dyDescent="0.2">
      <c r="A19" s="20">
        <v>11729</v>
      </c>
      <c r="B19" s="20" t="s">
        <v>109</v>
      </c>
      <c r="C19" s="20">
        <v>9377</v>
      </c>
      <c r="D19" s="20" t="s">
        <v>91</v>
      </c>
      <c r="E19" s="29">
        <v>-88</v>
      </c>
      <c r="F19" s="29"/>
      <c r="G19" s="29">
        <f t="shared" si="0"/>
        <v>-88</v>
      </c>
      <c r="H19" s="23"/>
      <c r="I19" s="23"/>
    </row>
    <row r="20" spans="1:9" s="20" customFormat="1" ht="12" x14ac:dyDescent="0.2">
      <c r="A20" s="20">
        <v>4131</v>
      </c>
      <c r="B20" s="20" t="s">
        <v>118</v>
      </c>
      <c r="C20" s="20">
        <v>9405</v>
      </c>
      <c r="D20" s="20" t="s">
        <v>91</v>
      </c>
      <c r="E20" s="29">
        <v>-83</v>
      </c>
      <c r="F20" s="29"/>
      <c r="G20" s="29">
        <f t="shared" si="0"/>
        <v>-83</v>
      </c>
      <c r="H20" s="23"/>
      <c r="I20" s="23"/>
    </row>
    <row r="21" spans="1:9" s="24" customFormat="1" ht="12" x14ac:dyDescent="0.2">
      <c r="B21" s="24" t="s">
        <v>220</v>
      </c>
      <c r="E21" s="30">
        <f>SUM(E4:E20)</f>
        <v>-355942</v>
      </c>
      <c r="F21" s="30">
        <f>SUM(F4:F20)</f>
        <v>-7672</v>
      </c>
      <c r="G21" s="30">
        <f>SUM(G4:G20)</f>
        <v>-363614</v>
      </c>
      <c r="H21" s="27">
        <v>5.77</v>
      </c>
      <c r="I21" s="27">
        <f>ROUND(G21*H21,2)</f>
        <v>-2098052.7799999998</v>
      </c>
    </row>
    <row r="22" spans="1:9" s="20" customFormat="1" ht="12" x14ac:dyDescent="0.2">
      <c r="E22" s="29"/>
      <c r="F22" s="29"/>
      <c r="G22" s="29"/>
      <c r="H22" s="23"/>
      <c r="I22" s="23"/>
    </row>
    <row r="23" spans="1:9" s="20" customFormat="1" ht="12" x14ac:dyDescent="0.2">
      <c r="E23" s="29"/>
      <c r="F23" s="29"/>
      <c r="G23" s="29"/>
      <c r="H23" s="23"/>
      <c r="I23" s="23"/>
    </row>
    <row r="24" spans="1:9" s="20" customFormat="1" ht="12" x14ac:dyDescent="0.2">
      <c r="A24" s="20">
        <v>6228</v>
      </c>
      <c r="B24" s="20" t="s">
        <v>103</v>
      </c>
      <c r="C24" s="20">
        <v>9342</v>
      </c>
      <c r="D24" s="20" t="s">
        <v>91</v>
      </c>
      <c r="E24" s="29">
        <v>1878</v>
      </c>
      <c r="F24" s="29">
        <v>-1878</v>
      </c>
      <c r="G24" s="29">
        <f t="shared" si="0"/>
        <v>0</v>
      </c>
      <c r="H24" s="23"/>
      <c r="I24" s="23"/>
    </row>
    <row r="25" spans="1:9" s="20" customFormat="1" ht="12" x14ac:dyDescent="0.2">
      <c r="A25" s="20">
        <v>4175</v>
      </c>
      <c r="B25" s="20" t="s">
        <v>104</v>
      </c>
      <c r="C25" s="20">
        <v>9343</v>
      </c>
      <c r="D25" s="20" t="s">
        <v>91</v>
      </c>
      <c r="E25" s="29">
        <v>-4422</v>
      </c>
      <c r="F25" s="29">
        <v>4422</v>
      </c>
      <c r="G25" s="29">
        <f t="shared" si="0"/>
        <v>0</v>
      </c>
      <c r="H25" s="23"/>
      <c r="I25" s="23"/>
    </row>
    <row r="26" spans="1:9" s="20" customFormat="1" ht="12" x14ac:dyDescent="0.2">
      <c r="A26" s="20">
        <v>4179</v>
      </c>
      <c r="B26" s="20" t="s">
        <v>105</v>
      </c>
      <c r="C26" s="20">
        <v>9348</v>
      </c>
      <c r="D26" s="20" t="s">
        <v>91</v>
      </c>
      <c r="E26" s="29">
        <v>-2206</v>
      </c>
      <c r="F26" s="29">
        <v>2206</v>
      </c>
      <c r="G26" s="29">
        <f t="shared" si="0"/>
        <v>0</v>
      </c>
      <c r="H26" s="23"/>
      <c r="I26" s="23"/>
    </row>
    <row r="27" spans="1:9" s="20" customFormat="1" ht="12" x14ac:dyDescent="0.2">
      <c r="A27" s="20">
        <v>12907</v>
      </c>
      <c r="B27" s="20" t="s">
        <v>166</v>
      </c>
      <c r="C27" s="20">
        <v>9360</v>
      </c>
      <c r="D27" s="20" t="s">
        <v>91</v>
      </c>
      <c r="E27" s="29">
        <v>-19523</v>
      </c>
      <c r="F27" s="29">
        <v>19523</v>
      </c>
      <c r="G27" s="29">
        <f t="shared" si="0"/>
        <v>0</v>
      </c>
      <c r="H27" s="23"/>
      <c r="I27" s="23"/>
    </row>
    <row r="28" spans="1:9" s="20" customFormat="1" ht="12" x14ac:dyDescent="0.2">
      <c r="A28" s="20">
        <v>655</v>
      </c>
      <c r="B28" s="20" t="s">
        <v>90</v>
      </c>
      <c r="C28" s="20">
        <v>9372</v>
      </c>
      <c r="D28" s="20" t="s">
        <v>91</v>
      </c>
      <c r="E28" s="29">
        <v>-21590</v>
      </c>
      <c r="F28" s="29">
        <v>21590</v>
      </c>
      <c r="G28" s="29">
        <f t="shared" si="0"/>
        <v>0</v>
      </c>
      <c r="H28" s="23"/>
      <c r="I28" s="23"/>
    </row>
    <row r="29" spans="1:9" s="20" customFormat="1" ht="12" x14ac:dyDescent="0.2">
      <c r="A29" s="20">
        <v>5736</v>
      </c>
      <c r="B29" s="20" t="s">
        <v>123</v>
      </c>
      <c r="C29" s="20">
        <v>9374</v>
      </c>
      <c r="D29" s="20" t="s">
        <v>91</v>
      </c>
      <c r="E29" s="29">
        <v>-6652</v>
      </c>
      <c r="F29" s="29">
        <f>32712-21590-4470</f>
        <v>6652</v>
      </c>
      <c r="G29" s="29">
        <f t="shared" si="0"/>
        <v>0</v>
      </c>
      <c r="H29" s="23"/>
      <c r="I29" s="23"/>
    </row>
    <row r="30" spans="1:9" s="20" customFormat="1" ht="12" x14ac:dyDescent="0.2">
      <c r="A30" s="20">
        <v>13252</v>
      </c>
      <c r="B30" s="20" t="s">
        <v>157</v>
      </c>
      <c r="C30" s="20">
        <v>9383</v>
      </c>
      <c r="D30" s="20" t="s">
        <v>91</v>
      </c>
      <c r="E30" s="29">
        <v>2635</v>
      </c>
      <c r="F30" s="29">
        <v>-2635</v>
      </c>
      <c r="G30" s="29">
        <f t="shared" si="0"/>
        <v>0</v>
      </c>
      <c r="H30" s="23"/>
      <c r="I30" s="23"/>
    </row>
    <row r="31" spans="1:9" s="20" customFormat="1" ht="12" x14ac:dyDescent="0.2">
      <c r="A31" s="20">
        <v>11420</v>
      </c>
      <c r="B31" s="20" t="s">
        <v>97</v>
      </c>
      <c r="C31" s="20">
        <v>9387</v>
      </c>
      <c r="D31" s="20" t="s">
        <v>91</v>
      </c>
      <c r="E31" s="29">
        <v>-14180</v>
      </c>
      <c r="F31" s="29">
        <f>11241+2939</f>
        <v>14180</v>
      </c>
      <c r="G31" s="29">
        <f t="shared" si="0"/>
        <v>0</v>
      </c>
      <c r="H31" s="23"/>
      <c r="I31" s="23"/>
    </row>
    <row r="32" spans="1:9" s="20" customFormat="1" ht="12" x14ac:dyDescent="0.2">
      <c r="A32" s="20">
        <v>4118</v>
      </c>
      <c r="B32" s="20" t="s">
        <v>99</v>
      </c>
      <c r="C32" s="20">
        <v>9391</v>
      </c>
      <c r="D32" s="20" t="s">
        <v>91</v>
      </c>
      <c r="E32" s="29">
        <v>-4620</v>
      </c>
      <c r="F32" s="29">
        <v>4620</v>
      </c>
      <c r="G32" s="29">
        <f t="shared" si="0"/>
        <v>0</v>
      </c>
      <c r="H32" s="23"/>
      <c r="I32" s="23"/>
    </row>
    <row r="33" spans="1:9" s="20" customFormat="1" ht="12" x14ac:dyDescent="0.2">
      <c r="A33" s="20">
        <v>2974</v>
      </c>
      <c r="B33" s="20" t="s">
        <v>111</v>
      </c>
      <c r="C33" s="20">
        <v>9392</v>
      </c>
      <c r="D33" s="20" t="s">
        <v>91</v>
      </c>
      <c r="E33" s="29">
        <v>-1970</v>
      </c>
      <c r="F33" s="29">
        <v>1970</v>
      </c>
      <c r="G33" s="29">
        <f t="shared" si="0"/>
        <v>0</v>
      </c>
      <c r="H33" s="23"/>
      <c r="I33" s="23"/>
    </row>
    <row r="34" spans="1:9" s="20" customFormat="1" ht="12" x14ac:dyDescent="0.2">
      <c r="A34" s="20">
        <v>4120</v>
      </c>
      <c r="B34" s="20" t="s">
        <v>94</v>
      </c>
      <c r="C34" s="20">
        <v>9395</v>
      </c>
      <c r="D34" s="20" t="s">
        <v>91</v>
      </c>
      <c r="E34" s="29">
        <v>30764</v>
      </c>
      <c r="F34" s="29">
        <v>-30764</v>
      </c>
      <c r="G34" s="29">
        <f t="shared" si="0"/>
        <v>0</v>
      </c>
      <c r="H34" s="23"/>
      <c r="I34" s="23"/>
    </row>
    <row r="35" spans="1:9" s="20" customFormat="1" ht="12" x14ac:dyDescent="0.2">
      <c r="A35" s="20">
        <v>3974</v>
      </c>
      <c r="B35" s="20" t="s">
        <v>115</v>
      </c>
      <c r="C35" s="20">
        <v>9404</v>
      </c>
      <c r="D35" s="20" t="s">
        <v>91</v>
      </c>
      <c r="E35" s="29">
        <v>3035</v>
      </c>
      <c r="F35" s="29">
        <v>-3035</v>
      </c>
      <c r="G35" s="29">
        <f t="shared" si="0"/>
        <v>0</v>
      </c>
      <c r="H35" s="23"/>
      <c r="I35" s="23"/>
    </row>
    <row r="36" spans="1:9" s="20" customFormat="1" ht="12" x14ac:dyDescent="0.2">
      <c r="A36" s="20">
        <v>6431</v>
      </c>
      <c r="B36" s="20" t="s">
        <v>117</v>
      </c>
      <c r="C36" s="20">
        <v>9412</v>
      </c>
      <c r="D36" s="20" t="s">
        <v>91</v>
      </c>
      <c r="E36" s="29">
        <v>17949</v>
      </c>
      <c r="F36" s="29">
        <v>-17949</v>
      </c>
      <c r="G36" s="29">
        <f t="shared" si="0"/>
        <v>0</v>
      </c>
      <c r="H36" s="23"/>
      <c r="I36" s="23"/>
    </row>
    <row r="37" spans="1:9" s="20" customFormat="1" ht="12" x14ac:dyDescent="0.2">
      <c r="A37" s="20">
        <v>2974</v>
      </c>
      <c r="B37" s="20" t="s">
        <v>111</v>
      </c>
      <c r="C37" s="20">
        <v>9393</v>
      </c>
      <c r="D37" s="20" t="s">
        <v>101</v>
      </c>
      <c r="E37" s="29">
        <v>1610</v>
      </c>
      <c r="F37" s="29">
        <v>-1610</v>
      </c>
      <c r="G37" s="29">
        <f t="shared" si="0"/>
        <v>0</v>
      </c>
      <c r="H37" s="23"/>
      <c r="I37" s="23"/>
    </row>
    <row r="38" spans="1:9" s="20" customFormat="1" ht="12" x14ac:dyDescent="0.2">
      <c r="A38" s="20">
        <v>11793</v>
      </c>
      <c r="B38" s="20" t="s">
        <v>93</v>
      </c>
      <c r="C38" s="20">
        <v>9381</v>
      </c>
      <c r="D38" s="20" t="s">
        <v>121</v>
      </c>
      <c r="E38" s="29">
        <v>-3</v>
      </c>
      <c r="F38" s="29">
        <v>3</v>
      </c>
      <c r="G38" s="29">
        <f>+E38+F38</f>
        <v>0</v>
      </c>
      <c r="H38" s="23"/>
      <c r="I38" s="23"/>
    </row>
    <row r="39" spans="1:9" s="20" customFormat="1" ht="12" x14ac:dyDescent="0.2">
      <c r="A39" s="20">
        <v>4101</v>
      </c>
      <c r="B39" s="20" t="s">
        <v>110</v>
      </c>
      <c r="C39" s="20">
        <v>9384</v>
      </c>
      <c r="D39" s="20" t="s">
        <v>91</v>
      </c>
      <c r="E39" s="29">
        <v>4663</v>
      </c>
      <c r="F39" s="29">
        <v>-4620</v>
      </c>
      <c r="G39" s="29">
        <f t="shared" si="0"/>
        <v>43</v>
      </c>
      <c r="H39" s="23"/>
      <c r="I39" s="23"/>
    </row>
    <row r="40" spans="1:9" s="20" customFormat="1" ht="12" x14ac:dyDescent="0.2">
      <c r="A40" s="20">
        <v>330</v>
      </c>
      <c r="B40" s="20" t="s">
        <v>165</v>
      </c>
      <c r="C40" s="20">
        <v>9363</v>
      </c>
      <c r="D40" s="20" t="s">
        <v>101</v>
      </c>
      <c r="E40" s="29">
        <v>456</v>
      </c>
      <c r="F40" s="29"/>
      <c r="G40" s="29">
        <f t="shared" si="0"/>
        <v>456</v>
      </c>
      <c r="H40" s="23"/>
      <c r="I40" s="23"/>
    </row>
    <row r="41" spans="1:9" s="20" customFormat="1" ht="12" x14ac:dyDescent="0.2">
      <c r="A41" s="20">
        <v>6268</v>
      </c>
      <c r="B41" s="20" t="s">
        <v>96</v>
      </c>
      <c r="C41" s="20">
        <v>9369</v>
      </c>
      <c r="D41" s="20" t="s">
        <v>121</v>
      </c>
      <c r="E41" s="29">
        <v>1155</v>
      </c>
      <c r="F41" s="29">
        <v>-3</v>
      </c>
      <c r="G41" s="29">
        <f>+E41+F41</f>
        <v>1152</v>
      </c>
      <c r="H41" s="23"/>
      <c r="I41" s="23"/>
    </row>
    <row r="42" spans="1:9" s="20" customFormat="1" ht="12" x14ac:dyDescent="0.2">
      <c r="A42" s="20">
        <v>4131</v>
      </c>
      <c r="B42" s="20" t="s">
        <v>118</v>
      </c>
      <c r="C42" s="20">
        <v>9406</v>
      </c>
      <c r="D42" s="20" t="s">
        <v>101</v>
      </c>
      <c r="E42" s="29">
        <v>2138</v>
      </c>
      <c r="F42" s="29"/>
      <c r="G42" s="29">
        <f t="shared" si="0"/>
        <v>2138</v>
      </c>
      <c r="H42" s="23"/>
      <c r="I42" s="23"/>
    </row>
    <row r="43" spans="1:9" s="20" customFormat="1" ht="12" x14ac:dyDescent="0.2">
      <c r="A43" s="20">
        <v>6268</v>
      </c>
      <c r="B43" s="20" t="s">
        <v>96</v>
      </c>
      <c r="C43" s="20">
        <v>9370</v>
      </c>
      <c r="D43" s="20" t="s">
        <v>101</v>
      </c>
      <c r="E43" s="29">
        <v>14544</v>
      </c>
      <c r="F43" s="29">
        <v>-5000</v>
      </c>
      <c r="G43" s="29">
        <f t="shared" si="0"/>
        <v>9544</v>
      </c>
      <c r="H43" s="23"/>
      <c r="I43" s="23"/>
    </row>
    <row r="44" spans="1:9" s="24" customFormat="1" ht="12" x14ac:dyDescent="0.2">
      <c r="B44" s="24" t="s">
        <v>219</v>
      </c>
      <c r="E44" s="30">
        <f>SUM(E24:E43)</f>
        <v>5661</v>
      </c>
      <c r="F44" s="30">
        <f>SUM(F24:F43)</f>
        <v>7672</v>
      </c>
      <c r="G44" s="30">
        <f>SUM(G24:G43)</f>
        <v>13333</v>
      </c>
      <c r="H44" s="27">
        <v>5.82</v>
      </c>
      <c r="I44" s="27">
        <f>ROUND(G44*H44,2)</f>
        <v>77598.06</v>
      </c>
    </row>
    <row r="45" spans="1:9" s="20" customFormat="1" ht="12" x14ac:dyDescent="0.2">
      <c r="E45" s="29"/>
      <c r="F45" s="29"/>
      <c r="G45" s="29"/>
      <c r="H45" s="23"/>
      <c r="I45" s="23"/>
    </row>
    <row r="46" spans="1:9" s="24" customFormat="1" ht="12" x14ac:dyDescent="0.2">
      <c r="B46" s="24" t="s">
        <v>74</v>
      </c>
      <c r="E46" s="30"/>
      <c r="F46" s="30"/>
      <c r="G46" s="30">
        <f>+G21+G44</f>
        <v>-350281</v>
      </c>
      <c r="H46" s="27"/>
      <c r="I46" s="27"/>
    </row>
    <row r="47" spans="1:9" s="24" customFormat="1" ht="12" x14ac:dyDescent="0.2">
      <c r="E47" s="30"/>
      <c r="F47" s="30"/>
      <c r="G47" s="30"/>
      <c r="H47" s="27"/>
      <c r="I47" s="27"/>
    </row>
    <row r="48" spans="1:9" s="24" customFormat="1" ht="12" x14ac:dyDescent="0.2">
      <c r="B48" s="24" t="s">
        <v>176</v>
      </c>
      <c r="E48" s="30"/>
      <c r="F48" s="30"/>
      <c r="G48" s="30">
        <v>-348108</v>
      </c>
      <c r="H48" s="27"/>
      <c r="I48" s="27"/>
    </row>
    <row r="49" spans="1:9" s="24" customFormat="1" ht="12" x14ac:dyDescent="0.2">
      <c r="B49" s="24" t="s">
        <v>177</v>
      </c>
      <c r="E49" s="30"/>
      <c r="F49" s="30"/>
      <c r="G49" s="30">
        <v>-127216</v>
      </c>
      <c r="H49" s="27"/>
      <c r="I49" s="27"/>
    </row>
    <row r="50" spans="1:9" s="24" customFormat="1" ht="12" x14ac:dyDescent="0.2">
      <c r="B50" s="24" t="s">
        <v>71</v>
      </c>
      <c r="E50" s="30"/>
      <c r="F50" s="30"/>
      <c r="G50" s="30">
        <f>+G46-G48-G49</f>
        <v>125043</v>
      </c>
      <c r="H50" s="27"/>
      <c r="I50" s="27"/>
    </row>
    <row r="51" spans="1:9" s="20" customFormat="1" ht="12" x14ac:dyDescent="0.2">
      <c r="E51" s="29"/>
      <c r="F51" s="29"/>
      <c r="G51" s="29"/>
      <c r="H51" s="23"/>
      <c r="I51" s="23"/>
    </row>
    <row r="52" spans="1:9" s="20" customFormat="1" ht="12" x14ac:dyDescent="0.2">
      <c r="E52" s="29"/>
      <c r="F52" s="29"/>
      <c r="G52" s="29"/>
      <c r="H52" s="23"/>
      <c r="I52" s="23"/>
    </row>
    <row r="53" spans="1:9" s="20" customFormat="1" ht="12" x14ac:dyDescent="0.2">
      <c r="E53" s="29"/>
      <c r="F53" s="29"/>
      <c r="G53" s="29"/>
      <c r="H53" s="23"/>
      <c r="I53" s="23"/>
    </row>
    <row r="54" spans="1:9" s="20" customFormat="1" ht="12" x14ac:dyDescent="0.2">
      <c r="E54" s="29"/>
      <c r="F54" s="29"/>
      <c r="G54" s="29"/>
      <c r="H54" s="23"/>
      <c r="I54" s="23"/>
    </row>
    <row r="55" spans="1:9" s="20" customFormat="1" ht="12" x14ac:dyDescent="0.2">
      <c r="A55" s="20">
        <v>330</v>
      </c>
      <c r="B55" s="20" t="s">
        <v>165</v>
      </c>
      <c r="C55" s="20">
        <v>9361</v>
      </c>
      <c r="D55" s="20" t="s">
        <v>127</v>
      </c>
      <c r="E55" s="29">
        <v>-75094</v>
      </c>
      <c r="F55" s="29">
        <f>32331+11143+3639</f>
        <v>47113</v>
      </c>
      <c r="G55" s="29">
        <f t="shared" ref="G55:G87" si="1">+E55+F55</f>
        <v>-27981</v>
      </c>
      <c r="H55" s="23"/>
      <c r="I55" s="23"/>
    </row>
    <row r="56" spans="1:9" s="20" customFormat="1" ht="12" x14ac:dyDescent="0.2">
      <c r="A56" s="20">
        <v>1455</v>
      </c>
      <c r="B56" s="20" t="s">
        <v>129</v>
      </c>
      <c r="C56" s="20">
        <v>9347</v>
      </c>
      <c r="D56" s="20" t="s">
        <v>127</v>
      </c>
      <c r="E56" s="29">
        <v>-7617</v>
      </c>
      <c r="F56" s="29">
        <v>-3539</v>
      </c>
      <c r="G56" s="29">
        <f t="shared" si="0"/>
        <v>-11156</v>
      </c>
      <c r="H56" s="23"/>
      <c r="I56" s="23"/>
    </row>
    <row r="57" spans="1:9" s="20" customFormat="1" ht="12" x14ac:dyDescent="0.2">
      <c r="A57" s="20">
        <v>11793</v>
      </c>
      <c r="B57" s="20" t="s">
        <v>93</v>
      </c>
      <c r="C57" s="20">
        <v>9378</v>
      </c>
      <c r="D57" s="20" t="s">
        <v>127</v>
      </c>
      <c r="E57" s="29">
        <v>-9980</v>
      </c>
      <c r="F57" s="29"/>
      <c r="G57" s="29">
        <f t="shared" si="0"/>
        <v>-9980</v>
      </c>
      <c r="H57" s="23"/>
      <c r="I57" s="23"/>
    </row>
    <row r="58" spans="1:9" s="20" customFormat="1" ht="12" x14ac:dyDescent="0.2">
      <c r="A58" s="20">
        <v>3975</v>
      </c>
      <c r="B58" s="20" t="s">
        <v>148</v>
      </c>
      <c r="C58" s="20">
        <v>9351</v>
      </c>
      <c r="D58" s="20" t="s">
        <v>127</v>
      </c>
      <c r="E58" s="29">
        <v>-1103</v>
      </c>
      <c r="F58" s="29"/>
      <c r="G58" s="29">
        <f t="shared" si="0"/>
        <v>-1103</v>
      </c>
      <c r="H58" s="23"/>
      <c r="I58" s="23"/>
    </row>
    <row r="59" spans="1:9" s="20" customFormat="1" ht="12" x14ac:dyDescent="0.2">
      <c r="A59" s="20">
        <v>11893</v>
      </c>
      <c r="B59" s="20" t="s">
        <v>131</v>
      </c>
      <c r="C59" s="20">
        <v>9413</v>
      </c>
      <c r="D59" s="20" t="s">
        <v>127</v>
      </c>
      <c r="E59" s="29">
        <v>-137</v>
      </c>
      <c r="F59" s="29"/>
      <c r="G59" s="29">
        <f t="shared" si="0"/>
        <v>-137</v>
      </c>
      <c r="H59" s="23"/>
      <c r="I59" s="23"/>
    </row>
    <row r="60" spans="1:9" s="20" customFormat="1" ht="12" x14ac:dyDescent="0.2">
      <c r="A60" s="20">
        <v>7834</v>
      </c>
      <c r="B60" s="20" t="s">
        <v>160</v>
      </c>
      <c r="C60" s="20">
        <v>9340</v>
      </c>
      <c r="D60" s="20" t="s">
        <v>127</v>
      </c>
      <c r="E60" s="29">
        <v>-109</v>
      </c>
      <c r="F60" s="29"/>
      <c r="G60" s="29">
        <f t="shared" si="0"/>
        <v>-109</v>
      </c>
      <c r="H60" s="23"/>
      <c r="I60" s="23"/>
    </row>
    <row r="61" spans="1:9" s="20" customFormat="1" ht="12" x14ac:dyDescent="0.2">
      <c r="A61" s="20">
        <v>3974</v>
      </c>
      <c r="B61" s="20" t="s">
        <v>115</v>
      </c>
      <c r="C61" s="20">
        <v>9403</v>
      </c>
      <c r="D61" s="20" t="s">
        <v>127</v>
      </c>
      <c r="E61" s="29">
        <v>-96</v>
      </c>
      <c r="F61" s="29"/>
      <c r="G61" s="29">
        <f t="shared" si="0"/>
        <v>-96</v>
      </c>
      <c r="H61" s="23"/>
      <c r="I61" s="23"/>
    </row>
    <row r="62" spans="1:9" s="20" customFormat="1" ht="12" x14ac:dyDescent="0.2">
      <c r="A62" s="20">
        <v>11145</v>
      </c>
      <c r="B62" s="20" t="s">
        <v>153</v>
      </c>
      <c r="C62" s="20">
        <v>9388</v>
      </c>
      <c r="D62" s="20" t="s">
        <v>127</v>
      </c>
      <c r="E62" s="29">
        <v>-32</v>
      </c>
      <c r="F62" s="29"/>
      <c r="G62" s="29">
        <f t="shared" si="0"/>
        <v>-32</v>
      </c>
      <c r="H62" s="23"/>
      <c r="I62" s="23"/>
    </row>
    <row r="63" spans="1:9" s="24" customFormat="1" ht="12" x14ac:dyDescent="0.2">
      <c r="E63" s="30">
        <f>SUM(E55:E62)</f>
        <v>-94168</v>
      </c>
      <c r="F63" s="30">
        <f>SUM(F55:F62)</f>
        <v>43574</v>
      </c>
      <c r="G63" s="30">
        <f>SUM(G55:G62)</f>
        <v>-50594</v>
      </c>
      <c r="H63" s="27">
        <v>5.77</v>
      </c>
      <c r="I63" s="27">
        <f>ROUND(G63*H63,2)</f>
        <v>-291927.38</v>
      </c>
    </row>
    <row r="64" spans="1:9" s="20" customFormat="1" ht="12" x14ac:dyDescent="0.2">
      <c r="E64" s="29"/>
      <c r="F64" s="29"/>
      <c r="G64" s="29"/>
      <c r="H64" s="23"/>
      <c r="I64" s="23"/>
    </row>
    <row r="65" spans="1:9" s="20" customFormat="1" ht="12" x14ac:dyDescent="0.2">
      <c r="E65" s="29"/>
      <c r="F65" s="29"/>
      <c r="G65" s="29"/>
      <c r="H65" s="23"/>
      <c r="I65" s="23"/>
    </row>
    <row r="66" spans="1:9" s="20" customFormat="1" ht="12" x14ac:dyDescent="0.2">
      <c r="A66" s="20">
        <v>11687</v>
      </c>
      <c r="B66" s="20" t="s">
        <v>106</v>
      </c>
      <c r="C66" s="20">
        <v>9354</v>
      </c>
      <c r="D66" s="20" t="s">
        <v>127</v>
      </c>
      <c r="E66" s="29">
        <v>32331</v>
      </c>
      <c r="F66" s="29">
        <v>-32331</v>
      </c>
      <c r="G66" s="29">
        <f t="shared" si="0"/>
        <v>0</v>
      </c>
      <c r="H66" s="23"/>
      <c r="I66" s="23"/>
    </row>
    <row r="67" spans="1:9" s="20" customFormat="1" ht="12" x14ac:dyDescent="0.2">
      <c r="A67" s="20">
        <v>6268</v>
      </c>
      <c r="B67" s="20" t="s">
        <v>96</v>
      </c>
      <c r="C67" s="20">
        <v>9367</v>
      </c>
      <c r="D67" s="20" t="s">
        <v>127</v>
      </c>
      <c r="E67" s="29">
        <v>4</v>
      </c>
      <c r="F67" s="29">
        <v>-4</v>
      </c>
      <c r="G67" s="29">
        <f t="shared" si="0"/>
        <v>0</v>
      </c>
      <c r="H67" s="23"/>
      <c r="I67" s="23"/>
    </row>
    <row r="68" spans="1:9" s="20" customFormat="1" ht="12" x14ac:dyDescent="0.2">
      <c r="A68" s="20">
        <v>655</v>
      </c>
      <c r="B68" s="20" t="s">
        <v>90</v>
      </c>
      <c r="C68" s="20">
        <v>9371</v>
      </c>
      <c r="D68" s="20" t="s">
        <v>127</v>
      </c>
      <c r="E68" s="29">
        <v>3639</v>
      </c>
      <c r="F68" s="29">
        <v>-3639</v>
      </c>
      <c r="G68" s="29">
        <f t="shared" si="0"/>
        <v>0</v>
      </c>
      <c r="H68" s="23"/>
      <c r="I68" s="23"/>
    </row>
    <row r="69" spans="1:9" s="20" customFormat="1" ht="12" x14ac:dyDescent="0.2">
      <c r="A69" s="20">
        <v>11128</v>
      </c>
      <c r="B69" s="20" t="s">
        <v>140</v>
      </c>
      <c r="C69" s="20">
        <v>9397</v>
      </c>
      <c r="D69" s="20" t="s">
        <v>127</v>
      </c>
      <c r="E69" s="29">
        <v>2776</v>
      </c>
      <c r="F69" s="29">
        <v>-2776</v>
      </c>
      <c r="G69" s="29">
        <f t="shared" si="0"/>
        <v>0</v>
      </c>
      <c r="H69" s="23"/>
      <c r="I69" s="23"/>
    </row>
    <row r="70" spans="1:9" s="20" customFormat="1" ht="12" x14ac:dyDescent="0.2">
      <c r="A70" s="20">
        <v>1141</v>
      </c>
      <c r="B70" s="20" t="s">
        <v>151</v>
      </c>
      <c r="C70" s="20">
        <v>9339</v>
      </c>
      <c r="D70" s="20" t="s">
        <v>127</v>
      </c>
      <c r="E70" s="29">
        <v>1</v>
      </c>
      <c r="F70" s="29"/>
      <c r="G70" s="29">
        <f t="shared" si="0"/>
        <v>1</v>
      </c>
      <c r="H70" s="23"/>
      <c r="I70" s="23"/>
    </row>
    <row r="71" spans="1:9" s="20" customFormat="1" ht="12" x14ac:dyDescent="0.2">
      <c r="A71" s="20">
        <v>2707</v>
      </c>
      <c r="B71" s="20" t="s">
        <v>150</v>
      </c>
      <c r="C71" s="20">
        <v>9341</v>
      </c>
      <c r="D71" s="20" t="s">
        <v>127</v>
      </c>
      <c r="E71" s="29">
        <v>1</v>
      </c>
      <c r="F71" s="29"/>
      <c r="G71" s="29">
        <f t="shared" si="1"/>
        <v>1</v>
      </c>
      <c r="H71" s="23"/>
      <c r="I71" s="23"/>
    </row>
    <row r="72" spans="1:9" s="20" customFormat="1" ht="12" x14ac:dyDescent="0.2">
      <c r="A72" s="20">
        <v>11611</v>
      </c>
      <c r="B72" s="20" t="s">
        <v>147</v>
      </c>
      <c r="C72" s="20">
        <v>9353</v>
      </c>
      <c r="D72" s="20" t="s">
        <v>127</v>
      </c>
      <c r="E72" s="29">
        <v>1</v>
      </c>
      <c r="F72" s="29"/>
      <c r="G72" s="29">
        <f t="shared" si="1"/>
        <v>1</v>
      </c>
      <c r="H72" s="23"/>
      <c r="I72" s="23"/>
    </row>
    <row r="73" spans="1:9" s="20" customFormat="1" ht="12" x14ac:dyDescent="0.2">
      <c r="A73" s="20">
        <v>5736</v>
      </c>
      <c r="B73" s="20" t="s">
        <v>123</v>
      </c>
      <c r="C73" s="20">
        <v>9373</v>
      </c>
      <c r="D73" s="20" t="s">
        <v>127</v>
      </c>
      <c r="E73" s="29">
        <v>1</v>
      </c>
      <c r="F73" s="29"/>
      <c r="G73" s="29">
        <f t="shared" si="1"/>
        <v>1</v>
      </c>
      <c r="H73" s="23"/>
      <c r="I73" s="23"/>
    </row>
    <row r="74" spans="1:9" s="20" customFormat="1" ht="12" x14ac:dyDescent="0.2">
      <c r="A74" s="20">
        <v>4084</v>
      </c>
      <c r="B74" s="20" t="s">
        <v>108</v>
      </c>
      <c r="C74" s="20">
        <v>9375</v>
      </c>
      <c r="D74" s="20" t="s">
        <v>127</v>
      </c>
      <c r="E74" s="29">
        <v>1</v>
      </c>
      <c r="F74" s="29"/>
      <c r="G74" s="29">
        <f t="shared" si="1"/>
        <v>1</v>
      </c>
      <c r="H74" s="23"/>
      <c r="I74" s="23"/>
    </row>
    <row r="75" spans="1:9" s="20" customFormat="1" ht="12" x14ac:dyDescent="0.2">
      <c r="A75" s="20">
        <v>11420</v>
      </c>
      <c r="B75" s="20" t="s">
        <v>97</v>
      </c>
      <c r="C75" s="20">
        <v>9386</v>
      </c>
      <c r="D75" s="20" t="s">
        <v>127</v>
      </c>
      <c r="E75" s="29">
        <v>1</v>
      </c>
      <c r="F75" s="29"/>
      <c r="G75" s="29">
        <f t="shared" si="1"/>
        <v>1</v>
      </c>
      <c r="H75" s="23"/>
      <c r="I75" s="23"/>
    </row>
    <row r="76" spans="1:9" s="20" customFormat="1" ht="12" x14ac:dyDescent="0.2">
      <c r="A76" s="20">
        <v>4118</v>
      </c>
      <c r="B76" s="20" t="s">
        <v>99</v>
      </c>
      <c r="C76" s="20">
        <v>9390</v>
      </c>
      <c r="D76" s="20" t="s">
        <v>127</v>
      </c>
      <c r="E76" s="29">
        <v>1</v>
      </c>
      <c r="F76" s="29"/>
      <c r="G76" s="29">
        <f t="shared" si="1"/>
        <v>1</v>
      </c>
      <c r="H76" s="23"/>
      <c r="I76" s="23"/>
    </row>
    <row r="77" spans="1:9" s="20" customFormat="1" ht="12" x14ac:dyDescent="0.2">
      <c r="A77" s="20">
        <v>8573</v>
      </c>
      <c r="B77" s="20" t="s">
        <v>53</v>
      </c>
      <c r="C77" s="20">
        <v>9407</v>
      </c>
      <c r="D77" s="20" t="s">
        <v>127</v>
      </c>
      <c r="E77" s="29">
        <v>2</v>
      </c>
      <c r="F77" s="29"/>
      <c r="G77" s="29">
        <f t="shared" si="1"/>
        <v>2</v>
      </c>
      <c r="H77" s="23"/>
      <c r="I77" s="23"/>
    </row>
    <row r="78" spans="1:9" s="20" customFormat="1" ht="12" x14ac:dyDescent="0.2">
      <c r="A78" s="20">
        <v>4109</v>
      </c>
      <c r="B78" s="20" t="s">
        <v>92</v>
      </c>
      <c r="C78" s="20">
        <v>9410</v>
      </c>
      <c r="D78" s="20" t="s">
        <v>127</v>
      </c>
      <c r="E78" s="29">
        <v>3</v>
      </c>
      <c r="F78" s="29"/>
      <c r="G78" s="29">
        <f t="shared" si="1"/>
        <v>3</v>
      </c>
      <c r="H78" s="23"/>
      <c r="I78" s="23"/>
    </row>
    <row r="79" spans="1:9" s="20" customFormat="1" ht="12" x14ac:dyDescent="0.2">
      <c r="A79" s="20">
        <v>7812</v>
      </c>
      <c r="B79" s="20" t="s">
        <v>66</v>
      </c>
      <c r="C79" s="20">
        <v>9414</v>
      </c>
      <c r="D79" s="20" t="s">
        <v>127</v>
      </c>
      <c r="E79" s="29">
        <v>1</v>
      </c>
      <c r="F79" s="29">
        <v>4</v>
      </c>
      <c r="G79" s="29">
        <f>+E79+F79</f>
        <v>5</v>
      </c>
      <c r="H79" s="23"/>
      <c r="I79" s="23"/>
    </row>
    <row r="80" spans="1:9" s="20" customFormat="1" ht="12" x14ac:dyDescent="0.2">
      <c r="A80" s="20">
        <v>4120</v>
      </c>
      <c r="B80" s="20" t="s">
        <v>94</v>
      </c>
      <c r="C80" s="20">
        <v>9394</v>
      </c>
      <c r="D80" s="20" t="s">
        <v>127</v>
      </c>
      <c r="E80" s="29">
        <v>8</v>
      </c>
      <c r="F80" s="29"/>
      <c r="G80" s="29">
        <f t="shared" si="1"/>
        <v>8</v>
      </c>
      <c r="H80" s="23"/>
      <c r="I80" s="23"/>
    </row>
    <row r="81" spans="1:9" s="20" customFormat="1" ht="12" x14ac:dyDescent="0.2">
      <c r="A81" s="20">
        <v>11937</v>
      </c>
      <c r="B81" s="20" t="s">
        <v>137</v>
      </c>
      <c r="C81" s="20">
        <v>9358</v>
      </c>
      <c r="D81" s="20" t="s">
        <v>127</v>
      </c>
      <c r="E81" s="29">
        <v>175</v>
      </c>
      <c r="F81" s="29"/>
      <c r="G81" s="29">
        <f t="shared" si="1"/>
        <v>175</v>
      </c>
      <c r="H81" s="23"/>
      <c r="I81" s="23"/>
    </row>
    <row r="82" spans="1:9" s="20" customFormat="1" ht="12" x14ac:dyDescent="0.2">
      <c r="A82" s="20">
        <v>12673</v>
      </c>
      <c r="B82" s="20" t="s">
        <v>134</v>
      </c>
      <c r="C82" s="20">
        <v>9337</v>
      </c>
      <c r="D82" s="20" t="s">
        <v>127</v>
      </c>
      <c r="E82" s="29">
        <v>187</v>
      </c>
      <c r="F82" s="29"/>
      <c r="G82" s="29">
        <f>+E82+F82</f>
        <v>187</v>
      </c>
      <c r="H82" s="23"/>
      <c r="I82" s="23"/>
    </row>
    <row r="83" spans="1:9" s="20" customFormat="1" ht="12" x14ac:dyDescent="0.2">
      <c r="A83" s="20">
        <v>7672</v>
      </c>
      <c r="B83" s="20" t="s">
        <v>156</v>
      </c>
      <c r="C83" s="20">
        <v>9349</v>
      </c>
      <c r="D83" s="20" t="s">
        <v>127</v>
      </c>
      <c r="E83" s="29">
        <v>230</v>
      </c>
      <c r="F83" s="29"/>
      <c r="G83" s="29">
        <f t="shared" si="1"/>
        <v>230</v>
      </c>
      <c r="H83" s="23"/>
      <c r="I83" s="23"/>
    </row>
    <row r="84" spans="1:9" s="20" customFormat="1" ht="12" x14ac:dyDescent="0.2">
      <c r="A84" s="20">
        <v>11641</v>
      </c>
      <c r="B84" s="20" t="s">
        <v>133</v>
      </c>
      <c r="C84" s="20">
        <v>9345</v>
      </c>
      <c r="D84" s="20" t="s">
        <v>127</v>
      </c>
      <c r="E84" s="29">
        <v>1164</v>
      </c>
      <c r="F84" s="29"/>
      <c r="G84" s="29">
        <f t="shared" si="1"/>
        <v>1164</v>
      </c>
      <c r="H84" s="23"/>
      <c r="I84" s="23"/>
    </row>
    <row r="85" spans="1:9" s="20" customFormat="1" ht="12" x14ac:dyDescent="0.2">
      <c r="A85" s="20">
        <v>6321</v>
      </c>
      <c r="B85" s="20" t="s">
        <v>113</v>
      </c>
      <c r="C85" s="20">
        <v>9399</v>
      </c>
      <c r="D85" s="20" t="s">
        <v>127</v>
      </c>
      <c r="E85" s="29">
        <v>2564</v>
      </c>
      <c r="F85" s="29"/>
      <c r="G85" s="29">
        <f t="shared" si="1"/>
        <v>2564</v>
      </c>
      <c r="H85" s="23"/>
      <c r="I85" s="23"/>
    </row>
    <row r="86" spans="1:9" s="20" customFormat="1" ht="12" x14ac:dyDescent="0.2">
      <c r="A86" s="20">
        <v>4997</v>
      </c>
      <c r="B86" s="20" t="s">
        <v>132</v>
      </c>
      <c r="C86" s="20">
        <v>9356</v>
      </c>
      <c r="D86" s="20" t="s">
        <v>127</v>
      </c>
      <c r="E86" s="29">
        <v>727</v>
      </c>
      <c r="F86" s="29">
        <v>2776</v>
      </c>
      <c r="G86" s="29">
        <f t="shared" si="1"/>
        <v>3503</v>
      </c>
      <c r="H86" s="23"/>
      <c r="I86" s="23"/>
    </row>
    <row r="87" spans="1:9" s="20" customFormat="1" ht="12" x14ac:dyDescent="0.2">
      <c r="A87" s="20">
        <v>12907</v>
      </c>
      <c r="B87" s="20" t="s">
        <v>166</v>
      </c>
      <c r="C87" s="20">
        <v>9359</v>
      </c>
      <c r="D87" s="20" t="s">
        <v>127</v>
      </c>
      <c r="E87" s="29">
        <v>11143</v>
      </c>
      <c r="F87" s="29">
        <f>-11143+3539</f>
        <v>-7604</v>
      </c>
      <c r="G87" s="29">
        <f t="shared" si="1"/>
        <v>3539</v>
      </c>
      <c r="H87" s="23"/>
      <c r="I87" s="23"/>
    </row>
    <row r="88" spans="1:9" s="9" customFormat="1" x14ac:dyDescent="0.2">
      <c r="E88" s="10">
        <f>SUM(E66:E87)</f>
        <v>54961</v>
      </c>
      <c r="F88" s="10">
        <f>SUM(F66:F87)</f>
        <v>-43574</v>
      </c>
      <c r="G88" s="10">
        <f>SUM(G66:G87)</f>
        <v>11387</v>
      </c>
      <c r="H88" s="14">
        <v>5.82</v>
      </c>
      <c r="I88" s="27">
        <f>ROUND(G88*H88,2)</f>
        <v>66272.34</v>
      </c>
    </row>
    <row r="90" spans="1:9" s="20" customFormat="1" ht="12" x14ac:dyDescent="0.2">
      <c r="A90" s="20">
        <v>8573</v>
      </c>
      <c r="B90" s="20" t="s">
        <v>53</v>
      </c>
      <c r="C90" s="20">
        <v>9408</v>
      </c>
      <c r="D90" s="20" t="s">
        <v>154</v>
      </c>
      <c r="E90" s="29">
        <v>-20772</v>
      </c>
      <c r="F90" s="29"/>
      <c r="G90" s="29">
        <f t="shared" ref="G90:G101" si="2">+E90+F90</f>
        <v>-20772</v>
      </c>
      <c r="H90" s="23"/>
      <c r="I90" s="23"/>
    </row>
    <row r="91" spans="1:9" s="20" customFormat="1" ht="12" x14ac:dyDescent="0.2">
      <c r="A91" s="20">
        <v>11793</v>
      </c>
      <c r="B91" s="20" t="s">
        <v>93</v>
      </c>
      <c r="C91" s="20">
        <v>9379</v>
      </c>
      <c r="D91" s="20" t="s">
        <v>154</v>
      </c>
      <c r="E91" s="29">
        <v>-20915</v>
      </c>
      <c r="F91" s="29">
        <v>6983</v>
      </c>
      <c r="G91" s="29">
        <f t="shared" si="2"/>
        <v>-13932</v>
      </c>
      <c r="H91" s="23"/>
      <c r="I91" s="23"/>
    </row>
    <row r="92" spans="1:9" s="20" customFormat="1" ht="12" x14ac:dyDescent="0.2">
      <c r="A92" s="20">
        <v>6321</v>
      </c>
      <c r="B92" s="20" t="s">
        <v>113</v>
      </c>
      <c r="C92" s="20">
        <v>9400</v>
      </c>
      <c r="D92" s="20" t="s">
        <v>154</v>
      </c>
      <c r="E92" s="29">
        <v>-9808</v>
      </c>
      <c r="F92" s="29"/>
      <c r="G92" s="29">
        <f t="shared" si="2"/>
        <v>-9808</v>
      </c>
      <c r="H92" s="23"/>
      <c r="I92" s="23"/>
    </row>
    <row r="93" spans="1:9" s="20" customFormat="1" ht="12" x14ac:dyDescent="0.2">
      <c r="A93" s="20">
        <v>11641</v>
      </c>
      <c r="B93" s="20" t="s">
        <v>133</v>
      </c>
      <c r="C93" s="20">
        <v>9346</v>
      </c>
      <c r="D93" s="20" t="s">
        <v>154</v>
      </c>
      <c r="E93" s="29">
        <v>-848</v>
      </c>
      <c r="F93" s="29"/>
      <c r="G93" s="29">
        <f t="shared" si="2"/>
        <v>-848</v>
      </c>
      <c r="H93" s="23"/>
      <c r="I93" s="23"/>
    </row>
    <row r="94" spans="1:9" s="20" customFormat="1" ht="12" x14ac:dyDescent="0.2">
      <c r="A94" s="20">
        <v>330</v>
      </c>
      <c r="B94" s="20" t="s">
        <v>165</v>
      </c>
      <c r="C94" s="20">
        <v>9362</v>
      </c>
      <c r="D94" s="20" t="s">
        <v>154</v>
      </c>
      <c r="E94" s="29">
        <v>-112</v>
      </c>
      <c r="F94" s="29"/>
      <c r="G94" s="29">
        <f t="shared" si="2"/>
        <v>-112</v>
      </c>
      <c r="H94" s="23"/>
      <c r="I94" s="23"/>
    </row>
    <row r="95" spans="1:9" s="24" customFormat="1" ht="12" x14ac:dyDescent="0.2">
      <c r="E95" s="30">
        <f>SUM(E90:E94)</f>
        <v>-52455</v>
      </c>
      <c r="F95" s="30">
        <f>SUM(F90:F94)</f>
        <v>6983</v>
      </c>
      <c r="G95" s="30">
        <f>SUM(G90:G94)</f>
        <v>-45472</v>
      </c>
      <c r="H95" s="27">
        <v>5.77</v>
      </c>
      <c r="I95" s="27">
        <f>ROUND(G95*H95,2)</f>
        <v>-262373.44</v>
      </c>
    </row>
    <row r="96" spans="1:9" s="20" customFormat="1" ht="12" x14ac:dyDescent="0.2">
      <c r="E96" s="29"/>
      <c r="F96" s="29"/>
      <c r="G96" s="29"/>
      <c r="H96" s="23"/>
      <c r="I96" s="23"/>
    </row>
    <row r="97" spans="1:9" s="20" customFormat="1" ht="12" x14ac:dyDescent="0.2">
      <c r="E97" s="29"/>
      <c r="F97" s="29"/>
      <c r="G97" s="29"/>
      <c r="H97" s="23"/>
      <c r="I97" s="23"/>
    </row>
    <row r="98" spans="1:9" s="20" customFormat="1" ht="12" x14ac:dyDescent="0.2">
      <c r="A98" s="20">
        <v>11905</v>
      </c>
      <c r="B98" s="20" t="s">
        <v>141</v>
      </c>
      <c r="C98" s="20">
        <v>9338</v>
      </c>
      <c r="D98" s="20" t="s">
        <v>154</v>
      </c>
      <c r="E98" s="29">
        <v>6983</v>
      </c>
      <c r="F98" s="29">
        <v>-6983</v>
      </c>
      <c r="G98" s="29">
        <f t="shared" si="2"/>
        <v>0</v>
      </c>
      <c r="H98" s="23"/>
      <c r="I98" s="23"/>
    </row>
    <row r="99" spans="1:9" s="20" customFormat="1" ht="12" x14ac:dyDescent="0.2">
      <c r="A99" s="20">
        <v>4997</v>
      </c>
      <c r="B99" s="20" t="s">
        <v>132</v>
      </c>
      <c r="C99" s="20">
        <v>9357</v>
      </c>
      <c r="D99" s="20" t="s">
        <v>154</v>
      </c>
      <c r="E99" s="29">
        <v>1419</v>
      </c>
      <c r="F99" s="29"/>
      <c r="G99" s="29">
        <f t="shared" si="2"/>
        <v>1419</v>
      </c>
      <c r="H99" s="23"/>
      <c r="I99" s="23"/>
    </row>
    <row r="100" spans="1:9" s="20" customFormat="1" ht="12" x14ac:dyDescent="0.2">
      <c r="A100" s="20">
        <v>3975</v>
      </c>
      <c r="B100" s="20" t="s">
        <v>148</v>
      </c>
      <c r="C100" s="20">
        <v>9352</v>
      </c>
      <c r="D100" s="20" t="s">
        <v>154</v>
      </c>
      <c r="E100" s="29">
        <v>8200</v>
      </c>
      <c r="F100" s="29"/>
      <c r="G100" s="29">
        <f t="shared" si="2"/>
        <v>8200</v>
      </c>
      <c r="H100" s="23"/>
      <c r="I100" s="23"/>
    </row>
    <row r="101" spans="1:9" s="20" customFormat="1" ht="12" x14ac:dyDescent="0.2">
      <c r="A101" s="20">
        <v>7672</v>
      </c>
      <c r="B101" s="20" t="s">
        <v>156</v>
      </c>
      <c r="C101" s="20">
        <v>9350</v>
      </c>
      <c r="D101" s="20" t="s">
        <v>154</v>
      </c>
      <c r="E101" s="29">
        <v>9501</v>
      </c>
      <c r="F101" s="29"/>
      <c r="G101" s="29">
        <f t="shared" si="2"/>
        <v>9501</v>
      </c>
      <c r="H101" s="23"/>
      <c r="I101" s="23"/>
    </row>
    <row r="102" spans="1:9" s="9" customFormat="1" x14ac:dyDescent="0.2">
      <c r="E102" s="10">
        <f>SUM(E98:E101)</f>
        <v>26103</v>
      </c>
      <c r="F102" s="10">
        <f>SUM(F98:F101)</f>
        <v>-6983</v>
      </c>
      <c r="G102" s="10">
        <f>SUM(G98:G101)</f>
        <v>19120</v>
      </c>
      <c r="H102" s="14">
        <v>5.82</v>
      </c>
      <c r="I102" s="27">
        <f>ROUND(G102*H102,2)</f>
        <v>111278.39999999999</v>
      </c>
    </row>
    <row r="105" spans="1:9" s="9" customFormat="1" x14ac:dyDescent="0.2">
      <c r="B105" s="9" t="s">
        <v>216</v>
      </c>
      <c r="E105" s="10">
        <f>+E102+E95+E88+E63+E44+E21</f>
        <v>-415840</v>
      </c>
      <c r="F105" s="10">
        <f>+F102+F95+F88+F63+F44+F21</f>
        <v>0</v>
      </c>
      <c r="G105" s="10">
        <f>+G102+G95+G88+G63+G44+G21</f>
        <v>-415840</v>
      </c>
      <c r="H105" s="14"/>
      <c r="I105" s="14">
        <f>+I102+I95+I88+I63+I44+I21</f>
        <v>-2397204.7999999998</v>
      </c>
    </row>
    <row r="108" spans="1:9" x14ac:dyDescent="0.2">
      <c r="B108" t="s">
        <v>225</v>
      </c>
      <c r="G108" s="6">
        <f>+G95+G63+G21</f>
        <v>-459680</v>
      </c>
      <c r="I108" s="13">
        <f>+I95+I63+I21</f>
        <v>-2652353.5999999996</v>
      </c>
    </row>
    <row r="110" spans="1:9" x14ac:dyDescent="0.2">
      <c r="B110" t="s">
        <v>226</v>
      </c>
      <c r="G110" s="6">
        <f>+G102+G88+G44</f>
        <v>43840</v>
      </c>
      <c r="I110" s="13">
        <f>+I102+I88+I44</f>
        <v>255148.79999999999</v>
      </c>
    </row>
    <row r="112" spans="1:9" x14ac:dyDescent="0.2">
      <c r="B112" t="s">
        <v>227</v>
      </c>
      <c r="G112" s="6">
        <f>SUM(G108:G111)</f>
        <v>-415840</v>
      </c>
      <c r="I112" s="13">
        <f>SUM(I108:I111)</f>
        <v>-2397204.7999999998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B1" sqref="B1"/>
    </sheetView>
  </sheetViews>
  <sheetFormatPr defaultRowHeight="12.75" x14ac:dyDescent="0.2"/>
  <cols>
    <col min="1" max="1" width="7.5703125" customWidth="1"/>
    <col min="2" max="2" width="35.140625" bestFit="1" customWidth="1"/>
    <col min="3" max="3" width="7.5703125" customWidth="1"/>
    <col min="4" max="4" width="19.28515625" bestFit="1" customWidth="1"/>
    <col min="5" max="5" width="10.5703125" style="6" customWidth="1"/>
    <col min="6" max="6" width="8.140625" style="6" customWidth="1"/>
    <col min="7" max="7" width="12.140625" style="6" customWidth="1"/>
    <col min="8" max="8" width="9.140625" style="13"/>
    <col min="9" max="9" width="13.7109375" style="13" customWidth="1"/>
  </cols>
  <sheetData>
    <row r="1" spans="1:9" s="9" customFormat="1" x14ac:dyDescent="0.2">
      <c r="A1" s="9" t="s">
        <v>73</v>
      </c>
      <c r="E1" s="10"/>
      <c r="F1" s="10"/>
      <c r="G1" s="10"/>
      <c r="H1" s="14"/>
      <c r="I1" s="14"/>
    </row>
    <row r="2" spans="1:9" s="9" customFormat="1" x14ac:dyDescent="0.2">
      <c r="A2" s="15">
        <v>36951</v>
      </c>
      <c r="E2" s="10"/>
      <c r="F2" s="10"/>
      <c r="G2" s="10"/>
      <c r="H2" s="14"/>
      <c r="I2" s="14"/>
    </row>
    <row r="3" spans="1:9" s="9" customFormat="1" x14ac:dyDescent="0.2">
      <c r="E3" s="10"/>
      <c r="F3" s="10"/>
      <c r="G3" s="10"/>
      <c r="H3" s="14"/>
      <c r="I3" s="14"/>
    </row>
    <row r="4" spans="1:9" s="1" customFormat="1" ht="39" customHeight="1" x14ac:dyDescent="0.2">
      <c r="A4" s="1" t="s">
        <v>0</v>
      </c>
      <c r="B4" s="1" t="s">
        <v>164</v>
      </c>
      <c r="C4" s="1" t="s">
        <v>2</v>
      </c>
      <c r="D4" s="1" t="s">
        <v>3</v>
      </c>
      <c r="E4" s="16" t="s">
        <v>4</v>
      </c>
      <c r="F4" s="16" t="s">
        <v>88</v>
      </c>
      <c r="G4" s="16" t="s">
        <v>89</v>
      </c>
      <c r="H4" s="17"/>
      <c r="I4" s="17"/>
    </row>
    <row r="5" spans="1:9" x14ac:dyDescent="0.2">
      <c r="A5" s="20">
        <v>11516</v>
      </c>
      <c r="B5" s="20" t="s">
        <v>95</v>
      </c>
      <c r="C5" s="20">
        <v>9469</v>
      </c>
      <c r="D5" s="20" t="s">
        <v>91</v>
      </c>
      <c r="E5" s="29">
        <v>-56646</v>
      </c>
      <c r="F5" s="29">
        <f>4923+18745</f>
        <v>23668</v>
      </c>
      <c r="G5" s="29">
        <f t="shared" ref="G5:G71" si="0">+E5+F5</f>
        <v>-32978</v>
      </c>
    </row>
    <row r="6" spans="1:9" x14ac:dyDescent="0.2">
      <c r="A6" s="20">
        <v>6268</v>
      </c>
      <c r="B6" s="20" t="s">
        <v>96</v>
      </c>
      <c r="C6" s="20">
        <v>9445</v>
      </c>
      <c r="D6" s="20" t="s">
        <v>91</v>
      </c>
      <c r="E6" s="29">
        <v>-60434</v>
      </c>
      <c r="F6" s="29">
        <f>50444+1805+398</f>
        <v>52647</v>
      </c>
      <c r="G6" s="29">
        <f t="shared" si="0"/>
        <v>-7787</v>
      </c>
    </row>
    <row r="7" spans="1:9" x14ac:dyDescent="0.2">
      <c r="A7" s="20">
        <v>287</v>
      </c>
      <c r="B7" s="20" t="s">
        <v>98</v>
      </c>
      <c r="C7" s="20">
        <v>9442</v>
      </c>
      <c r="D7" s="20" t="s">
        <v>91</v>
      </c>
      <c r="E7" s="29">
        <v>-919</v>
      </c>
      <c r="F7" s="29"/>
      <c r="G7" s="29">
        <f t="shared" si="0"/>
        <v>-919</v>
      </c>
    </row>
    <row r="8" spans="1:9" x14ac:dyDescent="0.2">
      <c r="A8" s="20">
        <v>330</v>
      </c>
      <c r="B8" s="20" t="s">
        <v>165</v>
      </c>
      <c r="C8" s="20">
        <v>9441</v>
      </c>
      <c r="D8" s="20" t="s">
        <v>101</v>
      </c>
      <c r="E8" s="29">
        <v>-703</v>
      </c>
      <c r="F8" s="29"/>
      <c r="G8" s="29">
        <f t="shared" si="0"/>
        <v>-703</v>
      </c>
    </row>
    <row r="9" spans="1:9" x14ac:dyDescent="0.2">
      <c r="A9" s="20">
        <v>11793</v>
      </c>
      <c r="B9" s="20" t="s">
        <v>93</v>
      </c>
      <c r="C9" s="20">
        <v>9458</v>
      </c>
      <c r="D9" s="20" t="s">
        <v>121</v>
      </c>
      <c r="E9" s="29">
        <v>-246</v>
      </c>
      <c r="F9" s="29"/>
      <c r="G9" s="29">
        <f>+E9+F9</f>
        <v>-246</v>
      </c>
    </row>
    <row r="10" spans="1:9" x14ac:dyDescent="0.2">
      <c r="A10" s="20">
        <v>11729</v>
      </c>
      <c r="B10" s="20" t="s">
        <v>109</v>
      </c>
      <c r="C10" s="20">
        <v>9455</v>
      </c>
      <c r="D10" s="20" t="s">
        <v>91</v>
      </c>
      <c r="E10" s="29">
        <v>-8</v>
      </c>
      <c r="F10" s="29"/>
      <c r="G10" s="29">
        <f t="shared" si="0"/>
        <v>-8</v>
      </c>
    </row>
    <row r="11" spans="1:9" s="9" customFormat="1" x14ac:dyDescent="0.2">
      <c r="A11" s="24"/>
      <c r="B11" s="24" t="s">
        <v>221</v>
      </c>
      <c r="C11" s="24"/>
      <c r="D11" s="24"/>
      <c r="E11" s="30">
        <f>SUM(E5:E10)</f>
        <v>-118956</v>
      </c>
      <c r="F11" s="30">
        <f>SUM(F5:F10)</f>
        <v>76315</v>
      </c>
      <c r="G11" s="30">
        <f>SUM(G5:G10)</f>
        <v>-42641</v>
      </c>
      <c r="H11" s="14">
        <v>5.08</v>
      </c>
      <c r="I11" s="14">
        <f>ROUND(G11*H11,2)</f>
        <v>-216616.28</v>
      </c>
    </row>
    <row r="12" spans="1:9" x14ac:dyDescent="0.2">
      <c r="A12" s="20"/>
      <c r="B12" s="20"/>
      <c r="C12" s="20"/>
      <c r="D12" s="20"/>
      <c r="E12" s="29"/>
      <c r="F12" s="29"/>
      <c r="G12" s="29"/>
    </row>
    <row r="13" spans="1:9" x14ac:dyDescent="0.2">
      <c r="A13" s="20"/>
      <c r="B13" s="20"/>
      <c r="C13" s="20"/>
      <c r="D13" s="20"/>
      <c r="E13" s="29"/>
      <c r="F13" s="29"/>
      <c r="G13" s="29"/>
    </row>
    <row r="14" spans="1:9" x14ac:dyDescent="0.2">
      <c r="A14" s="20">
        <v>4179</v>
      </c>
      <c r="B14" s="20" t="s">
        <v>105</v>
      </c>
      <c r="C14" s="20">
        <v>9428</v>
      </c>
      <c r="D14" s="20" t="s">
        <v>91</v>
      </c>
      <c r="E14" s="29">
        <v>4558</v>
      </c>
      <c r="F14" s="29">
        <v>-4558</v>
      </c>
      <c r="G14" s="29">
        <f t="shared" si="0"/>
        <v>0</v>
      </c>
    </row>
    <row r="15" spans="1:9" x14ac:dyDescent="0.2">
      <c r="A15" s="20">
        <v>12907</v>
      </c>
      <c r="B15" s="20" t="s">
        <v>166</v>
      </c>
      <c r="C15" s="20">
        <v>9438</v>
      </c>
      <c r="D15" s="20" t="s">
        <v>91</v>
      </c>
      <c r="E15" s="29">
        <v>-22324</v>
      </c>
      <c r="F15" s="29">
        <v>22324</v>
      </c>
      <c r="G15" s="29">
        <f t="shared" si="0"/>
        <v>0</v>
      </c>
    </row>
    <row r="16" spans="1:9" x14ac:dyDescent="0.2">
      <c r="A16" s="20">
        <v>13252</v>
      </c>
      <c r="B16" s="20" t="s">
        <v>157</v>
      </c>
      <c r="C16" s="20">
        <v>9460</v>
      </c>
      <c r="D16" s="20" t="s">
        <v>91</v>
      </c>
      <c r="E16" s="29">
        <v>-2514</v>
      </c>
      <c r="F16" s="29">
        <v>2514</v>
      </c>
      <c r="G16" s="29">
        <f t="shared" si="0"/>
        <v>0</v>
      </c>
    </row>
    <row r="17" spans="1:7" x14ac:dyDescent="0.2">
      <c r="A17" s="20">
        <v>4101</v>
      </c>
      <c r="B17" s="20" t="s">
        <v>110</v>
      </c>
      <c r="C17" s="20">
        <v>9462</v>
      </c>
      <c r="D17" s="20" t="s">
        <v>91</v>
      </c>
      <c r="E17" s="29">
        <v>-21197</v>
      </c>
      <c r="F17" s="29">
        <v>21197</v>
      </c>
      <c r="G17" s="29">
        <f t="shared" si="0"/>
        <v>0</v>
      </c>
    </row>
    <row r="18" spans="1:7" x14ac:dyDescent="0.2">
      <c r="A18" s="20">
        <v>11185</v>
      </c>
      <c r="B18" s="20" t="s">
        <v>119</v>
      </c>
      <c r="C18" s="20">
        <v>9463</v>
      </c>
      <c r="D18" s="20" t="s">
        <v>91</v>
      </c>
      <c r="E18" s="29">
        <v>-20200</v>
      </c>
      <c r="F18" s="29">
        <v>20200</v>
      </c>
      <c r="G18" s="29">
        <f t="shared" si="0"/>
        <v>0</v>
      </c>
    </row>
    <row r="19" spans="1:7" x14ac:dyDescent="0.2">
      <c r="A19" s="20">
        <v>11420</v>
      </c>
      <c r="B19" s="20" t="s">
        <v>97</v>
      </c>
      <c r="C19" s="20">
        <v>9465</v>
      </c>
      <c r="D19" s="20" t="s">
        <v>91</v>
      </c>
      <c r="E19" s="29">
        <v>-2410</v>
      </c>
      <c r="F19" s="29">
        <v>2410</v>
      </c>
      <c r="G19" s="29">
        <f t="shared" si="0"/>
        <v>0</v>
      </c>
    </row>
    <row r="20" spans="1:7" x14ac:dyDescent="0.2">
      <c r="A20" s="20">
        <v>4120</v>
      </c>
      <c r="B20" s="20" t="s">
        <v>94</v>
      </c>
      <c r="C20" s="20">
        <v>9474</v>
      </c>
      <c r="D20" s="20" t="s">
        <v>91</v>
      </c>
      <c r="E20" s="29">
        <v>18745</v>
      </c>
      <c r="F20" s="29">
        <v>-18745</v>
      </c>
      <c r="G20" s="29">
        <f t="shared" si="0"/>
        <v>0</v>
      </c>
    </row>
    <row r="21" spans="1:7" x14ac:dyDescent="0.2">
      <c r="A21" s="20">
        <v>6321</v>
      </c>
      <c r="B21" s="20" t="s">
        <v>113</v>
      </c>
      <c r="C21" s="20">
        <v>9480</v>
      </c>
      <c r="D21" s="20" t="s">
        <v>91</v>
      </c>
      <c r="E21" s="29">
        <v>-924</v>
      </c>
      <c r="F21" s="29">
        <v>924</v>
      </c>
      <c r="G21" s="29">
        <f t="shared" si="0"/>
        <v>0</v>
      </c>
    </row>
    <row r="22" spans="1:7" x14ac:dyDescent="0.2">
      <c r="A22" s="20">
        <v>3974</v>
      </c>
      <c r="B22" s="20" t="s">
        <v>115</v>
      </c>
      <c r="C22" s="20">
        <v>9482</v>
      </c>
      <c r="D22" s="20" t="s">
        <v>91</v>
      </c>
      <c r="E22" s="29">
        <v>-594</v>
      </c>
      <c r="F22" s="29">
        <v>594</v>
      </c>
      <c r="G22" s="29">
        <f t="shared" si="0"/>
        <v>0</v>
      </c>
    </row>
    <row r="23" spans="1:7" x14ac:dyDescent="0.2">
      <c r="A23" s="20">
        <v>4131</v>
      </c>
      <c r="B23" s="20" t="s">
        <v>118</v>
      </c>
      <c r="C23" s="20">
        <v>9483</v>
      </c>
      <c r="D23" s="20" t="s">
        <v>91</v>
      </c>
      <c r="E23" s="29">
        <v>-6503</v>
      </c>
      <c r="F23" s="29">
        <v>6503</v>
      </c>
      <c r="G23" s="29">
        <f t="shared" si="0"/>
        <v>0</v>
      </c>
    </row>
    <row r="24" spans="1:7" x14ac:dyDescent="0.2">
      <c r="A24" s="20">
        <v>4109</v>
      </c>
      <c r="B24" s="20" t="s">
        <v>92</v>
      </c>
      <c r="C24" s="20">
        <v>9490</v>
      </c>
      <c r="D24" s="20" t="s">
        <v>91</v>
      </c>
      <c r="E24" s="29">
        <v>-2073</v>
      </c>
      <c r="F24" s="29">
        <v>2073</v>
      </c>
      <c r="G24" s="29">
        <f t="shared" si="0"/>
        <v>0</v>
      </c>
    </row>
    <row r="25" spans="1:7" x14ac:dyDescent="0.2">
      <c r="A25" s="20">
        <v>11793</v>
      </c>
      <c r="B25" s="20" t="s">
        <v>93</v>
      </c>
      <c r="C25" s="20">
        <v>9459</v>
      </c>
      <c r="D25" s="20" t="s">
        <v>101</v>
      </c>
      <c r="E25" s="29">
        <v>1237</v>
      </c>
      <c r="F25" s="29">
        <v>-1237</v>
      </c>
      <c r="G25" s="29">
        <f t="shared" si="0"/>
        <v>0</v>
      </c>
    </row>
    <row r="26" spans="1:7" x14ac:dyDescent="0.2">
      <c r="A26" s="20">
        <v>4131</v>
      </c>
      <c r="B26" s="20" t="s">
        <v>118</v>
      </c>
      <c r="C26" s="20">
        <v>9484</v>
      </c>
      <c r="D26" s="20" t="s">
        <v>101</v>
      </c>
      <c r="E26" s="29">
        <v>-7180</v>
      </c>
      <c r="F26" s="29">
        <v>7180</v>
      </c>
      <c r="G26" s="29">
        <f t="shared" si="0"/>
        <v>0</v>
      </c>
    </row>
    <row r="27" spans="1:7" x14ac:dyDescent="0.2">
      <c r="A27" s="20">
        <v>6268</v>
      </c>
      <c r="B27" s="20" t="s">
        <v>96</v>
      </c>
      <c r="C27" s="20">
        <v>9446</v>
      </c>
      <c r="D27" s="20" t="s">
        <v>121</v>
      </c>
      <c r="E27" s="29">
        <v>398</v>
      </c>
      <c r="F27" s="29">
        <v>-398</v>
      </c>
      <c r="G27" s="29">
        <f>+E27+F27</f>
        <v>0</v>
      </c>
    </row>
    <row r="28" spans="1:7" x14ac:dyDescent="0.2">
      <c r="A28" s="20">
        <v>4133</v>
      </c>
      <c r="B28" s="20" t="s">
        <v>116</v>
      </c>
      <c r="C28" s="20">
        <v>9488</v>
      </c>
      <c r="D28" s="20" t="s">
        <v>91</v>
      </c>
      <c r="E28" s="29">
        <v>1253</v>
      </c>
      <c r="F28" s="29">
        <v>-924</v>
      </c>
      <c r="G28" s="29">
        <f t="shared" si="0"/>
        <v>329</v>
      </c>
    </row>
    <row r="29" spans="1:7" x14ac:dyDescent="0.2">
      <c r="A29" s="20">
        <v>6228</v>
      </c>
      <c r="B29" s="20" t="s">
        <v>103</v>
      </c>
      <c r="C29" s="20">
        <v>9422</v>
      </c>
      <c r="D29" s="20" t="s">
        <v>91</v>
      </c>
      <c r="E29" s="29">
        <v>1006</v>
      </c>
      <c r="F29" s="29">
        <v>-594</v>
      </c>
      <c r="G29" s="29">
        <f t="shared" si="0"/>
        <v>412</v>
      </c>
    </row>
    <row r="30" spans="1:7" x14ac:dyDescent="0.2">
      <c r="A30" s="20">
        <v>4079</v>
      </c>
      <c r="B30" s="20" t="s">
        <v>112</v>
      </c>
      <c r="C30" s="20">
        <v>9477</v>
      </c>
      <c r="D30" s="20" t="s">
        <v>91</v>
      </c>
      <c r="E30" s="29">
        <v>648</v>
      </c>
      <c r="F30" s="29"/>
      <c r="G30" s="29">
        <f t="shared" si="0"/>
        <v>648</v>
      </c>
    </row>
    <row r="31" spans="1:7" x14ac:dyDescent="0.2">
      <c r="A31" s="20">
        <v>4084</v>
      </c>
      <c r="B31" s="20" t="s">
        <v>108</v>
      </c>
      <c r="C31" s="20">
        <v>9453</v>
      </c>
      <c r="D31" s="20" t="s">
        <v>91</v>
      </c>
      <c r="E31" s="29">
        <v>683</v>
      </c>
      <c r="F31" s="29"/>
      <c r="G31" s="29">
        <f t="shared" si="0"/>
        <v>683</v>
      </c>
    </row>
    <row r="32" spans="1:7" x14ac:dyDescent="0.2">
      <c r="A32" s="20">
        <v>2974</v>
      </c>
      <c r="B32" s="20" t="s">
        <v>111</v>
      </c>
      <c r="C32" s="20">
        <v>9472</v>
      </c>
      <c r="D32" s="20" t="s">
        <v>101</v>
      </c>
      <c r="E32" s="29">
        <v>4827</v>
      </c>
      <c r="F32" s="29"/>
      <c r="G32" s="29">
        <f t="shared" si="0"/>
        <v>4827</v>
      </c>
    </row>
    <row r="33" spans="1:9" x14ac:dyDescent="0.2">
      <c r="A33" s="20">
        <v>6075</v>
      </c>
      <c r="B33" s="20" t="s">
        <v>114</v>
      </c>
      <c r="C33" s="20">
        <v>9481</v>
      </c>
      <c r="D33" s="20" t="s">
        <v>91</v>
      </c>
      <c r="E33" s="29">
        <v>6187</v>
      </c>
      <c r="F33" s="29"/>
      <c r="G33" s="29">
        <f t="shared" si="0"/>
        <v>6187</v>
      </c>
    </row>
    <row r="34" spans="1:9" x14ac:dyDescent="0.2">
      <c r="A34" s="20">
        <v>4084</v>
      </c>
      <c r="B34" s="20" t="s">
        <v>108</v>
      </c>
      <c r="C34" s="20">
        <v>9454</v>
      </c>
      <c r="D34" s="20" t="s">
        <v>101</v>
      </c>
      <c r="E34" s="29">
        <v>9293</v>
      </c>
      <c r="F34" s="29"/>
      <c r="G34" s="29">
        <f t="shared" si="0"/>
        <v>9293</v>
      </c>
    </row>
    <row r="35" spans="1:9" x14ac:dyDescent="0.2">
      <c r="A35" s="20">
        <v>11793</v>
      </c>
      <c r="B35" s="20" t="s">
        <v>93</v>
      </c>
      <c r="C35" s="20">
        <v>9457</v>
      </c>
      <c r="D35" s="20" t="s">
        <v>91</v>
      </c>
      <c r="E35" s="29">
        <f>54091+1815</f>
        <v>55906</v>
      </c>
      <c r="F35" s="29">
        <f>-22324-2514-2410-2073-20200+4558</f>
        <v>-44963</v>
      </c>
      <c r="G35" s="29">
        <f t="shared" si="0"/>
        <v>10943</v>
      </c>
    </row>
    <row r="36" spans="1:9" x14ac:dyDescent="0.2">
      <c r="A36" s="20">
        <v>4175</v>
      </c>
      <c r="B36" s="20" t="s">
        <v>104</v>
      </c>
      <c r="C36" s="20">
        <v>9425</v>
      </c>
      <c r="D36" s="20" t="s">
        <v>101</v>
      </c>
      <c r="E36" s="29">
        <v>19108</v>
      </c>
      <c r="F36" s="29">
        <v>-7180</v>
      </c>
      <c r="G36" s="29">
        <f t="shared" si="0"/>
        <v>11928</v>
      </c>
    </row>
    <row r="37" spans="1:9" x14ac:dyDescent="0.2">
      <c r="A37" s="20">
        <v>4175</v>
      </c>
      <c r="B37" s="20" t="s">
        <v>104</v>
      </c>
      <c r="C37" s="20">
        <v>9424</v>
      </c>
      <c r="D37" s="20" t="s">
        <v>91</v>
      </c>
      <c r="E37" s="29">
        <v>20004</v>
      </c>
      <c r="F37" s="29">
        <v>-6503</v>
      </c>
      <c r="G37" s="29">
        <f t="shared" si="0"/>
        <v>13501</v>
      </c>
    </row>
    <row r="38" spans="1:9" x14ac:dyDescent="0.2">
      <c r="A38" s="20">
        <v>6431</v>
      </c>
      <c r="B38" s="20" t="s">
        <v>117</v>
      </c>
      <c r="C38" s="20">
        <v>9491</v>
      </c>
      <c r="D38" s="20" t="s">
        <v>91</v>
      </c>
      <c r="E38" s="29">
        <v>13639</v>
      </c>
      <c r="F38" s="29"/>
      <c r="G38" s="29">
        <f t="shared" si="0"/>
        <v>13639</v>
      </c>
    </row>
    <row r="39" spans="1:9" x14ac:dyDescent="0.2">
      <c r="A39" s="20">
        <v>11687</v>
      </c>
      <c r="B39" s="20" t="s">
        <v>106</v>
      </c>
      <c r="C39" s="20">
        <v>9432</v>
      </c>
      <c r="D39" s="20" t="s">
        <v>91</v>
      </c>
      <c r="E39" s="29">
        <v>14380</v>
      </c>
      <c r="F39" s="29"/>
      <c r="G39" s="29">
        <f t="shared" si="0"/>
        <v>14380</v>
      </c>
    </row>
    <row r="40" spans="1:9" x14ac:dyDescent="0.2">
      <c r="A40" s="20">
        <v>6268</v>
      </c>
      <c r="B40" s="20" t="s">
        <v>96</v>
      </c>
      <c r="C40" s="20">
        <v>9447</v>
      </c>
      <c r="D40" s="20" t="s">
        <v>101</v>
      </c>
      <c r="E40" s="29">
        <v>14843</v>
      </c>
      <c r="F40" s="29"/>
      <c r="G40" s="29">
        <f t="shared" si="0"/>
        <v>14843</v>
      </c>
    </row>
    <row r="41" spans="1:9" x14ac:dyDescent="0.2">
      <c r="A41" s="20">
        <v>2974</v>
      </c>
      <c r="B41" s="20" t="s">
        <v>111</v>
      </c>
      <c r="C41" s="20">
        <v>9471</v>
      </c>
      <c r="D41" s="20" t="s">
        <v>91</v>
      </c>
      <c r="E41" s="29">
        <v>22814</v>
      </c>
      <c r="F41" s="29">
        <f>-4923-1805</f>
        <v>-6728</v>
      </c>
      <c r="G41" s="29">
        <f t="shared" si="0"/>
        <v>16086</v>
      </c>
    </row>
    <row r="42" spans="1:9" x14ac:dyDescent="0.2">
      <c r="A42" s="20">
        <v>5736</v>
      </c>
      <c r="B42" s="20" t="s">
        <v>123</v>
      </c>
      <c r="C42" s="20">
        <v>9451</v>
      </c>
      <c r="D42" s="20" t="s">
        <v>91</v>
      </c>
      <c r="E42" s="29">
        <v>69940</v>
      </c>
      <c r="F42" s="29">
        <v>-50444</v>
      </c>
      <c r="G42" s="29">
        <f t="shared" si="0"/>
        <v>19496</v>
      </c>
    </row>
    <row r="43" spans="1:9" x14ac:dyDescent="0.2">
      <c r="A43" s="20">
        <v>4120</v>
      </c>
      <c r="B43" s="20" t="s">
        <v>94</v>
      </c>
      <c r="C43" s="20">
        <v>9475</v>
      </c>
      <c r="D43" s="20" t="s">
        <v>101</v>
      </c>
      <c r="E43" s="29">
        <v>83840</v>
      </c>
      <c r="F43" s="29"/>
      <c r="G43" s="29">
        <f t="shared" si="0"/>
        <v>83840</v>
      </c>
    </row>
    <row r="44" spans="1:9" x14ac:dyDescent="0.2">
      <c r="A44" s="20">
        <v>655</v>
      </c>
      <c r="B44" s="20" t="s">
        <v>90</v>
      </c>
      <c r="C44" s="20">
        <v>9449</v>
      </c>
      <c r="D44" s="20" t="s">
        <v>91</v>
      </c>
      <c r="E44" s="29">
        <v>107914</v>
      </c>
      <c r="F44" s="29">
        <v>-21197</v>
      </c>
      <c r="G44" s="29">
        <f t="shared" si="0"/>
        <v>86717</v>
      </c>
    </row>
    <row r="45" spans="1:9" s="9" customFormat="1" x14ac:dyDescent="0.2">
      <c r="A45" s="24"/>
      <c r="B45" s="24" t="s">
        <v>222</v>
      </c>
      <c r="C45" s="24"/>
      <c r="D45" s="24"/>
      <c r="E45" s="30">
        <f>SUM(E14:E44)</f>
        <v>385304</v>
      </c>
      <c r="F45" s="30">
        <f>SUM(F14:F44)</f>
        <v>-77552</v>
      </c>
      <c r="G45" s="30">
        <f>SUM(G14:G44)</f>
        <v>307752</v>
      </c>
      <c r="H45" s="14">
        <v>5.15</v>
      </c>
      <c r="I45" s="14">
        <f>ROUND(G45*H45,2)</f>
        <v>1584922.8</v>
      </c>
    </row>
    <row r="46" spans="1:9" x14ac:dyDescent="0.2">
      <c r="A46" s="20"/>
      <c r="B46" s="20"/>
      <c r="C46" s="20"/>
      <c r="D46" s="20"/>
      <c r="E46" s="29"/>
      <c r="F46" s="29"/>
      <c r="G46" s="29"/>
    </row>
    <row r="47" spans="1:9" s="9" customFormat="1" x14ac:dyDescent="0.2">
      <c r="A47" s="24"/>
      <c r="B47" s="24" t="s">
        <v>178</v>
      </c>
      <c r="C47" s="24"/>
      <c r="D47" s="24"/>
      <c r="E47" s="30"/>
      <c r="F47" s="30"/>
      <c r="G47" s="30">
        <f>+G45+G11</f>
        <v>265111</v>
      </c>
      <c r="H47" s="14"/>
      <c r="I47" s="14"/>
    </row>
    <row r="48" spans="1:9" x14ac:dyDescent="0.2">
      <c r="A48" s="20"/>
      <c r="B48" s="20"/>
      <c r="C48" s="20"/>
      <c r="D48" s="20"/>
      <c r="E48" s="29"/>
      <c r="F48" s="29"/>
      <c r="G48" s="29"/>
    </row>
    <row r="49" spans="1:9" s="9" customFormat="1" x14ac:dyDescent="0.2">
      <c r="A49" s="24"/>
      <c r="B49" s="24" t="s">
        <v>179</v>
      </c>
      <c r="C49" s="24"/>
      <c r="D49" s="24"/>
      <c r="E49" s="30"/>
      <c r="F49" s="30"/>
      <c r="G49" s="30">
        <v>114857</v>
      </c>
      <c r="H49" s="14"/>
      <c r="I49" s="14"/>
    </row>
    <row r="50" spans="1:9" s="9" customFormat="1" x14ac:dyDescent="0.2">
      <c r="A50" s="24"/>
      <c r="B50" s="24" t="s">
        <v>180</v>
      </c>
      <c r="C50" s="24"/>
      <c r="D50" s="24"/>
      <c r="E50" s="30"/>
      <c r="F50" s="30"/>
      <c r="G50" s="30">
        <v>122447</v>
      </c>
      <c r="H50" s="14"/>
      <c r="I50" s="14"/>
    </row>
    <row r="51" spans="1:9" s="9" customFormat="1" x14ac:dyDescent="0.2">
      <c r="A51" s="24"/>
      <c r="B51" s="24" t="s">
        <v>71</v>
      </c>
      <c r="C51" s="24"/>
      <c r="D51" s="24"/>
      <c r="E51" s="30"/>
      <c r="F51" s="30"/>
      <c r="G51" s="30">
        <f>+G47-G49-G50</f>
        <v>27807</v>
      </c>
      <c r="H51" s="14"/>
      <c r="I51" s="14"/>
    </row>
    <row r="52" spans="1:9" x14ac:dyDescent="0.2">
      <c r="A52" s="20"/>
      <c r="B52" s="20"/>
      <c r="C52" s="20"/>
      <c r="D52" s="20"/>
      <c r="E52" s="29"/>
      <c r="F52" s="29"/>
      <c r="G52" s="29"/>
    </row>
    <row r="53" spans="1:9" x14ac:dyDescent="0.2">
      <c r="A53" s="20"/>
      <c r="B53" s="20"/>
      <c r="C53" s="20"/>
      <c r="D53" s="20"/>
      <c r="E53" s="29"/>
      <c r="F53" s="29"/>
      <c r="G53" s="29"/>
    </row>
    <row r="54" spans="1:9" x14ac:dyDescent="0.2">
      <c r="A54" s="20">
        <v>1455</v>
      </c>
      <c r="B54" s="20" t="s">
        <v>129</v>
      </c>
      <c r="C54" s="20">
        <v>9427</v>
      </c>
      <c r="D54" s="20" t="s">
        <v>127</v>
      </c>
      <c r="E54" s="29">
        <v>-3487</v>
      </c>
      <c r="F54" s="29">
        <v>1844</v>
      </c>
      <c r="G54" s="29">
        <f t="shared" ref="G54:G103" si="1">+E54+F54</f>
        <v>-1643</v>
      </c>
    </row>
    <row r="55" spans="1:9" s="9" customFormat="1" x14ac:dyDescent="0.2">
      <c r="A55" s="24"/>
      <c r="B55" s="24"/>
      <c r="C55" s="24"/>
      <c r="D55" s="24"/>
      <c r="E55" s="30">
        <f>SUM(E54)</f>
        <v>-3487</v>
      </c>
      <c r="F55" s="30">
        <f>SUM(F54)</f>
        <v>1844</v>
      </c>
      <c r="G55" s="30">
        <f>SUM(G54)</f>
        <v>-1643</v>
      </c>
      <c r="H55" s="14">
        <v>5.08</v>
      </c>
      <c r="I55" s="14">
        <f>ROUND(G55*H55,2)</f>
        <v>-8346.44</v>
      </c>
    </row>
    <row r="56" spans="1:9" x14ac:dyDescent="0.2">
      <c r="A56" s="20"/>
      <c r="B56" s="20"/>
      <c r="C56" s="20"/>
      <c r="D56" s="20"/>
      <c r="E56" s="29"/>
      <c r="F56" s="29"/>
      <c r="G56" s="29"/>
    </row>
    <row r="57" spans="1:9" x14ac:dyDescent="0.2">
      <c r="A57" s="20"/>
      <c r="B57" s="20"/>
      <c r="C57" s="20"/>
      <c r="D57" s="20"/>
      <c r="E57" s="29"/>
      <c r="F57" s="29"/>
      <c r="G57" s="29"/>
    </row>
    <row r="58" spans="1:9" x14ac:dyDescent="0.2">
      <c r="A58" s="20">
        <v>7672</v>
      </c>
      <c r="B58" s="20" t="s">
        <v>156</v>
      </c>
      <c r="C58" s="20">
        <v>9429</v>
      </c>
      <c r="D58" s="20" t="s">
        <v>127</v>
      </c>
      <c r="E58" s="29">
        <v>23410</v>
      </c>
      <c r="F58" s="29">
        <v>-23410</v>
      </c>
      <c r="G58" s="29">
        <f t="shared" si="0"/>
        <v>0</v>
      </c>
    </row>
    <row r="59" spans="1:9" x14ac:dyDescent="0.2">
      <c r="A59" s="20">
        <v>11687</v>
      </c>
      <c r="B59" s="20" t="s">
        <v>106</v>
      </c>
      <c r="C59" s="20">
        <v>9431</v>
      </c>
      <c r="D59" s="20" t="s">
        <v>127</v>
      </c>
      <c r="E59" s="29">
        <v>-85573</v>
      </c>
      <c r="F59" s="29">
        <f>23846+6949+54775+3</f>
        <v>85573</v>
      </c>
      <c r="G59" s="29">
        <f t="shared" si="0"/>
        <v>0</v>
      </c>
    </row>
    <row r="60" spans="1:9" x14ac:dyDescent="0.2">
      <c r="A60" s="20">
        <v>11937</v>
      </c>
      <c r="B60" s="20" t="s">
        <v>137</v>
      </c>
      <c r="C60" s="20">
        <v>9435</v>
      </c>
      <c r="D60" s="20" t="s">
        <v>127</v>
      </c>
      <c r="E60" s="29">
        <v>665</v>
      </c>
      <c r="F60" s="29">
        <v>-665</v>
      </c>
      <c r="G60" s="29">
        <f t="shared" si="0"/>
        <v>0</v>
      </c>
    </row>
    <row r="61" spans="1:9" x14ac:dyDescent="0.2">
      <c r="A61" s="20">
        <v>6268</v>
      </c>
      <c r="B61" s="20" t="s">
        <v>96</v>
      </c>
      <c r="C61" s="20">
        <v>9444</v>
      </c>
      <c r="D61" s="20" t="s">
        <v>127</v>
      </c>
      <c r="E61" s="29">
        <v>10</v>
      </c>
      <c r="F61" s="29">
        <f>-3-7</f>
        <v>-10</v>
      </c>
      <c r="G61" s="29">
        <f t="shared" si="0"/>
        <v>0</v>
      </c>
    </row>
    <row r="62" spans="1:9" x14ac:dyDescent="0.2">
      <c r="A62" s="20">
        <v>655</v>
      </c>
      <c r="B62" s="20" t="s">
        <v>90</v>
      </c>
      <c r="C62" s="20">
        <v>9448</v>
      </c>
      <c r="D62" s="20" t="s">
        <v>127</v>
      </c>
      <c r="E62" s="29">
        <v>-6131</v>
      </c>
      <c r="F62" s="29">
        <v>6131</v>
      </c>
      <c r="G62" s="29">
        <f t="shared" si="0"/>
        <v>0</v>
      </c>
    </row>
    <row r="63" spans="1:9" x14ac:dyDescent="0.2">
      <c r="A63" s="20">
        <v>4101</v>
      </c>
      <c r="B63" s="20" t="s">
        <v>110</v>
      </c>
      <c r="C63" s="20">
        <v>9461</v>
      </c>
      <c r="D63" s="20" t="s">
        <v>127</v>
      </c>
      <c r="E63" s="29">
        <v>4</v>
      </c>
      <c r="F63" s="29">
        <f>-2-2</f>
        <v>-4</v>
      </c>
      <c r="G63" s="29">
        <f t="shared" si="0"/>
        <v>0</v>
      </c>
    </row>
    <row r="64" spans="1:9" x14ac:dyDescent="0.2">
      <c r="A64" s="20">
        <v>4105</v>
      </c>
      <c r="B64" s="20" t="s">
        <v>163</v>
      </c>
      <c r="C64" s="20">
        <v>9466</v>
      </c>
      <c r="D64" s="20" t="s">
        <v>127</v>
      </c>
      <c r="E64" s="29">
        <v>7</v>
      </c>
      <c r="F64" s="29">
        <v>-7</v>
      </c>
      <c r="G64" s="29">
        <f t="shared" si="0"/>
        <v>0</v>
      </c>
    </row>
    <row r="65" spans="1:7" x14ac:dyDescent="0.2">
      <c r="A65" s="20">
        <v>11143</v>
      </c>
      <c r="B65" s="20" t="s">
        <v>139</v>
      </c>
      <c r="C65" s="20">
        <v>9468</v>
      </c>
      <c r="D65" s="20" t="s">
        <v>127</v>
      </c>
      <c r="E65" s="29">
        <v>6</v>
      </c>
      <c r="F65" s="29">
        <v>-6</v>
      </c>
      <c r="G65" s="29">
        <f t="shared" si="0"/>
        <v>0</v>
      </c>
    </row>
    <row r="66" spans="1:7" x14ac:dyDescent="0.2">
      <c r="A66" s="20">
        <v>11128</v>
      </c>
      <c r="B66" s="20" t="s">
        <v>140</v>
      </c>
      <c r="C66" s="20">
        <v>9476</v>
      </c>
      <c r="D66" s="20" t="s">
        <v>127</v>
      </c>
      <c r="E66" s="29">
        <v>4</v>
      </c>
      <c r="F66" s="29">
        <v>-4</v>
      </c>
      <c r="G66" s="29">
        <f t="shared" si="0"/>
        <v>0</v>
      </c>
    </row>
    <row r="67" spans="1:7" x14ac:dyDescent="0.2">
      <c r="A67" s="20">
        <v>11905</v>
      </c>
      <c r="B67" s="20" t="s">
        <v>141</v>
      </c>
      <c r="C67" s="20">
        <v>9416</v>
      </c>
      <c r="D67" s="20" t="s">
        <v>127</v>
      </c>
      <c r="E67" s="29">
        <v>1</v>
      </c>
      <c r="F67" s="29"/>
      <c r="G67" s="29">
        <f t="shared" si="0"/>
        <v>1</v>
      </c>
    </row>
    <row r="68" spans="1:7" x14ac:dyDescent="0.2">
      <c r="A68" s="20">
        <v>4122</v>
      </c>
      <c r="B68" s="20" t="s">
        <v>143</v>
      </c>
      <c r="C68" s="20">
        <v>9420</v>
      </c>
      <c r="D68" s="20" t="s">
        <v>127</v>
      </c>
      <c r="E68" s="29">
        <v>1</v>
      </c>
      <c r="F68" s="29"/>
      <c r="G68" s="29">
        <f t="shared" si="0"/>
        <v>1</v>
      </c>
    </row>
    <row r="69" spans="1:7" x14ac:dyDescent="0.2">
      <c r="A69" s="20">
        <v>11834</v>
      </c>
      <c r="B69" s="20" t="s">
        <v>173</v>
      </c>
      <c r="C69" s="20">
        <v>9487</v>
      </c>
      <c r="D69" s="20" t="s">
        <v>127</v>
      </c>
      <c r="E69" s="29">
        <v>1</v>
      </c>
      <c r="F69" s="29"/>
      <c r="G69" s="29">
        <f t="shared" si="0"/>
        <v>1</v>
      </c>
    </row>
    <row r="70" spans="1:7" x14ac:dyDescent="0.2">
      <c r="A70" s="20">
        <v>4109</v>
      </c>
      <c r="B70" s="20" t="s">
        <v>92</v>
      </c>
      <c r="C70" s="20">
        <v>9489</v>
      </c>
      <c r="D70" s="20" t="s">
        <v>127</v>
      </c>
      <c r="E70" s="29">
        <v>1</v>
      </c>
      <c r="F70" s="29"/>
      <c r="G70" s="29">
        <f t="shared" si="0"/>
        <v>1</v>
      </c>
    </row>
    <row r="71" spans="1:7" x14ac:dyDescent="0.2">
      <c r="A71" s="20">
        <v>4175</v>
      </c>
      <c r="B71" s="20" t="s">
        <v>104</v>
      </c>
      <c r="C71" s="20">
        <v>9423</v>
      </c>
      <c r="D71" s="20" t="s">
        <v>127</v>
      </c>
      <c r="E71" s="29">
        <v>2</v>
      </c>
      <c r="F71" s="29"/>
      <c r="G71" s="29">
        <f t="shared" si="0"/>
        <v>2</v>
      </c>
    </row>
    <row r="72" spans="1:7" x14ac:dyDescent="0.2">
      <c r="A72" s="20">
        <v>8573</v>
      </c>
      <c r="B72" s="20" t="s">
        <v>53</v>
      </c>
      <c r="C72" s="20">
        <v>9485</v>
      </c>
      <c r="D72" s="20" t="s">
        <v>127</v>
      </c>
      <c r="E72" s="29">
        <v>2</v>
      </c>
      <c r="F72" s="29"/>
      <c r="G72" s="29">
        <f t="shared" si="1"/>
        <v>2</v>
      </c>
    </row>
    <row r="73" spans="1:7" x14ac:dyDescent="0.2">
      <c r="A73" s="20">
        <v>4118</v>
      </c>
      <c r="B73" s="20" t="s">
        <v>99</v>
      </c>
      <c r="C73" s="20">
        <v>9470</v>
      </c>
      <c r="D73" s="20" t="s">
        <v>127</v>
      </c>
      <c r="E73" s="29">
        <v>3</v>
      </c>
      <c r="F73" s="29"/>
      <c r="G73" s="29">
        <f t="shared" si="1"/>
        <v>3</v>
      </c>
    </row>
    <row r="74" spans="1:7" x14ac:dyDescent="0.2">
      <c r="A74" s="20">
        <v>5736</v>
      </c>
      <c r="B74" s="20" t="s">
        <v>123</v>
      </c>
      <c r="C74" s="20">
        <v>9450</v>
      </c>
      <c r="D74" s="20" t="s">
        <v>127</v>
      </c>
      <c r="E74" s="29">
        <v>6</v>
      </c>
      <c r="F74" s="29"/>
      <c r="G74" s="29">
        <f t="shared" si="1"/>
        <v>6</v>
      </c>
    </row>
    <row r="75" spans="1:7" x14ac:dyDescent="0.2">
      <c r="A75" s="20">
        <v>11793</v>
      </c>
      <c r="B75" s="20" t="s">
        <v>93</v>
      </c>
      <c r="C75" s="20">
        <v>9456</v>
      </c>
      <c r="D75" s="20" t="s">
        <v>127</v>
      </c>
      <c r="E75" s="29">
        <v>22609</v>
      </c>
      <c r="F75" s="29">
        <f>-23846+1237+7</f>
        <v>-22602</v>
      </c>
      <c r="G75" s="29">
        <f t="shared" si="1"/>
        <v>7</v>
      </c>
    </row>
    <row r="76" spans="1:7" x14ac:dyDescent="0.2">
      <c r="A76" s="20">
        <v>11420</v>
      </c>
      <c r="B76" s="20" t="s">
        <v>97</v>
      </c>
      <c r="C76" s="20">
        <v>9464</v>
      </c>
      <c r="D76" s="20" t="s">
        <v>127</v>
      </c>
      <c r="E76" s="29">
        <v>8</v>
      </c>
      <c r="F76" s="29"/>
      <c r="G76" s="29">
        <f t="shared" si="1"/>
        <v>8</v>
      </c>
    </row>
    <row r="77" spans="1:7" x14ac:dyDescent="0.2">
      <c r="A77" s="20">
        <v>4084</v>
      </c>
      <c r="B77" s="20" t="s">
        <v>108</v>
      </c>
      <c r="C77" s="20">
        <v>9452</v>
      </c>
      <c r="D77" s="20" t="s">
        <v>127</v>
      </c>
      <c r="E77" s="29">
        <v>10</v>
      </c>
      <c r="F77" s="29"/>
      <c r="G77" s="29">
        <f t="shared" si="1"/>
        <v>10</v>
      </c>
    </row>
    <row r="78" spans="1:7" x14ac:dyDescent="0.2">
      <c r="A78" s="20">
        <v>11953</v>
      </c>
      <c r="B78" s="20" t="s">
        <v>174</v>
      </c>
      <c r="C78" s="20">
        <v>9494</v>
      </c>
      <c r="D78" s="20" t="s">
        <v>127</v>
      </c>
      <c r="E78" s="29">
        <v>14</v>
      </c>
      <c r="F78" s="29"/>
      <c r="G78" s="29">
        <f t="shared" si="1"/>
        <v>14</v>
      </c>
    </row>
    <row r="79" spans="1:7" x14ac:dyDescent="0.2">
      <c r="A79" s="20">
        <v>11145</v>
      </c>
      <c r="B79" s="20" t="s">
        <v>153</v>
      </c>
      <c r="C79" s="20">
        <v>9467</v>
      </c>
      <c r="D79" s="20" t="s">
        <v>127</v>
      </c>
      <c r="E79" s="29">
        <v>31</v>
      </c>
      <c r="F79" s="29"/>
      <c r="G79" s="29">
        <f t="shared" si="1"/>
        <v>31</v>
      </c>
    </row>
    <row r="80" spans="1:7" x14ac:dyDescent="0.2">
      <c r="A80" s="20">
        <v>4120</v>
      </c>
      <c r="B80" s="20" t="s">
        <v>94</v>
      </c>
      <c r="C80" s="20">
        <v>9473</v>
      </c>
      <c r="D80" s="20" t="s">
        <v>127</v>
      </c>
      <c r="E80" s="29">
        <v>31</v>
      </c>
      <c r="F80" s="29"/>
      <c r="G80" s="29">
        <f t="shared" si="1"/>
        <v>31</v>
      </c>
    </row>
    <row r="81" spans="1:9" x14ac:dyDescent="0.2">
      <c r="A81" s="20">
        <v>12513</v>
      </c>
      <c r="B81" s="20" t="s">
        <v>181</v>
      </c>
      <c r="C81" s="20">
        <v>9492</v>
      </c>
      <c r="D81" s="20" t="s">
        <v>127</v>
      </c>
      <c r="E81" s="29">
        <v>49</v>
      </c>
      <c r="F81" s="29"/>
      <c r="G81" s="29">
        <f t="shared" si="1"/>
        <v>49</v>
      </c>
    </row>
    <row r="82" spans="1:9" x14ac:dyDescent="0.2">
      <c r="A82" s="20">
        <v>7834</v>
      </c>
      <c r="B82" s="20" t="s">
        <v>160</v>
      </c>
      <c r="C82" s="20">
        <v>9419</v>
      </c>
      <c r="D82" s="20" t="s">
        <v>127</v>
      </c>
      <c r="E82" s="29">
        <v>128</v>
      </c>
      <c r="F82" s="29"/>
      <c r="G82" s="29">
        <f t="shared" si="1"/>
        <v>128</v>
      </c>
    </row>
    <row r="83" spans="1:9" x14ac:dyDescent="0.2">
      <c r="A83" s="20">
        <v>2707</v>
      </c>
      <c r="B83" s="20" t="s">
        <v>150</v>
      </c>
      <c r="C83" s="20">
        <v>9421</v>
      </c>
      <c r="D83" s="20" t="s">
        <v>127</v>
      </c>
      <c r="E83" s="29">
        <v>257</v>
      </c>
      <c r="F83" s="29"/>
      <c r="G83" s="29">
        <f t="shared" si="1"/>
        <v>257</v>
      </c>
    </row>
    <row r="84" spans="1:9" x14ac:dyDescent="0.2">
      <c r="A84" s="20">
        <v>11641</v>
      </c>
      <c r="B84" s="20" t="s">
        <v>133</v>
      </c>
      <c r="C84" s="20">
        <v>9426</v>
      </c>
      <c r="D84" s="20" t="s">
        <v>127</v>
      </c>
      <c r="E84" s="29">
        <v>358</v>
      </c>
      <c r="F84" s="29">
        <v>7</v>
      </c>
      <c r="G84" s="29">
        <f t="shared" si="1"/>
        <v>365</v>
      </c>
    </row>
    <row r="85" spans="1:9" x14ac:dyDescent="0.2">
      <c r="A85" s="20">
        <v>1141</v>
      </c>
      <c r="B85" s="20" t="s">
        <v>151</v>
      </c>
      <c r="C85" s="20">
        <v>9418</v>
      </c>
      <c r="D85" s="20" t="s">
        <v>127</v>
      </c>
      <c r="E85" s="29">
        <v>374</v>
      </c>
      <c r="F85" s="29"/>
      <c r="G85" s="29">
        <f t="shared" si="1"/>
        <v>374</v>
      </c>
    </row>
    <row r="86" spans="1:9" x14ac:dyDescent="0.2">
      <c r="A86" s="20">
        <v>12907</v>
      </c>
      <c r="B86" s="20" t="s">
        <v>166</v>
      </c>
      <c r="C86" s="20">
        <v>9436</v>
      </c>
      <c r="D86" s="20" t="s">
        <v>127</v>
      </c>
      <c r="E86" s="29">
        <v>8449</v>
      </c>
      <c r="F86" s="29">
        <f>-1844-6131</f>
        <v>-7975</v>
      </c>
      <c r="G86" s="29">
        <f t="shared" si="1"/>
        <v>474</v>
      </c>
    </row>
    <row r="87" spans="1:9" x14ac:dyDescent="0.2">
      <c r="A87" s="20">
        <v>12673</v>
      </c>
      <c r="B87" s="20" t="s">
        <v>134</v>
      </c>
      <c r="C87" s="20">
        <v>9415</v>
      </c>
      <c r="D87" s="20" t="s">
        <v>127</v>
      </c>
      <c r="E87" s="29">
        <v>494</v>
      </c>
      <c r="F87" s="29"/>
      <c r="G87" s="29">
        <f>+E87+F87</f>
        <v>494</v>
      </c>
    </row>
    <row r="88" spans="1:9" x14ac:dyDescent="0.2">
      <c r="A88" s="20">
        <v>6321</v>
      </c>
      <c r="B88" s="20" t="s">
        <v>113</v>
      </c>
      <c r="C88" s="20">
        <v>9478</v>
      </c>
      <c r="D88" s="20" t="s">
        <v>127</v>
      </c>
      <c r="E88" s="29">
        <v>11101</v>
      </c>
      <c r="F88" s="29">
        <v>-6949</v>
      </c>
      <c r="G88" s="29">
        <f t="shared" si="1"/>
        <v>4152</v>
      </c>
    </row>
    <row r="89" spans="1:9" x14ac:dyDescent="0.2">
      <c r="A89" s="20">
        <v>11893</v>
      </c>
      <c r="B89" s="20" t="s">
        <v>131</v>
      </c>
      <c r="C89" s="20">
        <v>9493</v>
      </c>
      <c r="D89" s="20" t="s">
        <v>127</v>
      </c>
      <c r="E89" s="29">
        <v>6965</v>
      </c>
      <c r="F89" s="29"/>
      <c r="G89" s="29">
        <f t="shared" si="1"/>
        <v>6965</v>
      </c>
    </row>
    <row r="90" spans="1:9" x14ac:dyDescent="0.2">
      <c r="A90" s="20">
        <v>330</v>
      </c>
      <c r="B90" s="20" t="s">
        <v>165</v>
      </c>
      <c r="C90" s="20">
        <v>9439</v>
      </c>
      <c r="D90" s="20" t="s">
        <v>127</v>
      </c>
      <c r="E90" s="29">
        <v>9301</v>
      </c>
      <c r="F90" s="29">
        <v>2</v>
      </c>
      <c r="G90" s="29">
        <f t="shared" si="1"/>
        <v>9303</v>
      </c>
    </row>
    <row r="91" spans="1:9" x14ac:dyDescent="0.2">
      <c r="A91" s="20">
        <v>4997</v>
      </c>
      <c r="B91" s="20" t="s">
        <v>132</v>
      </c>
      <c r="C91" s="20">
        <v>9433</v>
      </c>
      <c r="D91" s="20" t="s">
        <v>127</v>
      </c>
      <c r="E91" s="29">
        <v>77082</v>
      </c>
      <c r="F91" s="29">
        <f>-54775+2+23410+665+6+4</f>
        <v>-30688</v>
      </c>
      <c r="G91" s="29">
        <f t="shared" si="1"/>
        <v>46394</v>
      </c>
    </row>
    <row r="92" spans="1:9" s="9" customFormat="1" x14ac:dyDescent="0.2">
      <c r="E92" s="10">
        <f>SUM(E58:E91)</f>
        <v>69680</v>
      </c>
      <c r="F92" s="10">
        <f>SUM(F58:F91)</f>
        <v>-607</v>
      </c>
      <c r="G92" s="10">
        <f>SUM(G58:G91)</f>
        <v>69073</v>
      </c>
      <c r="H92" s="14">
        <v>5.15</v>
      </c>
      <c r="I92" s="14">
        <f>ROUND(G92*H92,2)</f>
        <v>355725.95</v>
      </c>
    </row>
    <row r="94" spans="1:9" x14ac:dyDescent="0.2">
      <c r="A94" s="20">
        <v>7672</v>
      </c>
      <c r="B94" s="20" t="s">
        <v>156</v>
      </c>
      <c r="C94" s="20">
        <v>9430</v>
      </c>
      <c r="D94" s="20" t="s">
        <v>154</v>
      </c>
      <c r="E94" s="29">
        <v>-26824</v>
      </c>
      <c r="F94" s="29">
        <v>18337</v>
      </c>
      <c r="G94" s="29">
        <f t="shared" si="1"/>
        <v>-8487</v>
      </c>
    </row>
    <row r="95" spans="1:9" x14ac:dyDescent="0.2">
      <c r="A95" s="20">
        <v>6321</v>
      </c>
      <c r="B95" s="20" t="s">
        <v>113</v>
      </c>
      <c r="C95" s="20">
        <v>9479</v>
      </c>
      <c r="D95" s="20" t="s">
        <v>154</v>
      </c>
      <c r="E95" s="29">
        <v>-4152</v>
      </c>
      <c r="F95" s="29"/>
      <c r="G95" s="29">
        <f t="shared" si="1"/>
        <v>-4152</v>
      </c>
    </row>
    <row r="96" spans="1:9" x14ac:dyDescent="0.2">
      <c r="A96" s="20">
        <v>330</v>
      </c>
      <c r="B96" s="20" t="s">
        <v>165</v>
      </c>
      <c r="C96" s="20">
        <v>9440</v>
      </c>
      <c r="D96" s="20" t="s">
        <v>154</v>
      </c>
      <c r="E96" s="29">
        <v>-219</v>
      </c>
      <c r="F96" s="29"/>
      <c r="G96" s="29">
        <f t="shared" si="1"/>
        <v>-219</v>
      </c>
    </row>
    <row r="97" spans="1:9" s="9" customFormat="1" x14ac:dyDescent="0.2">
      <c r="A97" s="24"/>
      <c r="B97" s="24"/>
      <c r="C97" s="24"/>
      <c r="D97" s="24"/>
      <c r="E97" s="30">
        <f>SUM(E94:E96)</f>
        <v>-31195</v>
      </c>
      <c r="F97" s="30">
        <f>SUM(F94:F96)</f>
        <v>18337</v>
      </c>
      <c r="G97" s="30">
        <f>SUM(G94:G96)</f>
        <v>-12858</v>
      </c>
      <c r="H97" s="14">
        <v>5.08</v>
      </c>
      <c r="I97" s="14">
        <f>ROUND(G97*H97,2)</f>
        <v>-65318.64</v>
      </c>
    </row>
    <row r="98" spans="1:9" x14ac:dyDescent="0.2">
      <c r="A98" s="20"/>
      <c r="B98" s="20"/>
      <c r="C98" s="20"/>
      <c r="D98" s="20"/>
      <c r="E98" s="29"/>
      <c r="F98" s="29"/>
      <c r="G98" s="29"/>
    </row>
    <row r="99" spans="1:9" x14ac:dyDescent="0.2">
      <c r="A99" s="20"/>
      <c r="B99" s="20"/>
      <c r="C99" s="20"/>
      <c r="D99" s="20"/>
      <c r="E99" s="29"/>
      <c r="F99" s="29"/>
      <c r="G99" s="29"/>
    </row>
    <row r="100" spans="1:9" x14ac:dyDescent="0.2">
      <c r="A100" s="20">
        <v>11905</v>
      </c>
      <c r="B100" s="20" t="s">
        <v>141</v>
      </c>
      <c r="C100" s="20">
        <v>9417</v>
      </c>
      <c r="D100" s="20" t="s">
        <v>154</v>
      </c>
      <c r="E100" s="29">
        <v>18337</v>
      </c>
      <c r="F100" s="29">
        <v>-18337</v>
      </c>
      <c r="G100" s="29">
        <f t="shared" si="1"/>
        <v>0</v>
      </c>
    </row>
    <row r="101" spans="1:9" x14ac:dyDescent="0.2">
      <c r="A101" s="20">
        <v>12907</v>
      </c>
      <c r="B101" s="20" t="s">
        <v>166</v>
      </c>
      <c r="C101" s="20">
        <v>9437</v>
      </c>
      <c r="D101" s="20" t="s">
        <v>154</v>
      </c>
      <c r="E101" s="29">
        <v>3</v>
      </c>
      <c r="F101" s="29"/>
      <c r="G101" s="29">
        <f t="shared" si="1"/>
        <v>3</v>
      </c>
    </row>
    <row r="102" spans="1:9" x14ac:dyDescent="0.2">
      <c r="A102" s="20">
        <v>8573</v>
      </c>
      <c r="B102" s="20" t="s">
        <v>53</v>
      </c>
      <c r="C102" s="20">
        <v>9486</v>
      </c>
      <c r="D102" s="20" t="s">
        <v>154</v>
      </c>
      <c r="E102" s="29">
        <v>23</v>
      </c>
      <c r="F102" s="29"/>
      <c r="G102" s="29">
        <f t="shared" si="1"/>
        <v>23</v>
      </c>
    </row>
    <row r="103" spans="1:9" x14ac:dyDescent="0.2">
      <c r="A103" s="20">
        <v>4997</v>
      </c>
      <c r="B103" s="20" t="s">
        <v>132</v>
      </c>
      <c r="C103" s="20">
        <v>9434</v>
      </c>
      <c r="D103" s="20" t="s">
        <v>154</v>
      </c>
      <c r="E103" s="29">
        <v>2760</v>
      </c>
      <c r="F103" s="29">
        <f>18337-18337</f>
        <v>0</v>
      </c>
      <c r="G103" s="29">
        <f t="shared" si="1"/>
        <v>2760</v>
      </c>
    </row>
    <row r="104" spans="1:9" s="9" customFormat="1" x14ac:dyDescent="0.2">
      <c r="E104" s="10">
        <f>SUM(E100:E103)</f>
        <v>21123</v>
      </c>
      <c r="F104" s="10">
        <f>SUM(F100:F103)</f>
        <v>-18337</v>
      </c>
      <c r="G104" s="10">
        <f>SUM(G100:G103)</f>
        <v>2786</v>
      </c>
      <c r="H104" s="14">
        <v>5.15</v>
      </c>
      <c r="I104" s="14">
        <f>ROUND(G104*H104,2)</f>
        <v>14347.9</v>
      </c>
    </row>
    <row r="107" spans="1:9" s="9" customFormat="1" x14ac:dyDescent="0.2">
      <c r="B107" s="9" t="s">
        <v>216</v>
      </c>
      <c r="E107" s="10">
        <f>+E104+E97+E92+E55+E45+E11</f>
        <v>322469</v>
      </c>
      <c r="F107" s="10">
        <f>+F104+F97+F92+F55+F45+F11</f>
        <v>0</v>
      </c>
      <c r="G107" s="10">
        <f>+G104+G97+G92+G55+G45+G11</f>
        <v>322469</v>
      </c>
      <c r="H107" s="14"/>
      <c r="I107" s="14">
        <f>+I104+I97+I92+I55+I45+I11</f>
        <v>1664715.29</v>
      </c>
    </row>
    <row r="108" spans="1:9" s="9" customFormat="1" x14ac:dyDescent="0.2">
      <c r="E108" s="10"/>
      <c r="F108" s="10"/>
      <c r="G108" s="10"/>
      <c r="H108" s="14"/>
      <c r="I108" s="14"/>
    </row>
    <row r="110" spans="1:9" x14ac:dyDescent="0.2">
      <c r="B110" t="s">
        <v>225</v>
      </c>
      <c r="G110" s="6">
        <f>+G97+G55+G11</f>
        <v>-57142</v>
      </c>
      <c r="I110" s="13">
        <f>+I97+I55+I11</f>
        <v>-290281.36</v>
      </c>
    </row>
    <row r="112" spans="1:9" x14ac:dyDescent="0.2">
      <c r="B112" t="s">
        <v>226</v>
      </c>
      <c r="G112" s="6">
        <f>+G104+G92+G45</f>
        <v>379611</v>
      </c>
      <c r="I112" s="13">
        <f>+I104+I92+I45</f>
        <v>1954996.6500000001</v>
      </c>
    </row>
    <row r="114" spans="2:9" x14ac:dyDescent="0.2">
      <c r="B114" t="s">
        <v>227</v>
      </c>
      <c r="G114" s="6">
        <f>SUM(G110:G113)</f>
        <v>322469</v>
      </c>
      <c r="I114" s="13">
        <f>SUM(I110:I113)</f>
        <v>1664715.29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selection activeCell="B1" sqref="B1"/>
    </sheetView>
  </sheetViews>
  <sheetFormatPr defaultRowHeight="12" x14ac:dyDescent="0.2"/>
  <cols>
    <col min="1" max="1" width="7.5703125" style="20" customWidth="1"/>
    <col min="2" max="2" width="34.140625" style="20" customWidth="1"/>
    <col min="3" max="3" width="7.5703125" style="20" customWidth="1"/>
    <col min="4" max="4" width="19.28515625" style="20" bestFit="1" customWidth="1"/>
    <col min="5" max="5" width="10.28515625" style="29" customWidth="1"/>
    <col min="6" max="6" width="8.85546875" style="29" customWidth="1"/>
    <col min="7" max="7" width="10" style="29" customWidth="1"/>
    <col min="8" max="8" width="9.140625" style="23"/>
    <col min="9" max="9" width="13.5703125" style="23" bestFit="1" customWidth="1"/>
    <col min="10" max="16384" width="9.140625" style="20"/>
  </cols>
  <sheetData>
    <row r="1" spans="1:9" s="24" customFormat="1" x14ac:dyDescent="0.2">
      <c r="A1" s="24" t="s">
        <v>73</v>
      </c>
      <c r="E1" s="30"/>
      <c r="F1" s="30"/>
      <c r="G1" s="30"/>
      <c r="H1" s="27"/>
      <c r="I1" s="27"/>
    </row>
    <row r="2" spans="1:9" s="24" customFormat="1" x14ac:dyDescent="0.2">
      <c r="A2" s="31">
        <v>36982</v>
      </c>
      <c r="E2" s="30"/>
      <c r="F2" s="30"/>
      <c r="G2" s="30"/>
      <c r="H2" s="27"/>
      <c r="I2" s="27"/>
    </row>
    <row r="3" spans="1:9" s="24" customFormat="1" x14ac:dyDescent="0.2">
      <c r="E3" s="30"/>
      <c r="F3" s="30"/>
      <c r="G3" s="30"/>
      <c r="H3" s="27"/>
      <c r="I3" s="27"/>
    </row>
    <row r="4" spans="1:9" s="32" customFormat="1" ht="36" customHeight="1" x14ac:dyDescent="0.2">
      <c r="A4" s="32" t="s">
        <v>0</v>
      </c>
      <c r="B4" s="32" t="s">
        <v>164</v>
      </c>
      <c r="C4" s="32" t="s">
        <v>2</v>
      </c>
      <c r="D4" s="32" t="s">
        <v>3</v>
      </c>
      <c r="E4" s="33" t="s">
        <v>4</v>
      </c>
      <c r="F4" s="33" t="s">
        <v>88</v>
      </c>
      <c r="G4" s="33" t="s">
        <v>89</v>
      </c>
      <c r="H4" s="34"/>
      <c r="I4" s="34"/>
    </row>
    <row r="5" spans="1:9" x14ac:dyDescent="0.2">
      <c r="A5" s="20">
        <v>4120</v>
      </c>
      <c r="B5" s="20" t="s">
        <v>94</v>
      </c>
      <c r="C5" s="20">
        <v>9555</v>
      </c>
      <c r="D5" s="20" t="s">
        <v>91</v>
      </c>
      <c r="E5" s="29">
        <v>-445825</v>
      </c>
      <c r="G5" s="29">
        <f t="shared" ref="G5:G78" si="0">+E5+F5</f>
        <v>-445825</v>
      </c>
    </row>
    <row r="6" spans="1:9" x14ac:dyDescent="0.2">
      <c r="A6" s="20">
        <v>655</v>
      </c>
      <c r="B6" s="20" t="s">
        <v>90</v>
      </c>
      <c r="C6" s="20">
        <v>9530</v>
      </c>
      <c r="D6" s="20" t="s">
        <v>91</v>
      </c>
      <c r="E6" s="29">
        <v>-229850</v>
      </c>
      <c r="G6" s="29">
        <f t="shared" si="0"/>
        <v>-229850</v>
      </c>
    </row>
    <row r="7" spans="1:9" x14ac:dyDescent="0.2">
      <c r="A7" s="20">
        <v>4120</v>
      </c>
      <c r="B7" s="20" t="s">
        <v>94</v>
      </c>
      <c r="C7" s="20">
        <v>9556</v>
      </c>
      <c r="D7" s="20" t="s">
        <v>101</v>
      </c>
      <c r="E7" s="29">
        <v>-88856</v>
      </c>
      <c r="G7" s="29">
        <f t="shared" si="0"/>
        <v>-88856</v>
      </c>
    </row>
    <row r="8" spans="1:9" x14ac:dyDescent="0.2">
      <c r="A8" s="20">
        <v>11793</v>
      </c>
      <c r="B8" s="20" t="s">
        <v>93</v>
      </c>
      <c r="C8" s="20">
        <v>9537</v>
      </c>
      <c r="D8" s="20" t="s">
        <v>91</v>
      </c>
      <c r="E8" s="29">
        <v>-93909</v>
      </c>
      <c r="F8" s="29">
        <f>-17002+28133+2628+17737</f>
        <v>31496</v>
      </c>
      <c r="G8" s="29">
        <f t="shared" si="0"/>
        <v>-62413</v>
      </c>
    </row>
    <row r="9" spans="1:9" x14ac:dyDescent="0.2">
      <c r="A9" s="20">
        <v>5736</v>
      </c>
      <c r="B9" s="20" t="s">
        <v>123</v>
      </c>
      <c r="C9" s="20">
        <v>9532</v>
      </c>
      <c r="D9" s="20" t="s">
        <v>91</v>
      </c>
      <c r="E9" s="29">
        <v>-53807</v>
      </c>
      <c r="F9" s="29">
        <f>50000-55254</f>
        <v>-5254</v>
      </c>
      <c r="G9" s="29">
        <f t="shared" si="0"/>
        <v>-59061</v>
      </c>
    </row>
    <row r="10" spans="1:9" x14ac:dyDescent="0.2">
      <c r="A10" s="20">
        <v>4109</v>
      </c>
      <c r="B10" s="20" t="s">
        <v>92</v>
      </c>
      <c r="C10" s="20">
        <v>9569</v>
      </c>
      <c r="D10" s="20" t="s">
        <v>91</v>
      </c>
      <c r="E10" s="29">
        <v>-32056</v>
      </c>
      <c r="G10" s="29">
        <f t="shared" si="0"/>
        <v>-32056</v>
      </c>
    </row>
    <row r="11" spans="1:9" x14ac:dyDescent="0.2">
      <c r="A11" s="20">
        <v>6431</v>
      </c>
      <c r="B11" s="20" t="s">
        <v>117</v>
      </c>
      <c r="C11" s="20">
        <v>9571</v>
      </c>
      <c r="D11" s="20" t="s">
        <v>91</v>
      </c>
      <c r="E11" s="29">
        <v>-26205</v>
      </c>
      <c r="G11" s="29">
        <f t="shared" si="0"/>
        <v>-26205</v>
      </c>
    </row>
    <row r="12" spans="1:9" x14ac:dyDescent="0.2">
      <c r="A12" s="20">
        <v>6268</v>
      </c>
      <c r="B12" s="20" t="s">
        <v>96</v>
      </c>
      <c r="C12" s="20">
        <v>9528</v>
      </c>
      <c r="D12" s="20" t="s">
        <v>101</v>
      </c>
      <c r="E12" s="29">
        <v>-20344</v>
      </c>
      <c r="F12" s="29">
        <f>12+1+8801+215</f>
        <v>9029</v>
      </c>
      <c r="G12" s="29">
        <f t="shared" si="0"/>
        <v>-11315</v>
      </c>
    </row>
    <row r="13" spans="1:9" x14ac:dyDescent="0.2">
      <c r="A13" s="20">
        <v>6075</v>
      </c>
      <c r="B13" s="20" t="s">
        <v>114</v>
      </c>
      <c r="C13" s="20">
        <v>9562</v>
      </c>
      <c r="D13" s="20" t="s">
        <v>91</v>
      </c>
      <c r="E13" s="29">
        <v>-10746</v>
      </c>
      <c r="G13" s="29">
        <f t="shared" si="0"/>
        <v>-10746</v>
      </c>
    </row>
    <row r="14" spans="1:9" x14ac:dyDescent="0.2">
      <c r="A14" s="20">
        <v>11793</v>
      </c>
      <c r="B14" s="20" t="s">
        <v>93</v>
      </c>
      <c r="C14" s="20">
        <v>9539</v>
      </c>
      <c r="D14" s="20" t="s">
        <v>101</v>
      </c>
      <c r="E14" s="29">
        <v>-10488</v>
      </c>
      <c r="F14" s="29">
        <v>3117</v>
      </c>
      <c r="G14" s="29">
        <f t="shared" si="0"/>
        <v>-7371</v>
      </c>
    </row>
    <row r="15" spans="1:9" x14ac:dyDescent="0.2">
      <c r="A15" s="20">
        <v>287</v>
      </c>
      <c r="B15" s="20" t="s">
        <v>98</v>
      </c>
      <c r="C15" s="20">
        <v>9522</v>
      </c>
      <c r="D15" s="20" t="s">
        <v>91</v>
      </c>
      <c r="E15" s="29">
        <v>-2770</v>
      </c>
      <c r="G15" s="29">
        <f t="shared" si="0"/>
        <v>-2770</v>
      </c>
    </row>
    <row r="16" spans="1:9" x14ac:dyDescent="0.2">
      <c r="A16" s="20">
        <v>4118</v>
      </c>
      <c r="B16" s="20" t="s">
        <v>99</v>
      </c>
      <c r="C16" s="20">
        <v>9551</v>
      </c>
      <c r="D16" s="20" t="s">
        <v>91</v>
      </c>
      <c r="E16" s="29">
        <v>-2870</v>
      </c>
      <c r="F16" s="29">
        <v>505</v>
      </c>
      <c r="G16" s="29">
        <f t="shared" si="0"/>
        <v>-2365</v>
      </c>
    </row>
    <row r="17" spans="1:9" x14ac:dyDescent="0.2">
      <c r="A17" s="20">
        <v>12907</v>
      </c>
      <c r="B17" s="20" t="s">
        <v>166</v>
      </c>
      <c r="C17" s="20">
        <v>9518</v>
      </c>
      <c r="D17" s="20" t="s">
        <v>91</v>
      </c>
      <c r="E17" s="29">
        <v>-1279</v>
      </c>
      <c r="G17" s="29">
        <f t="shared" si="0"/>
        <v>-1279</v>
      </c>
    </row>
    <row r="18" spans="1:9" x14ac:dyDescent="0.2">
      <c r="A18" s="20">
        <v>11793</v>
      </c>
      <c r="B18" s="20" t="s">
        <v>93</v>
      </c>
      <c r="C18" s="20">
        <v>9538</v>
      </c>
      <c r="D18" s="20" t="s">
        <v>121</v>
      </c>
      <c r="E18" s="29">
        <v>-923</v>
      </c>
      <c r="G18" s="29">
        <f>+E18+F18</f>
        <v>-923</v>
      </c>
    </row>
    <row r="19" spans="1:9" x14ac:dyDescent="0.2">
      <c r="A19" s="20">
        <v>4133</v>
      </c>
      <c r="B19" s="20" t="s">
        <v>116</v>
      </c>
      <c r="C19" s="20">
        <v>9567</v>
      </c>
      <c r="D19" s="20" t="s">
        <v>91</v>
      </c>
      <c r="E19" s="29">
        <v>-331</v>
      </c>
      <c r="G19" s="29">
        <f t="shared" si="0"/>
        <v>-331</v>
      </c>
    </row>
    <row r="20" spans="1:9" x14ac:dyDescent="0.2">
      <c r="A20" s="20">
        <v>4079</v>
      </c>
      <c r="B20" s="20" t="s">
        <v>112</v>
      </c>
      <c r="C20" s="20">
        <v>9558</v>
      </c>
      <c r="D20" s="20" t="s">
        <v>91</v>
      </c>
      <c r="E20" s="29">
        <v>-1382</v>
      </c>
      <c r="F20" s="29">
        <f>18+568+795</f>
        <v>1381</v>
      </c>
      <c r="G20" s="29">
        <f t="shared" si="0"/>
        <v>-1</v>
      </c>
    </row>
    <row r="21" spans="1:9" s="24" customFormat="1" x14ac:dyDescent="0.2">
      <c r="B21" s="24" t="s">
        <v>217</v>
      </c>
      <c r="E21" s="30">
        <f>SUM(E5:E20)</f>
        <v>-1021641</v>
      </c>
      <c r="F21" s="30">
        <f>SUM(F5:F20)</f>
        <v>40274</v>
      </c>
      <c r="G21" s="30">
        <f>SUM(G5:G20)</f>
        <v>-981367</v>
      </c>
      <c r="H21" s="27">
        <v>5.2</v>
      </c>
      <c r="I21" s="27">
        <f>ROUND(G21*H21,2)</f>
        <v>-5103108.4000000004</v>
      </c>
    </row>
    <row r="24" spans="1:9" x14ac:dyDescent="0.2">
      <c r="A24" s="20">
        <v>6228</v>
      </c>
      <c r="B24" s="20" t="s">
        <v>103</v>
      </c>
      <c r="C24" s="20">
        <v>9504</v>
      </c>
      <c r="D24" s="20" t="s">
        <v>91</v>
      </c>
      <c r="E24" s="29">
        <v>18</v>
      </c>
      <c r="F24" s="29">
        <v>-18</v>
      </c>
      <c r="G24" s="29">
        <f t="shared" si="0"/>
        <v>0</v>
      </c>
    </row>
    <row r="25" spans="1:9" x14ac:dyDescent="0.2">
      <c r="A25" s="20">
        <v>4175</v>
      </c>
      <c r="B25" s="20" t="s">
        <v>104</v>
      </c>
      <c r="C25" s="20">
        <v>9505</v>
      </c>
      <c r="D25" s="20" t="s">
        <v>91</v>
      </c>
      <c r="E25" s="29">
        <v>-7911</v>
      </c>
      <c r="F25" s="29">
        <v>7911</v>
      </c>
      <c r="G25" s="29">
        <f t="shared" si="0"/>
        <v>0</v>
      </c>
    </row>
    <row r="26" spans="1:9" x14ac:dyDescent="0.2">
      <c r="A26" s="20">
        <v>4179</v>
      </c>
      <c r="B26" s="20" t="s">
        <v>105</v>
      </c>
      <c r="C26" s="20">
        <v>9509</v>
      </c>
      <c r="D26" s="20" t="s">
        <v>91</v>
      </c>
      <c r="E26" s="29">
        <v>-17002</v>
      </c>
      <c r="F26" s="29">
        <v>17002</v>
      </c>
      <c r="G26" s="29">
        <f t="shared" si="0"/>
        <v>0</v>
      </c>
    </row>
    <row r="27" spans="1:9" x14ac:dyDescent="0.2">
      <c r="A27" s="20">
        <v>11687</v>
      </c>
      <c r="B27" s="20" t="s">
        <v>106</v>
      </c>
      <c r="C27" s="20">
        <v>9512</v>
      </c>
      <c r="D27" s="20" t="s">
        <v>91</v>
      </c>
      <c r="E27" s="29">
        <v>8416</v>
      </c>
      <c r="F27" s="29">
        <v>-8416</v>
      </c>
      <c r="G27" s="29">
        <f t="shared" si="0"/>
        <v>0</v>
      </c>
    </row>
    <row r="28" spans="1:9" x14ac:dyDescent="0.2">
      <c r="A28" s="20">
        <v>11729</v>
      </c>
      <c r="B28" s="20" t="s">
        <v>109</v>
      </c>
      <c r="C28" s="20">
        <v>9535</v>
      </c>
      <c r="D28" s="20" t="s">
        <v>91</v>
      </c>
      <c r="E28" s="29">
        <v>568</v>
      </c>
      <c r="F28" s="29">
        <v>-568</v>
      </c>
      <c r="G28" s="29">
        <f t="shared" si="0"/>
        <v>0</v>
      </c>
    </row>
    <row r="29" spans="1:9" x14ac:dyDescent="0.2">
      <c r="A29" s="20">
        <v>13252</v>
      </c>
      <c r="B29" s="20" t="s">
        <v>157</v>
      </c>
      <c r="C29" s="20">
        <v>9540</v>
      </c>
      <c r="D29" s="20" t="s">
        <v>91</v>
      </c>
      <c r="E29" s="29">
        <v>-2393</v>
      </c>
      <c r="F29" s="29">
        <v>2393</v>
      </c>
      <c r="G29" s="29">
        <f t="shared" si="0"/>
        <v>0</v>
      </c>
    </row>
    <row r="30" spans="1:9" x14ac:dyDescent="0.2">
      <c r="A30" s="20">
        <v>4101</v>
      </c>
      <c r="B30" s="20" t="s">
        <v>110</v>
      </c>
      <c r="C30" s="20">
        <v>9543</v>
      </c>
      <c r="D30" s="20" t="s">
        <v>91</v>
      </c>
      <c r="E30" s="29">
        <v>17737</v>
      </c>
      <c r="F30" s="29">
        <v>-17737</v>
      </c>
      <c r="G30" s="29">
        <f t="shared" si="0"/>
        <v>0</v>
      </c>
    </row>
    <row r="31" spans="1:9" x14ac:dyDescent="0.2">
      <c r="A31" s="20">
        <v>11185</v>
      </c>
      <c r="B31" s="20" t="s">
        <v>119</v>
      </c>
      <c r="C31" s="20">
        <v>9544</v>
      </c>
      <c r="D31" s="20" t="s">
        <v>91</v>
      </c>
      <c r="E31" s="29">
        <v>28133</v>
      </c>
      <c r="F31" s="29">
        <v>-28133</v>
      </c>
      <c r="G31" s="29">
        <f t="shared" si="0"/>
        <v>0</v>
      </c>
    </row>
    <row r="32" spans="1:9" x14ac:dyDescent="0.2">
      <c r="A32" s="20">
        <v>11420</v>
      </c>
      <c r="B32" s="20" t="s">
        <v>97</v>
      </c>
      <c r="C32" s="20">
        <v>9546</v>
      </c>
      <c r="D32" s="20" t="s">
        <v>91</v>
      </c>
      <c r="E32" s="29">
        <v>5021</v>
      </c>
      <c r="F32" s="29">
        <f>-2393-2628</f>
        <v>-5021</v>
      </c>
      <c r="G32" s="29">
        <f t="shared" si="0"/>
        <v>0</v>
      </c>
    </row>
    <row r="33" spans="1:9" x14ac:dyDescent="0.2">
      <c r="A33" s="20">
        <v>2974</v>
      </c>
      <c r="B33" s="20" t="s">
        <v>111</v>
      </c>
      <c r="C33" s="20">
        <v>9552</v>
      </c>
      <c r="D33" s="20" t="s">
        <v>91</v>
      </c>
      <c r="E33" s="29">
        <v>-8618</v>
      </c>
      <c r="F33" s="29">
        <v>8618</v>
      </c>
      <c r="G33" s="29">
        <f t="shared" si="0"/>
        <v>0</v>
      </c>
    </row>
    <row r="34" spans="1:9" x14ac:dyDescent="0.2">
      <c r="A34" s="20">
        <v>4175</v>
      </c>
      <c r="B34" s="20" t="s">
        <v>104</v>
      </c>
      <c r="C34" s="20">
        <v>9506</v>
      </c>
      <c r="D34" s="20" t="s">
        <v>101</v>
      </c>
      <c r="E34" s="29">
        <v>12</v>
      </c>
      <c r="F34" s="29">
        <v>-12</v>
      </c>
      <c r="G34" s="29">
        <f t="shared" si="0"/>
        <v>0</v>
      </c>
    </row>
    <row r="35" spans="1:9" x14ac:dyDescent="0.2">
      <c r="A35" s="20">
        <v>2974</v>
      </c>
      <c r="B35" s="20" t="s">
        <v>111</v>
      </c>
      <c r="C35" s="20">
        <v>9553</v>
      </c>
      <c r="D35" s="20" t="s">
        <v>101</v>
      </c>
      <c r="E35" s="29">
        <v>215</v>
      </c>
      <c r="F35" s="29">
        <v>-215</v>
      </c>
      <c r="G35" s="29">
        <f t="shared" si="0"/>
        <v>0</v>
      </c>
    </row>
    <row r="36" spans="1:9" x14ac:dyDescent="0.2">
      <c r="A36" s="20">
        <v>6268</v>
      </c>
      <c r="B36" s="20" t="s">
        <v>96</v>
      </c>
      <c r="C36" s="20">
        <v>9527</v>
      </c>
      <c r="D36" s="20" t="s">
        <v>121</v>
      </c>
      <c r="E36" s="29">
        <v>533</v>
      </c>
      <c r="F36" s="29">
        <v>-533</v>
      </c>
      <c r="G36" s="29">
        <f>+E36+F36</f>
        <v>0</v>
      </c>
    </row>
    <row r="37" spans="1:9" x14ac:dyDescent="0.2">
      <c r="A37" s="20">
        <v>4131</v>
      </c>
      <c r="B37" s="20" t="s">
        <v>118</v>
      </c>
      <c r="C37" s="20">
        <v>9565</v>
      </c>
      <c r="D37" s="20" t="s">
        <v>91</v>
      </c>
      <c r="E37" s="29">
        <v>31</v>
      </c>
      <c r="G37" s="29">
        <f t="shared" si="0"/>
        <v>31</v>
      </c>
    </row>
    <row r="38" spans="1:9" x14ac:dyDescent="0.2">
      <c r="A38" s="20">
        <v>330</v>
      </c>
      <c r="B38" s="20" t="s">
        <v>165</v>
      </c>
      <c r="C38" s="20">
        <v>9521</v>
      </c>
      <c r="D38" s="20" t="s">
        <v>101</v>
      </c>
      <c r="E38" s="29">
        <v>106</v>
      </c>
      <c r="G38" s="29">
        <f t="shared" si="0"/>
        <v>106</v>
      </c>
    </row>
    <row r="39" spans="1:9" x14ac:dyDescent="0.2">
      <c r="A39" s="20">
        <v>6321</v>
      </c>
      <c r="B39" s="20" t="s">
        <v>113</v>
      </c>
      <c r="C39" s="20">
        <v>9561</v>
      </c>
      <c r="D39" s="20" t="s">
        <v>91</v>
      </c>
      <c r="E39" s="29">
        <v>240</v>
      </c>
      <c r="G39" s="29">
        <f t="shared" si="0"/>
        <v>240</v>
      </c>
    </row>
    <row r="40" spans="1:9" x14ac:dyDescent="0.2">
      <c r="A40" s="20">
        <v>4131</v>
      </c>
      <c r="B40" s="20" t="s">
        <v>118</v>
      </c>
      <c r="C40" s="20">
        <v>9566</v>
      </c>
      <c r="D40" s="20" t="s">
        <v>101</v>
      </c>
      <c r="E40" s="29">
        <v>317</v>
      </c>
      <c r="G40" s="29">
        <f t="shared" si="0"/>
        <v>317</v>
      </c>
    </row>
    <row r="41" spans="1:9" x14ac:dyDescent="0.2">
      <c r="A41" s="20">
        <v>3974</v>
      </c>
      <c r="B41" s="20" t="s">
        <v>115</v>
      </c>
      <c r="C41" s="20">
        <v>9564</v>
      </c>
      <c r="D41" s="20" t="s">
        <v>91</v>
      </c>
      <c r="E41" s="29">
        <v>622</v>
      </c>
      <c r="G41" s="29">
        <f t="shared" si="0"/>
        <v>622</v>
      </c>
    </row>
    <row r="42" spans="1:9" x14ac:dyDescent="0.2">
      <c r="A42" s="20">
        <v>4084</v>
      </c>
      <c r="B42" s="20" t="s">
        <v>108</v>
      </c>
      <c r="C42" s="20">
        <v>9534</v>
      </c>
      <c r="D42" s="20" t="s">
        <v>101</v>
      </c>
      <c r="E42" s="29">
        <v>13502</v>
      </c>
      <c r="F42" s="29">
        <v>-8801</v>
      </c>
      <c r="G42" s="29">
        <f t="shared" si="0"/>
        <v>4701</v>
      </c>
    </row>
    <row r="43" spans="1:9" x14ac:dyDescent="0.2">
      <c r="A43" s="20">
        <v>6268</v>
      </c>
      <c r="B43" s="20" t="s">
        <v>96</v>
      </c>
      <c r="C43" s="20">
        <v>9526</v>
      </c>
      <c r="D43" s="20" t="s">
        <v>91</v>
      </c>
      <c r="E43" s="29">
        <v>14942</v>
      </c>
      <c r="F43" s="29">
        <f>533-8618-795+55254-50000</f>
        <v>-3626</v>
      </c>
      <c r="G43" s="29">
        <f t="shared" si="0"/>
        <v>11316</v>
      </c>
    </row>
    <row r="44" spans="1:9" x14ac:dyDescent="0.2">
      <c r="A44" s="20">
        <v>11516</v>
      </c>
      <c r="B44" s="20" t="s">
        <v>95</v>
      </c>
      <c r="C44" s="20">
        <v>9548</v>
      </c>
      <c r="D44" s="20" t="s">
        <v>91</v>
      </c>
      <c r="E44" s="29">
        <v>17085</v>
      </c>
      <c r="G44" s="29">
        <f t="shared" si="0"/>
        <v>17085</v>
      </c>
    </row>
    <row r="45" spans="1:9" s="24" customFormat="1" x14ac:dyDescent="0.2">
      <c r="B45" s="24" t="s">
        <v>218</v>
      </c>
      <c r="E45" s="30">
        <f>SUM(E24:E44)</f>
        <v>71574</v>
      </c>
      <c r="F45" s="30">
        <f>SUM(F24:F44)</f>
        <v>-37156</v>
      </c>
      <c r="G45" s="30">
        <f>SUM(G24:G44)</f>
        <v>34418</v>
      </c>
      <c r="H45" s="27">
        <v>5.26</v>
      </c>
      <c r="I45" s="27">
        <f>ROUND(G45*H45,2)</f>
        <v>181038.68</v>
      </c>
    </row>
    <row r="47" spans="1:9" s="24" customFormat="1" x14ac:dyDescent="0.2">
      <c r="B47" s="24" t="s">
        <v>182</v>
      </c>
      <c r="E47" s="30"/>
      <c r="F47" s="30"/>
      <c r="G47" s="30">
        <f>+G45+G21</f>
        <v>-946949</v>
      </c>
      <c r="H47" s="27"/>
      <c r="I47" s="27"/>
    </row>
    <row r="49" spans="1:9" s="24" customFormat="1" x14ac:dyDescent="0.2">
      <c r="B49" s="24" t="s">
        <v>183</v>
      </c>
      <c r="E49" s="30"/>
      <c r="F49" s="30"/>
      <c r="G49" s="30">
        <v>-489468</v>
      </c>
      <c r="H49" s="27"/>
      <c r="I49" s="27"/>
    </row>
    <row r="50" spans="1:9" s="24" customFormat="1" x14ac:dyDescent="0.2">
      <c r="B50" s="24" t="s">
        <v>184</v>
      </c>
      <c r="E50" s="30"/>
      <c r="F50" s="30"/>
      <c r="G50" s="30">
        <v>-103003</v>
      </c>
      <c r="H50" s="27"/>
      <c r="I50" s="27"/>
    </row>
    <row r="51" spans="1:9" s="24" customFormat="1" x14ac:dyDescent="0.2">
      <c r="B51" s="24" t="s">
        <v>71</v>
      </c>
      <c r="E51" s="30"/>
      <c r="F51" s="30"/>
      <c r="G51" s="30">
        <f>+G47-G49-G50</f>
        <v>-354478</v>
      </c>
      <c r="H51" s="27"/>
      <c r="I51" s="27"/>
    </row>
    <row r="57" spans="1:9" x14ac:dyDescent="0.2">
      <c r="A57" s="20">
        <v>3974</v>
      </c>
      <c r="B57" s="20" t="s">
        <v>115</v>
      </c>
      <c r="C57" s="20">
        <v>9563</v>
      </c>
      <c r="D57" s="20" t="s">
        <v>127</v>
      </c>
      <c r="E57" s="29">
        <f>22302-26759</f>
        <v>-4457</v>
      </c>
      <c r="G57" s="29">
        <f t="shared" ref="G57:G105" si="1">+E57+F57</f>
        <v>-4457</v>
      </c>
    </row>
    <row r="58" spans="1:9" x14ac:dyDescent="0.2">
      <c r="A58" s="20">
        <v>7812</v>
      </c>
      <c r="B58" s="20" t="s">
        <v>66</v>
      </c>
      <c r="C58" s="20">
        <v>9574</v>
      </c>
      <c r="D58" s="20" t="s">
        <v>127</v>
      </c>
      <c r="E58" s="29">
        <v>1</v>
      </c>
      <c r="F58" s="29">
        <f>1-2482</f>
        <v>-2481</v>
      </c>
      <c r="G58" s="29">
        <f>+E58+F58</f>
        <v>-2480</v>
      </c>
    </row>
    <row r="59" spans="1:9" x14ac:dyDescent="0.2">
      <c r="A59" s="20">
        <v>1455</v>
      </c>
      <c r="B59" s="20" t="s">
        <v>129</v>
      </c>
      <c r="C59" s="20">
        <v>9508</v>
      </c>
      <c r="D59" s="20" t="s">
        <v>127</v>
      </c>
      <c r="E59" s="29">
        <v>-2957</v>
      </c>
      <c r="F59" s="29">
        <v>2306</v>
      </c>
      <c r="G59" s="29">
        <f t="shared" si="0"/>
        <v>-651</v>
      </c>
    </row>
    <row r="60" spans="1:9" x14ac:dyDescent="0.2">
      <c r="A60" s="20">
        <v>7834</v>
      </c>
      <c r="B60" s="20" t="s">
        <v>160</v>
      </c>
      <c r="C60" s="20">
        <v>9501</v>
      </c>
      <c r="D60" s="20" t="s">
        <v>127</v>
      </c>
      <c r="E60" s="29">
        <v>-616</v>
      </c>
      <c r="F60" s="29">
        <v>8</v>
      </c>
      <c r="G60" s="29">
        <f t="shared" si="0"/>
        <v>-608</v>
      </c>
    </row>
    <row r="61" spans="1:9" s="24" customFormat="1" x14ac:dyDescent="0.2">
      <c r="E61" s="30">
        <f>SUM(E57:E60)</f>
        <v>-8029</v>
      </c>
      <c r="F61" s="30">
        <f>SUM(F57:F60)</f>
        <v>-167</v>
      </c>
      <c r="G61" s="30">
        <f>SUM(G57:G60)</f>
        <v>-8196</v>
      </c>
      <c r="H61" s="27">
        <v>5.2</v>
      </c>
      <c r="I61" s="27">
        <f>ROUND(G61*H61,2)</f>
        <v>-42619.199999999997</v>
      </c>
    </row>
    <row r="64" spans="1:9" x14ac:dyDescent="0.2">
      <c r="A64" s="20">
        <v>11687</v>
      </c>
      <c r="B64" s="20" t="s">
        <v>106</v>
      </c>
      <c r="C64" s="20">
        <v>9511</v>
      </c>
      <c r="D64" s="20" t="s">
        <v>127</v>
      </c>
      <c r="E64" s="29">
        <v>-17380</v>
      </c>
      <c r="F64" s="29">
        <f>13011+4369</f>
        <v>17380</v>
      </c>
      <c r="G64" s="29">
        <f t="shared" si="0"/>
        <v>0</v>
      </c>
    </row>
    <row r="65" spans="1:7" x14ac:dyDescent="0.2">
      <c r="A65" s="20">
        <v>6268</v>
      </c>
      <c r="B65" s="20" t="s">
        <v>96</v>
      </c>
      <c r="C65" s="20">
        <v>9525</v>
      </c>
      <c r="D65" s="20" t="s">
        <v>127</v>
      </c>
      <c r="E65" s="29">
        <v>-2480</v>
      </c>
      <c r="F65" s="29">
        <f>-1-1+2482</f>
        <v>2480</v>
      </c>
      <c r="G65" s="29">
        <f t="shared" si="0"/>
        <v>0</v>
      </c>
    </row>
    <row r="66" spans="1:7" x14ac:dyDescent="0.2">
      <c r="A66" s="20">
        <v>4084</v>
      </c>
      <c r="B66" s="20" t="s">
        <v>108</v>
      </c>
      <c r="C66" s="20">
        <v>9533</v>
      </c>
      <c r="D66" s="20" t="s">
        <v>127</v>
      </c>
      <c r="E66" s="29">
        <v>4</v>
      </c>
      <c r="F66" s="29">
        <v>-4</v>
      </c>
      <c r="G66" s="29">
        <f t="shared" si="0"/>
        <v>0</v>
      </c>
    </row>
    <row r="67" spans="1:7" x14ac:dyDescent="0.2">
      <c r="A67" s="20">
        <v>4100</v>
      </c>
      <c r="B67" s="20" t="s">
        <v>161</v>
      </c>
      <c r="C67" s="20">
        <v>9541</v>
      </c>
      <c r="D67" s="20" t="s">
        <v>127</v>
      </c>
      <c r="E67" s="29">
        <v>1</v>
      </c>
      <c r="F67" s="29">
        <v>-1</v>
      </c>
      <c r="G67" s="29">
        <f t="shared" si="0"/>
        <v>0</v>
      </c>
    </row>
    <row r="68" spans="1:7" x14ac:dyDescent="0.2">
      <c r="A68" s="20">
        <v>4101</v>
      </c>
      <c r="B68" s="20" t="s">
        <v>110</v>
      </c>
      <c r="C68" s="20">
        <v>9542</v>
      </c>
      <c r="D68" s="20" t="s">
        <v>127</v>
      </c>
      <c r="E68" s="29">
        <v>3</v>
      </c>
      <c r="F68" s="29">
        <v>-3</v>
      </c>
      <c r="G68" s="29">
        <f t="shared" si="0"/>
        <v>0</v>
      </c>
    </row>
    <row r="69" spans="1:7" x14ac:dyDescent="0.2">
      <c r="A69" s="20">
        <v>4118</v>
      </c>
      <c r="B69" s="20" t="s">
        <v>99</v>
      </c>
      <c r="C69" s="20">
        <v>9550</v>
      </c>
      <c r="D69" s="20" t="s">
        <v>127</v>
      </c>
      <c r="E69" s="29">
        <v>2</v>
      </c>
      <c r="F69" s="29">
        <v>-2</v>
      </c>
      <c r="G69" s="29">
        <f t="shared" si="0"/>
        <v>0</v>
      </c>
    </row>
    <row r="70" spans="1:7" x14ac:dyDescent="0.2">
      <c r="A70" s="20">
        <v>11128</v>
      </c>
      <c r="B70" s="20" t="s">
        <v>140</v>
      </c>
      <c r="C70" s="20">
        <v>9557</v>
      </c>
      <c r="D70" s="20" t="s">
        <v>127</v>
      </c>
      <c r="E70" s="29">
        <v>4</v>
      </c>
      <c r="F70" s="29">
        <v>-4</v>
      </c>
      <c r="G70" s="29">
        <f t="shared" si="0"/>
        <v>0</v>
      </c>
    </row>
    <row r="71" spans="1:7" x14ac:dyDescent="0.2">
      <c r="A71" s="20">
        <v>6321</v>
      </c>
      <c r="B71" s="20" t="s">
        <v>113</v>
      </c>
      <c r="C71" s="20">
        <v>9559</v>
      </c>
      <c r="D71" s="20" t="s">
        <v>127</v>
      </c>
      <c r="E71" s="29">
        <v>4369</v>
      </c>
      <c r="F71" s="29">
        <v>-4369</v>
      </c>
      <c r="G71" s="29">
        <f t="shared" si="0"/>
        <v>0</v>
      </c>
    </row>
    <row r="72" spans="1:7" x14ac:dyDescent="0.2">
      <c r="A72" s="20">
        <v>4109</v>
      </c>
      <c r="B72" s="20" t="s">
        <v>92</v>
      </c>
      <c r="C72" s="20">
        <v>9568</v>
      </c>
      <c r="D72" s="20" t="s">
        <v>127</v>
      </c>
      <c r="E72" s="29">
        <v>6875</v>
      </c>
      <c r="F72" s="29">
        <v>-6875</v>
      </c>
      <c r="G72" s="29">
        <f t="shared" si="1"/>
        <v>0</v>
      </c>
    </row>
    <row r="73" spans="1:7" x14ac:dyDescent="0.2">
      <c r="A73" s="20">
        <v>4122</v>
      </c>
      <c r="B73" s="20" t="s">
        <v>143</v>
      </c>
      <c r="C73" s="20">
        <v>9502</v>
      </c>
      <c r="D73" s="20" t="s">
        <v>127</v>
      </c>
      <c r="E73" s="29">
        <v>1</v>
      </c>
      <c r="G73" s="29">
        <f t="shared" si="1"/>
        <v>1</v>
      </c>
    </row>
    <row r="74" spans="1:7" x14ac:dyDescent="0.2">
      <c r="A74" s="20">
        <v>6369</v>
      </c>
      <c r="B74" s="20" t="s">
        <v>145</v>
      </c>
      <c r="C74" s="20">
        <v>9570</v>
      </c>
      <c r="D74" s="20" t="s">
        <v>127</v>
      </c>
      <c r="E74" s="29">
        <v>1</v>
      </c>
      <c r="G74" s="29">
        <f t="shared" si="1"/>
        <v>1</v>
      </c>
    </row>
    <row r="75" spans="1:7" x14ac:dyDescent="0.2">
      <c r="A75" s="20">
        <v>11937</v>
      </c>
      <c r="B75" s="20" t="s">
        <v>137</v>
      </c>
      <c r="C75" s="20">
        <v>9515</v>
      </c>
      <c r="D75" s="20" t="s">
        <v>127</v>
      </c>
      <c r="E75" s="29">
        <v>2</v>
      </c>
      <c r="G75" s="29">
        <f t="shared" si="1"/>
        <v>2</v>
      </c>
    </row>
    <row r="76" spans="1:7" x14ac:dyDescent="0.2">
      <c r="A76" s="20">
        <v>11905</v>
      </c>
      <c r="B76" s="20" t="s">
        <v>141</v>
      </c>
      <c r="C76" s="20">
        <v>9498</v>
      </c>
      <c r="D76" s="20" t="s">
        <v>127</v>
      </c>
      <c r="E76" s="29">
        <v>3</v>
      </c>
      <c r="G76" s="29">
        <f t="shared" si="1"/>
        <v>3</v>
      </c>
    </row>
    <row r="77" spans="1:7" x14ac:dyDescent="0.2">
      <c r="A77" s="20">
        <v>330</v>
      </c>
      <c r="B77" s="20" t="s">
        <v>165</v>
      </c>
      <c r="C77" s="20">
        <v>9519</v>
      </c>
      <c r="D77" s="20" t="s">
        <v>127</v>
      </c>
      <c r="E77" s="29">
        <v>-7161</v>
      </c>
      <c r="F77" s="29">
        <f>7161+3</f>
        <v>7164</v>
      </c>
      <c r="G77" s="29">
        <f t="shared" si="1"/>
        <v>3</v>
      </c>
    </row>
    <row r="78" spans="1:7" x14ac:dyDescent="0.2">
      <c r="A78" s="20">
        <v>11420</v>
      </c>
      <c r="B78" s="20" t="s">
        <v>97</v>
      </c>
      <c r="C78" s="20">
        <v>9545</v>
      </c>
      <c r="D78" s="20" t="s">
        <v>127</v>
      </c>
      <c r="E78" s="29">
        <v>4</v>
      </c>
      <c r="G78" s="29">
        <f t="shared" si="0"/>
        <v>4</v>
      </c>
    </row>
    <row r="79" spans="1:7" x14ac:dyDescent="0.2">
      <c r="A79" s="20">
        <v>11517</v>
      </c>
      <c r="B79" s="20" t="s">
        <v>144</v>
      </c>
      <c r="C79" s="20">
        <v>9549</v>
      </c>
      <c r="D79" s="20" t="s">
        <v>127</v>
      </c>
      <c r="E79" s="29">
        <v>4</v>
      </c>
      <c r="G79" s="29">
        <f t="shared" si="1"/>
        <v>4</v>
      </c>
    </row>
    <row r="80" spans="1:7" x14ac:dyDescent="0.2">
      <c r="A80" s="20">
        <v>11516</v>
      </c>
      <c r="B80" s="20" t="s">
        <v>95</v>
      </c>
      <c r="C80" s="20">
        <v>9547</v>
      </c>
      <c r="D80" s="20" t="s">
        <v>127</v>
      </c>
      <c r="E80" s="29">
        <v>5</v>
      </c>
      <c r="G80" s="29">
        <f t="shared" si="1"/>
        <v>5</v>
      </c>
    </row>
    <row r="81" spans="1:9" x14ac:dyDescent="0.2">
      <c r="A81" s="20">
        <v>5736</v>
      </c>
      <c r="B81" s="20" t="s">
        <v>123</v>
      </c>
      <c r="C81" s="20">
        <v>9531</v>
      </c>
      <c r="D81" s="20" t="s">
        <v>127</v>
      </c>
      <c r="E81" s="29">
        <v>12</v>
      </c>
      <c r="G81" s="29">
        <f t="shared" si="1"/>
        <v>12</v>
      </c>
    </row>
    <row r="82" spans="1:9" x14ac:dyDescent="0.2">
      <c r="A82" s="20">
        <v>655</v>
      </c>
      <c r="B82" s="20" t="s">
        <v>90</v>
      </c>
      <c r="C82" s="20">
        <v>9529</v>
      </c>
      <c r="D82" s="20" t="s">
        <v>127</v>
      </c>
      <c r="E82" s="29">
        <v>97</v>
      </c>
      <c r="G82" s="29">
        <f t="shared" si="1"/>
        <v>97</v>
      </c>
    </row>
    <row r="83" spans="1:9" x14ac:dyDescent="0.2">
      <c r="A83" s="20">
        <v>12673</v>
      </c>
      <c r="B83" s="20" t="s">
        <v>134</v>
      </c>
      <c r="C83" s="20">
        <v>9495</v>
      </c>
      <c r="D83" s="20" t="s">
        <v>127</v>
      </c>
      <c r="E83" s="29">
        <v>125</v>
      </c>
      <c r="G83" s="29">
        <f>+E83+F83</f>
        <v>125</v>
      </c>
    </row>
    <row r="84" spans="1:9" x14ac:dyDescent="0.2">
      <c r="A84" s="20">
        <v>11893</v>
      </c>
      <c r="B84" s="20" t="s">
        <v>131</v>
      </c>
      <c r="C84" s="20">
        <v>9573</v>
      </c>
      <c r="D84" s="20" t="s">
        <v>127</v>
      </c>
      <c r="E84" s="29">
        <v>235</v>
      </c>
      <c r="G84" s="29">
        <f t="shared" si="1"/>
        <v>235</v>
      </c>
    </row>
    <row r="85" spans="1:9" x14ac:dyDescent="0.2">
      <c r="A85" s="20">
        <v>12513</v>
      </c>
      <c r="B85" s="20" t="s">
        <v>181</v>
      </c>
      <c r="C85" s="20">
        <v>9572</v>
      </c>
      <c r="D85" s="20" t="s">
        <v>127</v>
      </c>
      <c r="E85" s="29">
        <v>292</v>
      </c>
      <c r="G85" s="29">
        <f t="shared" si="1"/>
        <v>292</v>
      </c>
    </row>
    <row r="86" spans="1:9" x14ac:dyDescent="0.2">
      <c r="A86" s="20">
        <v>11641</v>
      </c>
      <c r="B86" s="20" t="s">
        <v>133</v>
      </c>
      <c r="C86" s="20">
        <v>9507</v>
      </c>
      <c r="D86" s="20" t="s">
        <v>127</v>
      </c>
      <c r="E86" s="29">
        <v>712</v>
      </c>
      <c r="G86" s="29">
        <f t="shared" si="1"/>
        <v>712</v>
      </c>
    </row>
    <row r="87" spans="1:9" x14ac:dyDescent="0.2">
      <c r="A87" s="20">
        <v>2707</v>
      </c>
      <c r="B87" s="20" t="s">
        <v>150</v>
      </c>
      <c r="C87" s="20">
        <v>9503</v>
      </c>
      <c r="D87" s="20" t="s">
        <v>127</v>
      </c>
      <c r="E87" s="29">
        <v>1364</v>
      </c>
      <c r="G87" s="29">
        <f t="shared" si="1"/>
        <v>1364</v>
      </c>
    </row>
    <row r="88" spans="1:9" x14ac:dyDescent="0.2">
      <c r="A88" s="20">
        <v>1141</v>
      </c>
      <c r="B88" s="20" t="s">
        <v>151</v>
      </c>
      <c r="C88" s="20">
        <v>9500</v>
      </c>
      <c r="D88" s="20" t="s">
        <v>127</v>
      </c>
      <c r="E88" s="29">
        <v>1661</v>
      </c>
      <c r="G88" s="29">
        <f t="shared" si="1"/>
        <v>1661</v>
      </c>
    </row>
    <row r="89" spans="1:9" x14ac:dyDescent="0.2">
      <c r="A89" s="20">
        <v>12907</v>
      </c>
      <c r="B89" s="20" t="s">
        <v>166</v>
      </c>
      <c r="C89" s="20">
        <v>9516</v>
      </c>
      <c r="D89" s="20" t="s">
        <v>127</v>
      </c>
      <c r="E89" s="29">
        <v>11128</v>
      </c>
      <c r="F89" s="29">
        <f>-2306-7161</f>
        <v>-9467</v>
      </c>
      <c r="G89" s="29">
        <f t="shared" si="1"/>
        <v>1661</v>
      </c>
    </row>
    <row r="90" spans="1:9" x14ac:dyDescent="0.2">
      <c r="A90" s="20">
        <v>4120</v>
      </c>
      <c r="B90" s="20" t="s">
        <v>94</v>
      </c>
      <c r="C90" s="20">
        <v>9554</v>
      </c>
      <c r="D90" s="20" t="s">
        <v>127</v>
      </c>
      <c r="E90" s="29">
        <v>3618</v>
      </c>
      <c r="G90" s="29">
        <f t="shared" si="1"/>
        <v>3618</v>
      </c>
    </row>
    <row r="91" spans="1:9" x14ac:dyDescent="0.2">
      <c r="A91" s="20">
        <v>11533</v>
      </c>
      <c r="B91" s="20" t="s">
        <v>185</v>
      </c>
      <c r="C91" s="20">
        <v>9496</v>
      </c>
      <c r="D91" s="20" t="s">
        <v>127</v>
      </c>
      <c r="E91" s="29">
        <v>7204</v>
      </c>
      <c r="G91" s="29">
        <f t="shared" si="1"/>
        <v>7204</v>
      </c>
    </row>
    <row r="92" spans="1:9" x14ac:dyDescent="0.2">
      <c r="A92" s="20">
        <v>11793</v>
      </c>
      <c r="B92" s="20" t="s">
        <v>93</v>
      </c>
      <c r="C92" s="20">
        <v>9536</v>
      </c>
      <c r="D92" s="20" t="s">
        <v>127</v>
      </c>
      <c r="E92" s="29">
        <v>7371</v>
      </c>
      <c r="G92" s="29">
        <f t="shared" si="1"/>
        <v>7371</v>
      </c>
    </row>
    <row r="93" spans="1:9" x14ac:dyDescent="0.2">
      <c r="A93" s="20">
        <v>4997</v>
      </c>
      <c r="B93" s="20" t="s">
        <v>132</v>
      </c>
      <c r="C93" s="20">
        <v>9513</v>
      </c>
      <c r="D93" s="20" t="s">
        <v>127</v>
      </c>
      <c r="E93" s="29">
        <v>41832</v>
      </c>
      <c r="F93" s="29">
        <f>-13011-3117+6875+4</f>
        <v>-9249</v>
      </c>
      <c r="G93" s="29">
        <f t="shared" si="1"/>
        <v>32583</v>
      </c>
    </row>
    <row r="94" spans="1:9" s="24" customFormat="1" x14ac:dyDescent="0.2">
      <c r="E94" s="30">
        <f>SUM(E64:E93)</f>
        <v>59908</v>
      </c>
      <c r="F94" s="30">
        <f>SUM(F64:F93)</f>
        <v>-2950</v>
      </c>
      <c r="G94" s="30">
        <f>SUM(G64:G93)</f>
        <v>56958</v>
      </c>
      <c r="H94" s="27">
        <v>5.26</v>
      </c>
      <c r="I94" s="27">
        <f>ROUND(G94*H94,2)</f>
        <v>299599.08</v>
      </c>
    </row>
    <row r="96" spans="1:9" x14ac:dyDescent="0.2">
      <c r="A96" s="20">
        <v>11533</v>
      </c>
      <c r="B96" s="20" t="s">
        <v>185</v>
      </c>
      <c r="C96" s="20">
        <v>9497</v>
      </c>
      <c r="D96" s="20" t="s">
        <v>154</v>
      </c>
      <c r="E96" s="29">
        <v>-4182</v>
      </c>
      <c r="G96" s="29">
        <f t="shared" si="1"/>
        <v>-4182</v>
      </c>
    </row>
    <row r="97" spans="1:9" x14ac:dyDescent="0.2">
      <c r="A97" s="20">
        <v>4997</v>
      </c>
      <c r="B97" s="20" t="s">
        <v>132</v>
      </c>
      <c r="C97" s="20">
        <v>9514</v>
      </c>
      <c r="D97" s="20" t="s">
        <v>154</v>
      </c>
      <c r="E97" s="29">
        <v>-1040</v>
      </c>
      <c r="G97" s="29">
        <f t="shared" si="1"/>
        <v>-1040</v>
      </c>
    </row>
    <row r="98" spans="1:9" x14ac:dyDescent="0.2">
      <c r="A98" s="20">
        <v>12907</v>
      </c>
      <c r="B98" s="20" t="s">
        <v>166</v>
      </c>
      <c r="C98" s="20">
        <v>9517</v>
      </c>
      <c r="D98" s="20" t="s">
        <v>154</v>
      </c>
      <c r="E98" s="29">
        <v>-675</v>
      </c>
      <c r="G98" s="29">
        <f t="shared" si="1"/>
        <v>-675</v>
      </c>
    </row>
    <row r="99" spans="1:9" x14ac:dyDescent="0.2">
      <c r="A99" s="20">
        <v>6321</v>
      </c>
      <c r="B99" s="20" t="s">
        <v>113</v>
      </c>
      <c r="C99" s="20">
        <v>9560</v>
      </c>
      <c r="D99" s="20" t="s">
        <v>154</v>
      </c>
      <c r="E99" s="29">
        <v>-323</v>
      </c>
      <c r="G99" s="29">
        <f t="shared" si="1"/>
        <v>-323</v>
      </c>
    </row>
    <row r="100" spans="1:9" s="24" customFormat="1" x14ac:dyDescent="0.2">
      <c r="E100" s="30">
        <f>SUM(E96:E99)</f>
        <v>-6220</v>
      </c>
      <c r="F100" s="30">
        <f>SUM(F96:F99)</f>
        <v>0</v>
      </c>
      <c r="G100" s="30">
        <f>SUM(G96:G99)</f>
        <v>-6220</v>
      </c>
      <c r="H100" s="27">
        <v>5.2</v>
      </c>
      <c r="I100" s="27">
        <f>ROUND(G100*H100,2)</f>
        <v>-32344</v>
      </c>
    </row>
    <row r="103" spans="1:9" x14ac:dyDescent="0.2">
      <c r="A103" s="20">
        <v>330</v>
      </c>
      <c r="B103" s="20" t="s">
        <v>165</v>
      </c>
      <c r="C103" s="20">
        <v>9520</v>
      </c>
      <c r="D103" s="20" t="s">
        <v>154</v>
      </c>
      <c r="E103" s="29">
        <v>656</v>
      </c>
      <c r="G103" s="29">
        <f t="shared" si="1"/>
        <v>656</v>
      </c>
    </row>
    <row r="104" spans="1:9" x14ac:dyDescent="0.2">
      <c r="A104" s="20">
        <v>11905</v>
      </c>
      <c r="B104" s="20" t="s">
        <v>141</v>
      </c>
      <c r="C104" s="20">
        <v>9499</v>
      </c>
      <c r="D104" s="20" t="s">
        <v>154</v>
      </c>
      <c r="E104" s="29">
        <v>1290</v>
      </c>
      <c r="G104" s="29">
        <f t="shared" si="1"/>
        <v>1290</v>
      </c>
    </row>
    <row r="105" spans="1:9" x14ac:dyDescent="0.2">
      <c r="A105" s="20">
        <v>7672</v>
      </c>
      <c r="B105" s="20" t="s">
        <v>156</v>
      </c>
      <c r="C105" s="20">
        <v>9510</v>
      </c>
      <c r="D105" s="20" t="s">
        <v>154</v>
      </c>
      <c r="E105" s="29">
        <v>5391</v>
      </c>
      <c r="G105" s="29">
        <f t="shared" si="1"/>
        <v>5391</v>
      </c>
    </row>
    <row r="106" spans="1:9" s="24" customFormat="1" x14ac:dyDescent="0.2">
      <c r="E106" s="30">
        <f>SUM(E103:E105)</f>
        <v>7337</v>
      </c>
      <c r="F106" s="30">
        <f>SUM(F103:F105)</f>
        <v>0</v>
      </c>
      <c r="G106" s="30">
        <f>SUM(G103:G105)</f>
        <v>7337</v>
      </c>
      <c r="H106" s="27">
        <v>5.26</v>
      </c>
      <c r="I106" s="27">
        <f>ROUND(G106*H106,2)</f>
        <v>38592.620000000003</v>
      </c>
    </row>
    <row r="109" spans="1:9" s="24" customFormat="1" x14ac:dyDescent="0.2">
      <c r="B109" s="24" t="s">
        <v>216</v>
      </c>
      <c r="E109" s="30">
        <f>+E106+E100+E94+E61+E45+E21</f>
        <v>-897071</v>
      </c>
      <c r="F109" s="30">
        <f>+F106+F100+F94+F61+F45+F21</f>
        <v>1</v>
      </c>
      <c r="G109" s="30">
        <f>+G106+G100+G94+G61+G45+G21</f>
        <v>-897070</v>
      </c>
      <c r="H109" s="27"/>
      <c r="I109" s="27">
        <f>+I106+I100+I94+I61+I45+I21</f>
        <v>-4658841.2200000007</v>
      </c>
    </row>
    <row r="112" spans="1:9" x14ac:dyDescent="0.2">
      <c r="B112" s="20" t="s">
        <v>225</v>
      </c>
      <c r="G112" s="29">
        <f>+G100+G61+G21</f>
        <v>-995783</v>
      </c>
      <c r="I112" s="23">
        <f>+I100+I61+I21</f>
        <v>-5178071.6000000006</v>
      </c>
    </row>
    <row r="114" spans="2:9" x14ac:dyDescent="0.2">
      <c r="B114" s="20" t="s">
        <v>226</v>
      </c>
      <c r="G114" s="29">
        <f>+G106+G94+G45</f>
        <v>98713</v>
      </c>
      <c r="I114" s="23">
        <f>+I106+I94+I45</f>
        <v>519230.38</v>
      </c>
    </row>
    <row r="116" spans="2:9" x14ac:dyDescent="0.2">
      <c r="B116" s="20" t="s">
        <v>227</v>
      </c>
      <c r="G116" s="29">
        <f>SUM(G112:G115)</f>
        <v>-897070</v>
      </c>
      <c r="I116" s="23">
        <f>SUM(I112:I115)</f>
        <v>-4658841.2200000007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27</vt:i4>
      </vt:variant>
    </vt:vector>
  </HeadingPairs>
  <TitlesOfParts>
    <vt:vector size="42" baseType="lpstr">
      <vt:lpstr>Aug2000</vt:lpstr>
      <vt:lpstr>Sep2000</vt:lpstr>
      <vt:lpstr>Oct2000</vt:lpstr>
      <vt:lpstr>Nov2000</vt:lpstr>
      <vt:lpstr>Dec2000</vt:lpstr>
      <vt:lpstr>Jan2001</vt:lpstr>
      <vt:lpstr>Feb2001</vt:lpstr>
      <vt:lpstr>Mar2001</vt:lpstr>
      <vt:lpstr>Apr2001</vt:lpstr>
      <vt:lpstr>May2001</vt:lpstr>
      <vt:lpstr>Jun2001</vt:lpstr>
      <vt:lpstr>Jul2001</vt:lpstr>
      <vt:lpstr>Aug2001</vt:lpstr>
      <vt:lpstr>SummaryCashInOutStats</vt:lpstr>
      <vt:lpstr>Sheet2</vt:lpstr>
      <vt:lpstr>Apr2001!Print_Area</vt:lpstr>
      <vt:lpstr>Aug2000!Print_Area</vt:lpstr>
      <vt:lpstr>Aug2001!Print_Area</vt:lpstr>
      <vt:lpstr>Dec2000!Print_Area</vt:lpstr>
      <vt:lpstr>Feb2001!Print_Area</vt:lpstr>
      <vt:lpstr>Jan2001!Print_Area</vt:lpstr>
      <vt:lpstr>Jul2001!Print_Area</vt:lpstr>
      <vt:lpstr>Jun2001!Print_Area</vt:lpstr>
      <vt:lpstr>Mar2001!Print_Area</vt:lpstr>
      <vt:lpstr>May2001!Print_Area</vt:lpstr>
      <vt:lpstr>Nov2000!Print_Area</vt:lpstr>
      <vt:lpstr>Oct2000!Print_Area</vt:lpstr>
      <vt:lpstr>Sep2000!Print_Area</vt:lpstr>
      <vt:lpstr>SummaryCashInOutStats!Print_Area</vt:lpstr>
      <vt:lpstr>Apr2001!Print_Titles</vt:lpstr>
      <vt:lpstr>Aug2000!Print_Titles</vt:lpstr>
      <vt:lpstr>Aug2001!Print_Titles</vt:lpstr>
      <vt:lpstr>Dec2000!Print_Titles</vt:lpstr>
      <vt:lpstr>Feb2001!Print_Titles</vt:lpstr>
      <vt:lpstr>Jan2001!Print_Titles</vt:lpstr>
      <vt:lpstr>Jul2001!Print_Titles</vt:lpstr>
      <vt:lpstr>Jun2001!Print_Titles</vt:lpstr>
      <vt:lpstr>Mar2001!Print_Titles</vt:lpstr>
      <vt:lpstr>May2001!Print_Titles</vt:lpstr>
      <vt:lpstr>Nov2000!Print_Titles</vt:lpstr>
      <vt:lpstr>Oct2000!Print_Titles</vt:lpstr>
      <vt:lpstr>Sep2000!Print_Titles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Florida Gas Transmission</dc:creator>
  <cp:lastModifiedBy>Jan Havlíček</cp:lastModifiedBy>
  <cp:lastPrinted>2001-10-30T00:22:23Z</cp:lastPrinted>
  <dcterms:created xsi:type="dcterms:W3CDTF">1998-01-07T17:31:22Z</dcterms:created>
  <dcterms:modified xsi:type="dcterms:W3CDTF">2023-09-20T00:47:59Z</dcterms:modified>
</cp:coreProperties>
</file>