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F1D91F-B3BA-4920-BD09-E85124614FFC}" xr6:coauthVersionLast="47" xr6:coauthVersionMax="47" xr10:uidLastSave="{00000000-0000-0000-0000-000000000000}"/>
  <bookViews>
    <workbookView xWindow="-120" yWindow="-120" windowWidth="38640" windowHeight="15720" tabRatio="894" firstSheet="5" activeTab="11"/>
  </bookViews>
  <sheets>
    <sheet name="DataBase" sheetId="20" r:id="rId1"/>
    <sheet name="Sales&amp;Liq-COS" sheetId="2" r:id="rId2"/>
    <sheet name="Transport-OtherRev" sheetId="3" r:id="rId3"/>
    <sheet name="O&amp;M" sheetId="6" r:id="rId4"/>
    <sheet name="Trackers" sheetId="7" r:id="rId5"/>
    <sheet name="RegAmort" sheetId="9" r:id="rId6"/>
    <sheet name="TC&amp;S" sheetId="8" r:id="rId7"/>
    <sheet name="Fuel-Depr-OtherTax" sheetId="10" r:id="rId8"/>
    <sheet name="OtherInc" sheetId="11" r:id="rId9"/>
    <sheet name="IntDeduct" sheetId="12" r:id="rId10"/>
    <sheet name="DeferredTax" sheetId="14" r:id="rId11"/>
    <sheet name="IncomeState" sheetId="13" r:id="rId12"/>
    <sheet name="Source" sheetId="15" r:id="rId13"/>
  </sheets>
  <externalReferences>
    <externalReference r:id="rId14"/>
  </externalReferences>
  <definedNames>
    <definedName name="\0" localSheetId="0">'[1]Sales&amp;Liq-COS'!#REF!</definedName>
    <definedName name="\0" localSheetId="10">DeferredTax!#REF!</definedName>
    <definedName name="\0" localSheetId="7">'Fuel-Depr-OtherTax'!#REF!</definedName>
    <definedName name="\0" localSheetId="11">IncomeState!#REF!</definedName>
    <definedName name="\0" localSheetId="9">IntDeduct!$A$71</definedName>
    <definedName name="\0" localSheetId="3">'O&amp;M'!#REF!</definedName>
    <definedName name="\0" localSheetId="8">OtherInc!#REF!</definedName>
    <definedName name="\0" localSheetId="5">RegAmort!$A$63</definedName>
    <definedName name="\0" localSheetId="12">Source!#REF!</definedName>
    <definedName name="\0" localSheetId="6">'TC&amp;S'!#REF!</definedName>
    <definedName name="\0" localSheetId="4">Trackers!$A$668</definedName>
    <definedName name="\0" localSheetId="2">'Transport-OtherRev'!#REF!</definedName>
    <definedName name="\0">'Sales&amp;Liq-COS'!#REF!</definedName>
    <definedName name="\C" localSheetId="0">[1]OtherRev!#REF!</definedName>
    <definedName name="\C" localSheetId="11">IncomeState!#REF!</definedName>
    <definedName name="\C">#REF!</definedName>
    <definedName name="\P" localSheetId="0">'[1]Sales&amp;Liq-COS'!#REF!</definedName>
    <definedName name="\P" localSheetId="10">DeferredTax!$A$123:$A$128</definedName>
    <definedName name="\P" localSheetId="7">'Fuel-Depr-OtherTax'!#REF!</definedName>
    <definedName name="\P" localSheetId="11">IncomeState!$A$98:$A$99</definedName>
    <definedName name="\P" localSheetId="9">IntDeduct!$A$68</definedName>
    <definedName name="\P" localSheetId="3">'O&amp;M'!#REF!</definedName>
    <definedName name="\P" localSheetId="8">OtherInc!#REF!</definedName>
    <definedName name="\P" localSheetId="5">RegAmort!$A$60</definedName>
    <definedName name="\P" localSheetId="12">Source!$A$78</definedName>
    <definedName name="\P" localSheetId="6">'TC&amp;S'!$A$97</definedName>
    <definedName name="\P" localSheetId="4">Trackers!$A$655:$A$665</definedName>
    <definedName name="\P" localSheetId="2">'Transport-OtherRev'!#REF!</definedName>
    <definedName name="\P">'Sales&amp;Liq-COS'!#REF!</definedName>
    <definedName name="\Q" localSheetId="0">[1]IncomeState!#REF!</definedName>
    <definedName name="\Q">IncomeState!#REF!</definedName>
    <definedName name="\W" localSheetId="0">[1]OtherRev!#REF!</definedName>
    <definedName name="\W">#REF!</definedName>
    <definedName name="__123Graph_A" localSheetId="0" hidden="1">'[1]Sales&amp;Liq-COS'!#REF!</definedName>
    <definedName name="__123Graph_A" localSheetId="10" hidden="1">DeferredTax!$F$71:$F$86</definedName>
    <definedName name="__123Graph_A" localSheetId="11" hidden="1">IncomeState!$B$54:$B$57</definedName>
    <definedName name="__123Graph_A" localSheetId="9" hidden="1">IntDeduct!$C$38:$C$54</definedName>
    <definedName name="__123Graph_A" localSheetId="3" hidden="1">'O&amp;M'!$B$27:$B$27</definedName>
    <definedName name="__123Graph_A" localSheetId="5" hidden="1">RegAmort!$B$32:$B$55</definedName>
    <definedName name="__123Graph_A" localSheetId="4" hidden="1">Trackers!$B$30:$B$41</definedName>
    <definedName name="__123Graph_A" localSheetId="2" hidden="1">'Transport-OtherRev'!$C$7:$C$39</definedName>
    <definedName name="__123Graph_A" hidden="1">'Sales&amp;Liq-COS'!#REF!</definedName>
    <definedName name="__123Graph_B" localSheetId="0" hidden="1">'[1]Sales&amp;Liq-COS'!#REF!</definedName>
    <definedName name="__123Graph_B" localSheetId="10" hidden="1">DeferredTax!$G$71:$G$86</definedName>
    <definedName name="__123Graph_B" localSheetId="11" hidden="1">IncomeState!$C$54:$C$57</definedName>
    <definedName name="__123Graph_B" localSheetId="9" hidden="1">IntDeduct!$D$38:$D$54</definedName>
    <definedName name="__123Graph_B" localSheetId="3" hidden="1">'O&amp;M'!$C$27:$C$27</definedName>
    <definedName name="__123Graph_B" localSheetId="5" hidden="1">RegAmort!$C$32:$C$55</definedName>
    <definedName name="__123Graph_B" localSheetId="4" hidden="1">Trackers!$D$30:$D$41</definedName>
    <definedName name="__123Graph_B" localSheetId="2" hidden="1">'Transport-OtherRev'!$D$3:$D$41</definedName>
    <definedName name="__123Graph_B" hidden="1">'Sales&amp;Liq-COS'!#REF!</definedName>
    <definedName name="__123Graph_C" localSheetId="0" hidden="1">'[1]Sales&amp;Liq-COS'!#REF!</definedName>
    <definedName name="__123Graph_C" localSheetId="10" hidden="1">DeferredTax!$H$71:$H$86</definedName>
    <definedName name="__123Graph_C" localSheetId="11" hidden="1">IncomeState!$D$54:$D$57</definedName>
    <definedName name="__123Graph_C" localSheetId="9" hidden="1">IntDeduct!$E$38:$E$54</definedName>
    <definedName name="__123Graph_C" localSheetId="3" hidden="1">'O&amp;M'!$D$27:$D$27</definedName>
    <definedName name="__123Graph_C" localSheetId="5" hidden="1">RegAmort!$D$32:$D$55</definedName>
    <definedName name="__123Graph_C" localSheetId="4" hidden="1">Trackers!$E$30:$E$41</definedName>
    <definedName name="__123Graph_C" hidden="1">'Sales&amp;Liq-COS'!#REF!</definedName>
    <definedName name="__123Graph_D" localSheetId="0" hidden="1">'[1]Sales&amp;Liq-COS'!#REF!</definedName>
    <definedName name="__123Graph_D" localSheetId="10" hidden="1">DeferredTax!$I$71:$I$86</definedName>
    <definedName name="__123Graph_D" localSheetId="11" hidden="1">IncomeState!$E$54:$E$57</definedName>
    <definedName name="__123Graph_D" localSheetId="9" hidden="1">IntDeduct!$F$38:$F$54</definedName>
    <definedName name="__123Graph_D" localSheetId="3" hidden="1">'O&amp;M'!$E$27:$E$27</definedName>
    <definedName name="__123Graph_D" localSheetId="5" hidden="1">RegAmort!$E$32:$E$55</definedName>
    <definedName name="__123Graph_D" localSheetId="6" hidden="1">'TC&amp;S'!$C$65:$C$65</definedName>
    <definedName name="__123Graph_D" localSheetId="4" hidden="1">Trackers!$F$30:$F$41</definedName>
    <definedName name="__123Graph_D" hidden="1">'Sales&amp;Liq-COS'!#REF!</definedName>
    <definedName name="__123Graph_E" localSheetId="0" hidden="1">'[1]Sales&amp;Liq-COS'!#REF!</definedName>
    <definedName name="__123Graph_E" localSheetId="10" hidden="1">DeferredTax!$J$71:$J$86</definedName>
    <definedName name="__123Graph_E" localSheetId="11" hidden="1">IncomeState!$F$54:$F$57</definedName>
    <definedName name="__123Graph_E" localSheetId="9" hidden="1">IntDeduct!$G$38:$G$54</definedName>
    <definedName name="__123Graph_E" localSheetId="3" hidden="1">'O&amp;M'!$F$27:$F$27</definedName>
    <definedName name="__123Graph_E" localSheetId="5" hidden="1">RegAmort!$F$32:$F$55</definedName>
    <definedName name="__123Graph_E" localSheetId="4" hidden="1">Trackers!$G$30:$G$41</definedName>
    <definedName name="__123Graph_E" localSheetId="2" hidden="1">'Transport-OtherRev'!#REF!</definedName>
    <definedName name="__123Graph_E" hidden="1">'Sales&amp;Liq-COS'!#REF!</definedName>
    <definedName name="__123Graph_F" localSheetId="0" hidden="1">'[1]Sales&amp;Liq-COS'!#REF!</definedName>
    <definedName name="__123Graph_F" localSheetId="11" hidden="1">IncomeState!$G$54:$G$57</definedName>
    <definedName name="__123Graph_F" localSheetId="9" hidden="1">IntDeduct!$H$38:$H$54</definedName>
    <definedName name="__123Graph_F" localSheetId="3" hidden="1">'O&amp;M'!$G$27:$G$27</definedName>
    <definedName name="__123Graph_F" localSheetId="5" hidden="1">RegAmort!$G$32:$G$55</definedName>
    <definedName name="__123Graph_F" localSheetId="4" hidden="1">Trackers!$H$30:$H$41</definedName>
    <definedName name="__123Graph_F" localSheetId="2" hidden="1">'Transport-OtherRev'!$G$4:$G$39</definedName>
    <definedName name="__123Graph_F" hidden="1">'Sales&amp;Liq-COS'!#REF!</definedName>
    <definedName name="__123Graph_LBL_A" hidden="1">'Transport-OtherRev'!$C$3:$C$4</definedName>
    <definedName name="__123Graph_X" localSheetId="0" hidden="1">'[1]Sales&amp;Liq-COS'!#REF!</definedName>
    <definedName name="__123Graph_X" localSheetId="9" hidden="1">IntDeduct!$B$38:$B$54</definedName>
    <definedName name="__123Graph_X" localSheetId="2" hidden="1">'Transport-OtherRev'!$C$3:$N$3</definedName>
    <definedName name="__123Graph_X" hidden="1">'Sales&amp;Liq-COS'!#REF!</definedName>
    <definedName name="_0">DeferredTax!#REF!</definedName>
    <definedName name="_94ACTUALS">#REF!</definedName>
    <definedName name="_95PLAN">#REF!</definedName>
    <definedName name="_Sort" localSheetId="0" hidden="1">#REF!</definedName>
    <definedName name="_Sort" localSheetId="7" hidden="1">'Fuel-Depr-OtherTax'!$1:$4114</definedName>
    <definedName name="_Sort" localSheetId="11" hidden="1">IncomeState!$A$1:$IU$4077</definedName>
    <definedName name="_Sort" localSheetId="9" hidden="1">IntDeduct!$1:$4086</definedName>
    <definedName name="_Sort" localSheetId="8" hidden="1">OtherInc!$1:$3859</definedName>
    <definedName name="_Sort" localSheetId="5" hidden="1">RegAmort!$6:$4091</definedName>
    <definedName name="_Sort" localSheetId="6" hidden="1">'TC&amp;S'!$1:$4062</definedName>
    <definedName name="_Sort" hidden="1">#REF!</definedName>
    <definedName name="CC">#REF!</definedName>
    <definedName name="COTPL" localSheetId="0">#REF!</definedName>
    <definedName name="COTPL">#REF!</definedName>
    <definedName name="EXP">'TC&amp;S'!$A$1:$Q$66</definedName>
    <definedName name="GRIMO" localSheetId="0">#REF!</definedName>
    <definedName name="GRIMO">#REF!</definedName>
    <definedName name="INPUT.VOL" localSheetId="0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 localSheetId="0">#REF!</definedName>
    <definedName name="MARGIN">#REF!</definedName>
    <definedName name="MARGINPL" localSheetId="0">#REF!</definedName>
    <definedName name="MARGINPL">#REF!</definedName>
    <definedName name="marginpv" localSheetId="0">#REF!</definedName>
    <definedName name="marginpv">#REF!</definedName>
    <definedName name="margnplpv" localSheetId="0">#REF!</definedName>
    <definedName name="margnplpv">#REF!</definedName>
    <definedName name="NORMALPL">#REF!</definedName>
    <definedName name="O_M">'O&amp;M'!$A$1:$Q$50</definedName>
    <definedName name="OTHER" localSheetId="0">#REF!</definedName>
    <definedName name="OTHER">#REF!</definedName>
    <definedName name="OTHEREG" localSheetId="0">#REF!</definedName>
    <definedName name="OTHEREG">#REF!</definedName>
    <definedName name="otherpv" localSheetId="0">#REF!</definedName>
    <definedName name="otherpv">#REF!</definedName>
    <definedName name="OTHERREV">#REF!</definedName>
    <definedName name="OTHREVREGFUEL" localSheetId="0">#REF!</definedName>
    <definedName name="OTHREVREGFUEL">#REF!</definedName>
    <definedName name="PAGE_1">'Transport-OtherRev'!$A$1:$N$39</definedName>
    <definedName name="PAGE_ONE">'Transport-OtherRev'!$A$1:$Q$39</definedName>
    <definedName name="PAGE1" localSheetId="10">DeferredTax!$A$1:$J$85</definedName>
    <definedName name="PAGE1" localSheetId="5">RegAmort!$A$1:$Q$57</definedName>
    <definedName name="PAGE1" localSheetId="12">Source!$A$1:$R$76</definedName>
    <definedName name="PAGE1">'Transport-OtherRev'!$A$1:$Q$39</definedName>
    <definedName name="PAGE2" localSheetId="0">[1]Transport!#REF!</definedName>
    <definedName name="PAGE2" localSheetId="10">DeferredTax!$M$1:$AF$85</definedName>
    <definedName name="PAGE2">'Transport-OtherRev'!#REF!</definedName>
    <definedName name="PAGE2.1">DeferredTax!$M$87:$AF$160</definedName>
    <definedName name="PAGE3" localSheetId="0">[1]Transport!#REF!</definedName>
    <definedName name="PAGE3" localSheetId="10">DeferredTax!$AI$1:$AW$85</definedName>
    <definedName name="PAGE3">'Transport-OtherRev'!#REF!</definedName>
    <definedName name="PAGE4">'Transport-OtherRev'!$A$62:$O$108</definedName>
    <definedName name="PRINT" localSheetId="9">IntDeduct!$A$1:$Q$61</definedName>
    <definedName name="PRINT" localSheetId="8">OtherInc!$A$1:$Q$49</definedName>
    <definedName name="PRINT">'Fuel-Depr-OtherTax'!$A$1:$Q$52</definedName>
    <definedName name="_xlnm.Print_Area" localSheetId="0">DataBase!$A$4:$Y$534</definedName>
    <definedName name="_xlnm.Print_Area" localSheetId="10">DeferredTax!$AI$1:$AW$85</definedName>
    <definedName name="_xlnm.Print_Area" localSheetId="7">'Fuel-Depr-OtherTax'!$A$1:$Q$53</definedName>
    <definedName name="_xlnm.Print_Area" localSheetId="11">IncomeState!$A$96:$Q$153</definedName>
    <definedName name="_xlnm.Print_Area" localSheetId="9">IntDeduct!$A$1:$Q$61</definedName>
    <definedName name="_xlnm.Print_Area" localSheetId="3">'O&amp;M'!$A$1:$Q$54</definedName>
    <definedName name="_xlnm.Print_Area" localSheetId="8">OtherInc!$A$1:$Q$49</definedName>
    <definedName name="_xlnm.Print_Area" localSheetId="5">RegAmort!$A$1:$Q$57</definedName>
    <definedName name="_xlnm.Print_Area" localSheetId="1">'Sales&amp;Liq-COS'!$A$1:$Q$42</definedName>
    <definedName name="_xlnm.Print_Area" localSheetId="12">Source!$A$1:$R$74</definedName>
    <definedName name="_xlnm.Print_Area" localSheetId="6">'TC&amp;S'!$A$1:$Q$66</definedName>
    <definedName name="_xlnm.Print_Area" localSheetId="4">Trackers!$A$1:$P$621</definedName>
    <definedName name="_xlnm.Print_Area" localSheetId="2">'Transport-OtherRev'!$A$1:$Q$58</definedName>
    <definedName name="Print_Area_MI" localSheetId="12">Source!$A$1:$R$67</definedName>
    <definedName name="_xlnm.Print_Titles" localSheetId="0">DataBase!$A:$B,DataBase!$1:$3</definedName>
    <definedName name="PRINT1">'TC&amp;S'!$A$1:$Q$66</definedName>
    <definedName name="PRIORFCST">#REF!</definedName>
    <definedName name="PRT.1">'Sales&amp;Liq-COS'!$A$1:$Q$31</definedName>
    <definedName name="PRT.2" localSheetId="0">'[1]Sales&amp;Liq-COS'!#REF!</definedName>
    <definedName name="PRT.2" localSheetId="4">Trackers!$A$53:$P$120</definedName>
    <definedName name="PRT.2">'Sales&amp;Liq-COS'!#REF!</definedName>
    <definedName name="PRT.2B">Trackers!$A$122:$P$147</definedName>
    <definedName name="PRT.3">Trackers!$A$154:$P$204</definedName>
    <definedName name="PRT.4">Trackers!$A$207:$P$257</definedName>
    <definedName name="PRT.5">Trackers!$A$260:$P$318</definedName>
    <definedName name="PRT.6">Trackers!$A$321:$P$383</definedName>
    <definedName name="PRT.6B">Trackers!$A$386:$P$455</definedName>
    <definedName name="PRT.7">Trackers!$A$458:$P$518</definedName>
    <definedName name="PRT.8">Trackers!$A$520:$P$570</definedName>
    <definedName name="PRT.9">Trackers!$A$572:$P$621</definedName>
    <definedName name="PURCH.EXP" localSheetId="0">#REF!</definedName>
    <definedName name="PURCH.EXP">#REF!</definedName>
    <definedName name="PURCH.VOL" localSheetId="0">#REF!</definedName>
    <definedName name="PURCH.VOL">#REF!</definedName>
    <definedName name="QTRGRI" localSheetId="0">#REF!</definedName>
    <definedName name="QTRGRI">#REF!</definedName>
    <definedName name="QTRMRGN" localSheetId="0">#REF!</definedName>
    <definedName name="QTRMRGN">#REF!</definedName>
    <definedName name="QTRMRGPL" localSheetId="0">#REF!</definedName>
    <definedName name="QTRMRGPL">#REF!</definedName>
    <definedName name="QTROTHREGFUEL" localSheetId="0">#REF!</definedName>
    <definedName name="QTROTHREGFUEL">#REF!</definedName>
    <definedName name="QTRPL">#REF!</definedName>
    <definedName name="QTRTCS" localSheetId="0">#REF!</definedName>
    <definedName name="QTRTCS">#REF!</definedName>
    <definedName name="QTRTCS_OTHER" localSheetId="0">#REF!</definedName>
    <definedName name="QTRTCS_OTHER">#REF!</definedName>
    <definedName name="REPORT.1">IncomeState!$A$1:$Q$58</definedName>
    <definedName name="REPORT.10">IncomeState!$A$154:$Q$212</definedName>
    <definedName name="REPORT.11">IncomeState!$T$154:$AA$212</definedName>
    <definedName name="REPORT.12">IncomeState!$AD$154:$AQ$212</definedName>
    <definedName name="REPORT.2">IncomeState!$A$60:$Q$95</definedName>
    <definedName name="REPORT.3">IncomeState!$AD$1:$AQ$58</definedName>
    <definedName name="REPORT.7">IncomeState!$A$96:$Q$153</definedName>
    <definedName name="REPORT.8">IncomeState!$T$96:$AA$153</definedName>
    <definedName name="REPORT.9">IncomeState!$AD$96:$AQ$153</definedName>
    <definedName name="REPORT4">IncomeState!$AD$60:$AQ$95</definedName>
    <definedName name="REPORT5">IncomeState!$T$1:$AA$58</definedName>
    <definedName name="REPORT6">IncomeState!$T$60:$AA$95</definedName>
    <definedName name="SUMPL">#REF!</definedName>
    <definedName name="TCSOTHER" localSheetId="0">#REF!</definedName>
    <definedName name="TCSOTHER">#REF!</definedName>
    <definedName name="tcspv" localSheetId="0">#REF!</definedName>
    <definedName name="tcspv">#REF!</definedName>
    <definedName name="VOL">'TC&amp;S'!$S$1:$AI$66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0" l="1"/>
  <c r="B2" i="20"/>
  <c r="A3" i="20"/>
  <c r="B3" i="20"/>
  <c r="Y3" i="20"/>
  <c r="O7" i="20"/>
  <c r="U7" i="20"/>
  <c r="V7" i="20"/>
  <c r="W7" i="20"/>
  <c r="X7" i="20"/>
  <c r="Y7" i="20"/>
  <c r="O8" i="20"/>
  <c r="U8" i="20"/>
  <c r="V8" i="20"/>
  <c r="W8" i="20"/>
  <c r="X8" i="20"/>
  <c r="Y8" i="20"/>
  <c r="O9" i="20"/>
  <c r="U9" i="20"/>
  <c r="V9" i="20"/>
  <c r="W9" i="20"/>
  <c r="X9" i="20"/>
  <c r="Y9" i="20"/>
  <c r="O10" i="20"/>
  <c r="U10" i="20"/>
  <c r="V10" i="20"/>
  <c r="W10" i="20"/>
  <c r="X10" i="20"/>
  <c r="Y10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C26" i="20"/>
  <c r="D26" i="20"/>
  <c r="E26" i="20"/>
  <c r="F26" i="20"/>
  <c r="G26" i="20"/>
  <c r="H26" i="20"/>
  <c r="I26" i="20"/>
  <c r="J26" i="20"/>
  <c r="K26" i="20"/>
  <c r="L26" i="20"/>
  <c r="M26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7" i="20"/>
  <c r="U37" i="20"/>
  <c r="V37" i="20"/>
  <c r="W37" i="20"/>
  <c r="X37" i="20"/>
  <c r="Y37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2" i="20"/>
  <c r="U42" i="20"/>
  <c r="V42" i="20"/>
  <c r="W42" i="20"/>
  <c r="X42" i="20"/>
  <c r="Y42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O45" i="20"/>
  <c r="U45" i="20"/>
  <c r="V45" i="20"/>
  <c r="W45" i="20"/>
  <c r="X45" i="20"/>
  <c r="Y45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48" i="20"/>
  <c r="U48" i="20"/>
  <c r="V48" i="20"/>
  <c r="W48" i="20"/>
  <c r="X48" i="20"/>
  <c r="Y48" i="20"/>
  <c r="O49" i="20"/>
  <c r="U49" i="20"/>
  <c r="V49" i="20"/>
  <c r="W49" i="20"/>
  <c r="X49" i="20"/>
  <c r="Y49" i="20"/>
  <c r="O51" i="20"/>
  <c r="U51" i="20"/>
  <c r="V51" i="20"/>
  <c r="W51" i="20"/>
  <c r="X51" i="20"/>
  <c r="Y51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U55" i="20"/>
  <c r="V55" i="20"/>
  <c r="W55" i="20"/>
  <c r="X55" i="20"/>
  <c r="Y55" i="20"/>
  <c r="O59" i="20"/>
  <c r="U59" i="20"/>
  <c r="V59" i="20"/>
  <c r="W59" i="20"/>
  <c r="X59" i="20"/>
  <c r="Y59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5" i="20"/>
  <c r="U65" i="20"/>
  <c r="V65" i="20"/>
  <c r="W65" i="20"/>
  <c r="X65" i="20"/>
  <c r="Y65" i="20"/>
  <c r="O66" i="20"/>
  <c r="U66" i="20"/>
  <c r="V66" i="20"/>
  <c r="W66" i="20"/>
  <c r="X66" i="20"/>
  <c r="Y66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3" i="20"/>
  <c r="U73" i="20"/>
  <c r="V73" i="20"/>
  <c r="W73" i="20"/>
  <c r="X73" i="20"/>
  <c r="Y73" i="20"/>
  <c r="O74" i="20"/>
  <c r="U74" i="20"/>
  <c r="V74" i="20"/>
  <c r="W74" i="20"/>
  <c r="X74" i="20"/>
  <c r="Y74" i="20"/>
  <c r="O75" i="20"/>
  <c r="U75" i="20"/>
  <c r="V75" i="20"/>
  <c r="W75" i="20"/>
  <c r="X75" i="20"/>
  <c r="Y75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U78" i="20"/>
  <c r="V78" i="20"/>
  <c r="W78" i="20"/>
  <c r="X78" i="20"/>
  <c r="Y78" i="20"/>
  <c r="O82" i="20"/>
  <c r="U82" i="20"/>
  <c r="V82" i="20"/>
  <c r="W82" i="20"/>
  <c r="X82" i="20"/>
  <c r="Y82" i="20"/>
  <c r="O83" i="20"/>
  <c r="U83" i="20"/>
  <c r="V83" i="20"/>
  <c r="W83" i="20"/>
  <c r="X83" i="20"/>
  <c r="Y83" i="20"/>
  <c r="O84" i="20"/>
  <c r="U84" i="20"/>
  <c r="V84" i="20"/>
  <c r="W84" i="20"/>
  <c r="X84" i="20"/>
  <c r="Y84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U93" i="20"/>
  <c r="V93" i="20"/>
  <c r="W93" i="20"/>
  <c r="X93" i="20"/>
  <c r="Y93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O95" i="20"/>
  <c r="U95" i="20"/>
  <c r="V95" i="20"/>
  <c r="W95" i="20"/>
  <c r="X95" i="20"/>
  <c r="Y95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2" i="20"/>
  <c r="U102" i="20"/>
  <c r="V102" i="20"/>
  <c r="W102" i="20"/>
  <c r="X102" i="20"/>
  <c r="Y102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U104" i="20"/>
  <c r="V104" i="20"/>
  <c r="W104" i="20"/>
  <c r="X104" i="20"/>
  <c r="Y104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0" i="20"/>
  <c r="U110" i="20"/>
  <c r="V110" i="20"/>
  <c r="W110" i="20"/>
  <c r="X110" i="20"/>
  <c r="Y110" i="20"/>
  <c r="H112" i="20"/>
  <c r="I112" i="20"/>
  <c r="J112" i="20"/>
  <c r="K112" i="20"/>
  <c r="M112" i="20"/>
  <c r="N112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O118" i="20"/>
  <c r="U118" i="20"/>
  <c r="V118" i="20"/>
  <c r="W118" i="20"/>
  <c r="X118" i="20"/>
  <c r="Y118" i="20"/>
  <c r="O119" i="20"/>
  <c r="U119" i="20"/>
  <c r="V119" i="20"/>
  <c r="W119" i="20"/>
  <c r="X119" i="20"/>
  <c r="Y119" i="20"/>
  <c r="O121" i="20"/>
  <c r="U121" i="20"/>
  <c r="V121" i="20"/>
  <c r="W121" i="20"/>
  <c r="X121" i="20"/>
  <c r="Y121" i="20"/>
  <c r="O122" i="20"/>
  <c r="U122" i="20"/>
  <c r="V122" i="20"/>
  <c r="W122" i="20"/>
  <c r="X122" i="20"/>
  <c r="Y122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U126" i="20"/>
  <c r="V126" i="20"/>
  <c r="W126" i="20"/>
  <c r="X126" i="20"/>
  <c r="Y126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U128" i="20"/>
  <c r="V128" i="20"/>
  <c r="W128" i="20"/>
  <c r="X128" i="20"/>
  <c r="Y128" i="20"/>
  <c r="O134" i="20"/>
  <c r="U134" i="20"/>
  <c r="V134" i="20"/>
  <c r="W134" i="20"/>
  <c r="X134" i="20"/>
  <c r="Y134" i="20"/>
  <c r="O137" i="20"/>
  <c r="U137" i="20"/>
  <c r="V137" i="20"/>
  <c r="W137" i="20"/>
  <c r="X137" i="20"/>
  <c r="Y137" i="20"/>
  <c r="O138" i="20"/>
  <c r="U138" i="20"/>
  <c r="V138" i="20"/>
  <c r="W138" i="20"/>
  <c r="X138" i="20"/>
  <c r="Y138" i="20"/>
  <c r="O139" i="20"/>
  <c r="U139" i="20"/>
  <c r="V139" i="20"/>
  <c r="W139" i="20"/>
  <c r="X139" i="20"/>
  <c r="Y139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U142" i="20"/>
  <c r="V142" i="20"/>
  <c r="W142" i="20"/>
  <c r="X142" i="20"/>
  <c r="Y142" i="20"/>
  <c r="C144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U144" i="20"/>
  <c r="V144" i="20"/>
  <c r="W144" i="20"/>
  <c r="X144" i="20"/>
  <c r="Y144" i="20"/>
  <c r="O146" i="20"/>
  <c r="U146" i="20"/>
  <c r="V146" i="20"/>
  <c r="W146" i="20"/>
  <c r="X146" i="20"/>
  <c r="Y146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U148" i="20"/>
  <c r="V148" i="20"/>
  <c r="W148" i="20"/>
  <c r="X148" i="20"/>
  <c r="Y148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U150" i="20"/>
  <c r="V150" i="20"/>
  <c r="W150" i="20"/>
  <c r="X150" i="20"/>
  <c r="Y150" i="20"/>
  <c r="O153" i="20"/>
  <c r="U153" i="20"/>
  <c r="V153" i="20"/>
  <c r="W153" i="20"/>
  <c r="X153" i="20"/>
  <c r="Y153" i="20"/>
  <c r="O156" i="20"/>
  <c r="U156" i="20"/>
  <c r="V156" i="20"/>
  <c r="W156" i="20"/>
  <c r="X156" i="20"/>
  <c r="Y156" i="20"/>
  <c r="O157" i="20"/>
  <c r="U157" i="20"/>
  <c r="V157" i="20"/>
  <c r="W157" i="20"/>
  <c r="X157" i="20"/>
  <c r="Y157" i="20"/>
  <c r="O158" i="20"/>
  <c r="U158" i="20"/>
  <c r="V158" i="20"/>
  <c r="W158" i="20"/>
  <c r="X158" i="20"/>
  <c r="Y158" i="20"/>
  <c r="O159" i="20"/>
  <c r="U159" i="20"/>
  <c r="V159" i="20"/>
  <c r="W159" i="20"/>
  <c r="X159" i="20"/>
  <c r="Y159" i="20"/>
  <c r="O160" i="20"/>
  <c r="U160" i="20"/>
  <c r="V160" i="20"/>
  <c r="W160" i="20"/>
  <c r="X160" i="20"/>
  <c r="Y160" i="20"/>
  <c r="O161" i="20"/>
  <c r="U161" i="20"/>
  <c r="V161" i="20"/>
  <c r="W161" i="20"/>
  <c r="X161" i="20"/>
  <c r="Y161" i="20"/>
  <c r="O162" i="20"/>
  <c r="U162" i="20"/>
  <c r="V162" i="20"/>
  <c r="W162" i="20"/>
  <c r="X162" i="20"/>
  <c r="Y162" i="20"/>
  <c r="O163" i="20"/>
  <c r="U163" i="20"/>
  <c r="V163" i="20"/>
  <c r="W163" i="20"/>
  <c r="X163" i="20"/>
  <c r="Y163" i="20"/>
  <c r="O164" i="20"/>
  <c r="U164" i="20"/>
  <c r="V164" i="20"/>
  <c r="W164" i="20"/>
  <c r="X164" i="20"/>
  <c r="Y164" i="20"/>
  <c r="O165" i="20"/>
  <c r="U165" i="20"/>
  <c r="V165" i="20"/>
  <c r="W165" i="20"/>
  <c r="X165" i="20"/>
  <c r="Y165" i="20"/>
  <c r="O166" i="20"/>
  <c r="U166" i="20"/>
  <c r="V166" i="20"/>
  <c r="W166" i="20"/>
  <c r="X166" i="20"/>
  <c r="Y166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U170" i="20"/>
  <c r="V170" i="20"/>
  <c r="W170" i="20"/>
  <c r="X170" i="20"/>
  <c r="Y170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O172" i="20"/>
  <c r="U172" i="20"/>
  <c r="V172" i="20"/>
  <c r="W172" i="20"/>
  <c r="X172" i="20"/>
  <c r="Y172" i="20"/>
  <c r="O174" i="20"/>
  <c r="U174" i="20"/>
  <c r="V174" i="20"/>
  <c r="W174" i="20"/>
  <c r="X174" i="20"/>
  <c r="Y174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O182" i="20"/>
  <c r="U182" i="20"/>
  <c r="V182" i="20"/>
  <c r="W182" i="20"/>
  <c r="X182" i="20"/>
  <c r="Y182" i="20"/>
  <c r="O185" i="20"/>
  <c r="U185" i="20"/>
  <c r="V185" i="20"/>
  <c r="W185" i="20"/>
  <c r="X185" i="20"/>
  <c r="Y185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O198" i="20"/>
  <c r="U198" i="20"/>
  <c r="V198" i="20"/>
  <c r="W198" i="20"/>
  <c r="X198" i="20"/>
  <c r="Y198" i="20"/>
  <c r="O199" i="20"/>
  <c r="U199" i="20"/>
  <c r="V199" i="20"/>
  <c r="W199" i="20"/>
  <c r="X199" i="20"/>
  <c r="Y199" i="20"/>
  <c r="C200" i="20"/>
  <c r="D200" i="20"/>
  <c r="E200" i="20"/>
  <c r="F200" i="20"/>
  <c r="G200" i="20"/>
  <c r="H200" i="20"/>
  <c r="I200" i="20"/>
  <c r="J200" i="20"/>
  <c r="K200" i="20"/>
  <c r="L200" i="20"/>
  <c r="M200" i="20"/>
  <c r="N200" i="20"/>
  <c r="O200" i="20"/>
  <c r="U200" i="20"/>
  <c r="V200" i="20"/>
  <c r="W200" i="20"/>
  <c r="X200" i="20"/>
  <c r="Y200" i="20"/>
  <c r="O202" i="20"/>
  <c r="U202" i="20"/>
  <c r="V202" i="20"/>
  <c r="W202" i="20"/>
  <c r="X202" i="20"/>
  <c r="Y202" i="20"/>
  <c r="O203" i="20"/>
  <c r="U203" i="20"/>
  <c r="V203" i="20"/>
  <c r="W203" i="20"/>
  <c r="X203" i="20"/>
  <c r="Y203" i="20"/>
  <c r="O204" i="20"/>
  <c r="U204" i="20"/>
  <c r="V204" i="20"/>
  <c r="W204" i="20"/>
  <c r="X204" i="20"/>
  <c r="Y204" i="20"/>
  <c r="C205" i="20"/>
  <c r="D205" i="20"/>
  <c r="E205" i="20"/>
  <c r="F205" i="20"/>
  <c r="G205" i="20"/>
  <c r="H205" i="20"/>
  <c r="I205" i="20"/>
  <c r="J205" i="20"/>
  <c r="K205" i="20"/>
  <c r="L205" i="20"/>
  <c r="M205" i="20"/>
  <c r="N205" i="20"/>
  <c r="O205" i="20"/>
  <c r="U205" i="20"/>
  <c r="V205" i="20"/>
  <c r="W205" i="20"/>
  <c r="X205" i="20"/>
  <c r="Y205" i="20"/>
  <c r="O207" i="20"/>
  <c r="U207" i="20"/>
  <c r="V207" i="20"/>
  <c r="W207" i="20"/>
  <c r="X207" i="20"/>
  <c r="Y207" i="20"/>
  <c r="C209" i="20"/>
  <c r="D209" i="20"/>
  <c r="E209" i="20"/>
  <c r="F209" i="20"/>
  <c r="G209" i="20"/>
  <c r="H209" i="20"/>
  <c r="I209" i="20"/>
  <c r="J209" i="20"/>
  <c r="K209" i="20"/>
  <c r="L209" i="20"/>
  <c r="M209" i="20"/>
  <c r="N209" i="20"/>
  <c r="O209" i="20"/>
  <c r="U209" i="20"/>
  <c r="V209" i="20"/>
  <c r="W209" i="20"/>
  <c r="X209" i="20"/>
  <c r="Y209" i="20"/>
  <c r="O211" i="20"/>
  <c r="U211" i="20"/>
  <c r="V211" i="20"/>
  <c r="W211" i="20"/>
  <c r="X211" i="20"/>
  <c r="Y211" i="20"/>
  <c r="O212" i="20"/>
  <c r="U212" i="20"/>
  <c r="V212" i="20"/>
  <c r="W212" i="20"/>
  <c r="X212" i="20"/>
  <c r="Y212" i="20"/>
  <c r="O213" i="20"/>
  <c r="U213" i="20"/>
  <c r="V213" i="20"/>
  <c r="W213" i="20"/>
  <c r="X213" i="20"/>
  <c r="Y213" i="20"/>
  <c r="O214" i="20"/>
  <c r="U214" i="20"/>
  <c r="V214" i="20"/>
  <c r="W214" i="20"/>
  <c r="X214" i="20"/>
  <c r="Y214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C221" i="20"/>
  <c r="D221" i="20"/>
  <c r="E221" i="20"/>
  <c r="F221" i="20"/>
  <c r="G221" i="20"/>
  <c r="H221" i="20"/>
  <c r="I221" i="20"/>
  <c r="J221" i="20"/>
  <c r="K221" i="20"/>
  <c r="L221" i="20"/>
  <c r="M221" i="20"/>
  <c r="N221" i="20"/>
  <c r="O221" i="20"/>
  <c r="U221" i="20"/>
  <c r="V221" i="20"/>
  <c r="W221" i="20"/>
  <c r="X221" i="20"/>
  <c r="Y221" i="20"/>
  <c r="C222" i="20"/>
  <c r="D222" i="20"/>
  <c r="E222" i="20"/>
  <c r="F222" i="20"/>
  <c r="G222" i="20"/>
  <c r="H222" i="20"/>
  <c r="I222" i="20"/>
  <c r="J222" i="20"/>
  <c r="K222" i="20"/>
  <c r="L222" i="20"/>
  <c r="M222" i="20"/>
  <c r="N222" i="20"/>
  <c r="O222" i="20"/>
  <c r="U222" i="20"/>
  <c r="V222" i="20"/>
  <c r="W222" i="20"/>
  <c r="X222" i="20"/>
  <c r="Y222" i="20"/>
  <c r="C223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U223" i="20"/>
  <c r="V223" i="20"/>
  <c r="W223" i="20"/>
  <c r="X223" i="20"/>
  <c r="Y223" i="20"/>
  <c r="C225" i="20"/>
  <c r="D225" i="20"/>
  <c r="E225" i="20"/>
  <c r="F225" i="20"/>
  <c r="G225" i="20"/>
  <c r="H225" i="20"/>
  <c r="I225" i="20"/>
  <c r="J225" i="20"/>
  <c r="K225" i="20"/>
  <c r="L225" i="20"/>
  <c r="M225" i="20"/>
  <c r="N225" i="20"/>
  <c r="O225" i="20"/>
  <c r="U225" i="20"/>
  <c r="V225" i="20"/>
  <c r="W225" i="20"/>
  <c r="X225" i="20"/>
  <c r="Y225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C231" i="20"/>
  <c r="D231" i="20"/>
  <c r="E231" i="20"/>
  <c r="F231" i="20"/>
  <c r="G231" i="20"/>
  <c r="H231" i="20"/>
  <c r="I231" i="20"/>
  <c r="J231" i="20"/>
  <c r="K231" i="20"/>
  <c r="L231" i="20"/>
  <c r="M231" i="20"/>
  <c r="N231" i="20"/>
  <c r="O231" i="20"/>
  <c r="U231" i="20"/>
  <c r="V231" i="20"/>
  <c r="W231" i="20"/>
  <c r="X231" i="20"/>
  <c r="Y231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C235" i="20"/>
  <c r="D235" i="20"/>
  <c r="E235" i="20"/>
  <c r="F235" i="20"/>
  <c r="G235" i="20"/>
  <c r="H235" i="20"/>
  <c r="I235" i="20"/>
  <c r="J235" i="20"/>
  <c r="K235" i="20"/>
  <c r="L235" i="20"/>
  <c r="M235" i="20"/>
  <c r="N235" i="20"/>
  <c r="O235" i="20"/>
  <c r="U235" i="20"/>
  <c r="V235" i="20"/>
  <c r="W235" i="20"/>
  <c r="X235" i="20"/>
  <c r="Y235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U236" i="20"/>
  <c r="V236" i="20"/>
  <c r="W236" i="20"/>
  <c r="X236" i="20"/>
  <c r="Y236" i="20"/>
  <c r="C237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U237" i="20"/>
  <c r="V237" i="20"/>
  <c r="W237" i="20"/>
  <c r="X237" i="20"/>
  <c r="Y237" i="20"/>
  <c r="O238" i="20"/>
  <c r="U238" i="20"/>
  <c r="V238" i="20"/>
  <c r="W238" i="20"/>
  <c r="X238" i="20"/>
  <c r="Y238" i="20"/>
  <c r="O240" i="20"/>
  <c r="U240" i="20"/>
  <c r="V240" i="20"/>
  <c r="W240" i="20"/>
  <c r="X240" i="20"/>
  <c r="Y240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O246" i="20"/>
  <c r="U246" i="20"/>
  <c r="V246" i="20"/>
  <c r="W246" i="20"/>
  <c r="X246" i="20"/>
  <c r="Y246" i="20"/>
  <c r="O248" i="20"/>
  <c r="U248" i="20"/>
  <c r="V248" i="20"/>
  <c r="W248" i="20"/>
  <c r="X248" i="20"/>
  <c r="Y248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U252" i="20"/>
  <c r="V252" i="20"/>
  <c r="W252" i="20"/>
  <c r="X252" i="20"/>
  <c r="Y252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C256" i="20"/>
  <c r="D256" i="20"/>
  <c r="E256" i="20"/>
  <c r="F256" i="20"/>
  <c r="G256" i="20"/>
  <c r="H256" i="20"/>
  <c r="I256" i="20"/>
  <c r="J256" i="20"/>
  <c r="K256" i="20"/>
  <c r="L256" i="20"/>
  <c r="M256" i="20"/>
  <c r="N256" i="20"/>
  <c r="O256" i="20"/>
  <c r="U256" i="20"/>
  <c r="V256" i="20"/>
  <c r="W256" i="20"/>
  <c r="X256" i="20"/>
  <c r="Y256" i="20"/>
  <c r="O262" i="20"/>
  <c r="U262" i="20"/>
  <c r="V262" i="20"/>
  <c r="W262" i="20"/>
  <c r="X262" i="20"/>
  <c r="Y262" i="20"/>
  <c r="O264" i="20"/>
  <c r="U264" i="20"/>
  <c r="V264" i="20"/>
  <c r="W264" i="20"/>
  <c r="X264" i="20"/>
  <c r="Y264" i="20"/>
  <c r="O267" i="20"/>
  <c r="U267" i="20"/>
  <c r="V267" i="20"/>
  <c r="W267" i="20"/>
  <c r="X267" i="20"/>
  <c r="Y267" i="20"/>
  <c r="O268" i="20"/>
  <c r="U268" i="20"/>
  <c r="V268" i="20"/>
  <c r="W268" i="20"/>
  <c r="X268" i="20"/>
  <c r="Y268" i="20"/>
  <c r="O269" i="20"/>
  <c r="U269" i="20"/>
  <c r="V269" i="20"/>
  <c r="W269" i="20"/>
  <c r="X269" i="20"/>
  <c r="Y269" i="20"/>
  <c r="O270" i="20"/>
  <c r="U270" i="20"/>
  <c r="V270" i="20"/>
  <c r="W270" i="20"/>
  <c r="X270" i="20"/>
  <c r="Y270" i="20"/>
  <c r="O271" i="20"/>
  <c r="U271" i="20"/>
  <c r="V271" i="20"/>
  <c r="W271" i="20"/>
  <c r="X271" i="20"/>
  <c r="Y271" i="20"/>
  <c r="O272" i="20"/>
  <c r="U272" i="20"/>
  <c r="V272" i="20"/>
  <c r="W272" i="20"/>
  <c r="X272" i="20"/>
  <c r="Y272" i="20"/>
  <c r="O273" i="20"/>
  <c r="U273" i="20"/>
  <c r="V273" i="20"/>
  <c r="W273" i="20"/>
  <c r="X273" i="20"/>
  <c r="Y273" i="20"/>
  <c r="C274" i="20"/>
  <c r="D274" i="20"/>
  <c r="E274" i="20"/>
  <c r="F274" i="20"/>
  <c r="G274" i="20"/>
  <c r="H274" i="20"/>
  <c r="I274" i="20"/>
  <c r="J274" i="20"/>
  <c r="K274" i="20"/>
  <c r="L274" i="20"/>
  <c r="M274" i="20"/>
  <c r="N274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C277" i="20"/>
  <c r="D277" i="20"/>
  <c r="E277" i="20"/>
  <c r="F277" i="20"/>
  <c r="G277" i="20"/>
  <c r="H277" i="20"/>
  <c r="I277" i="20"/>
  <c r="J277" i="20"/>
  <c r="K277" i="20"/>
  <c r="L277" i="20"/>
  <c r="M277" i="20"/>
  <c r="N277" i="20"/>
  <c r="O277" i="20"/>
  <c r="U277" i="20"/>
  <c r="V277" i="20"/>
  <c r="W277" i="20"/>
  <c r="X277" i="20"/>
  <c r="Y277" i="20"/>
  <c r="C279" i="20"/>
  <c r="D279" i="20"/>
  <c r="E279" i="20"/>
  <c r="F279" i="20"/>
  <c r="G279" i="20"/>
  <c r="H279" i="20"/>
  <c r="I279" i="20"/>
  <c r="J279" i="20"/>
  <c r="K279" i="20"/>
  <c r="L279" i="20"/>
  <c r="M279" i="20"/>
  <c r="N279" i="20"/>
  <c r="O279" i="20"/>
  <c r="U279" i="20"/>
  <c r="V279" i="20"/>
  <c r="W279" i="20"/>
  <c r="X279" i="20"/>
  <c r="Y279" i="20"/>
  <c r="O281" i="20"/>
  <c r="U281" i="20"/>
  <c r="V281" i="20"/>
  <c r="W281" i="20"/>
  <c r="X281" i="20"/>
  <c r="Y281" i="20"/>
  <c r="C283" i="20"/>
  <c r="D283" i="20"/>
  <c r="E283" i="20"/>
  <c r="F283" i="20"/>
  <c r="G283" i="20"/>
  <c r="H283" i="20"/>
  <c r="I283" i="20"/>
  <c r="J283" i="20"/>
  <c r="K283" i="20"/>
  <c r="L283" i="20"/>
  <c r="M283" i="20"/>
  <c r="N283" i="20"/>
  <c r="O283" i="20"/>
  <c r="U283" i="20"/>
  <c r="V283" i="20"/>
  <c r="W283" i="20"/>
  <c r="X283" i="20"/>
  <c r="Y283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U285" i="20"/>
  <c r="V285" i="20"/>
  <c r="W285" i="20"/>
  <c r="X285" i="20"/>
  <c r="Y285" i="20"/>
  <c r="O289" i="20"/>
  <c r="U289" i="20"/>
  <c r="V289" i="20"/>
  <c r="W289" i="20"/>
  <c r="X289" i="20"/>
  <c r="Y289" i="20"/>
  <c r="O290" i="20"/>
  <c r="U290" i="20"/>
  <c r="V290" i="20"/>
  <c r="W290" i="20"/>
  <c r="X290" i="20"/>
  <c r="Y290" i="20"/>
  <c r="O291" i="20"/>
  <c r="U291" i="20"/>
  <c r="V291" i="20"/>
  <c r="W291" i="20"/>
  <c r="X291" i="20"/>
  <c r="Y291" i="20"/>
  <c r="C292" i="20"/>
  <c r="D292" i="20"/>
  <c r="E292" i="20"/>
  <c r="F292" i="20"/>
  <c r="G292" i="20"/>
  <c r="H292" i="20"/>
  <c r="I292" i="20"/>
  <c r="J292" i="20"/>
  <c r="K292" i="20"/>
  <c r="L292" i="20"/>
  <c r="M292" i="20"/>
  <c r="N292" i="20"/>
  <c r="O292" i="20"/>
  <c r="U292" i="20"/>
  <c r="V292" i="20"/>
  <c r="W292" i="20"/>
  <c r="X292" i="20"/>
  <c r="Y292" i="20"/>
  <c r="O294" i="20"/>
  <c r="U294" i="20"/>
  <c r="V294" i="20"/>
  <c r="W294" i="20"/>
  <c r="X294" i="20"/>
  <c r="Y294" i="20"/>
  <c r="O296" i="20"/>
  <c r="U296" i="20"/>
  <c r="V296" i="20"/>
  <c r="W296" i="20"/>
  <c r="X296" i="20"/>
  <c r="Y296" i="20"/>
  <c r="C298" i="20"/>
  <c r="D298" i="20"/>
  <c r="E298" i="20"/>
  <c r="F298" i="20"/>
  <c r="G298" i="20"/>
  <c r="H298" i="20"/>
  <c r="I298" i="20"/>
  <c r="J298" i="20"/>
  <c r="K298" i="20"/>
  <c r="L298" i="20"/>
  <c r="M298" i="20"/>
  <c r="N298" i="20"/>
  <c r="O298" i="20"/>
  <c r="U298" i="20"/>
  <c r="V298" i="20"/>
  <c r="W298" i="20"/>
  <c r="X298" i="20"/>
  <c r="Y298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8" i="20"/>
  <c r="U308" i="20"/>
  <c r="V308" i="20"/>
  <c r="W308" i="20"/>
  <c r="X308" i="20"/>
  <c r="Y308" i="20"/>
  <c r="O310" i="20"/>
  <c r="U310" i="20"/>
  <c r="V310" i="20"/>
  <c r="W310" i="20"/>
  <c r="X310" i="20"/>
  <c r="Y310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U312" i="20"/>
  <c r="V312" i="20"/>
  <c r="W312" i="20"/>
  <c r="X312" i="20"/>
  <c r="Y312" i="20"/>
  <c r="O316" i="20"/>
  <c r="U316" i="20"/>
  <c r="V316" i="20"/>
  <c r="W316" i="20"/>
  <c r="X316" i="20"/>
  <c r="Y316" i="20"/>
  <c r="O317" i="20"/>
  <c r="U317" i="20"/>
  <c r="V317" i="20"/>
  <c r="W317" i="20"/>
  <c r="X317" i="20"/>
  <c r="Y317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C323" i="20"/>
  <c r="D323" i="20"/>
  <c r="E323" i="20"/>
  <c r="F323" i="20"/>
  <c r="G323" i="20"/>
  <c r="H323" i="20"/>
  <c r="I323" i="20"/>
  <c r="J323" i="20"/>
  <c r="K323" i="20"/>
  <c r="L323" i="20"/>
  <c r="M323" i="20"/>
  <c r="N323" i="20"/>
  <c r="O323" i="20"/>
  <c r="U323" i="20"/>
  <c r="V323" i="20"/>
  <c r="W323" i="20"/>
  <c r="X323" i="20"/>
  <c r="Y323" i="20"/>
  <c r="O325" i="20"/>
  <c r="U325" i="20"/>
  <c r="V325" i="20"/>
  <c r="W325" i="20"/>
  <c r="X325" i="20"/>
  <c r="Y325" i="20"/>
  <c r="O327" i="20"/>
  <c r="U327" i="20"/>
  <c r="V327" i="20"/>
  <c r="W327" i="20"/>
  <c r="X327" i="20"/>
  <c r="Y327" i="20"/>
  <c r="C329" i="20"/>
  <c r="D329" i="20"/>
  <c r="E329" i="20"/>
  <c r="F329" i="20"/>
  <c r="G329" i="20"/>
  <c r="H329" i="20"/>
  <c r="I329" i="20"/>
  <c r="J329" i="20"/>
  <c r="K329" i="20"/>
  <c r="L329" i="20"/>
  <c r="M329" i="20"/>
  <c r="N329" i="20"/>
  <c r="O329" i="20"/>
  <c r="U329" i="20"/>
  <c r="V329" i="20"/>
  <c r="W329" i="20"/>
  <c r="X329" i="20"/>
  <c r="Y329" i="20"/>
  <c r="C331" i="20"/>
  <c r="D331" i="20"/>
  <c r="E331" i="20"/>
  <c r="F331" i="20"/>
  <c r="G331" i="20"/>
  <c r="H331" i="20"/>
  <c r="I331" i="20"/>
  <c r="J331" i="20"/>
  <c r="K331" i="20"/>
  <c r="L331" i="20"/>
  <c r="M331" i="20"/>
  <c r="N331" i="20"/>
  <c r="O331" i="20"/>
  <c r="U331" i="20"/>
  <c r="V331" i="20"/>
  <c r="W331" i="20"/>
  <c r="X331" i="20"/>
  <c r="Y331" i="20"/>
  <c r="O334" i="20"/>
  <c r="U334" i="20"/>
  <c r="V334" i="20"/>
  <c r="W334" i="20"/>
  <c r="X334" i="20"/>
  <c r="Y334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O338" i="20"/>
  <c r="U338" i="20"/>
  <c r="V338" i="20"/>
  <c r="W338" i="20"/>
  <c r="X338" i="20"/>
  <c r="Y338" i="20"/>
  <c r="O339" i="20"/>
  <c r="U339" i="20"/>
  <c r="V339" i="20"/>
  <c r="W339" i="20"/>
  <c r="X339" i="20"/>
  <c r="Y339" i="20"/>
  <c r="O340" i="20"/>
  <c r="U340" i="20"/>
  <c r="V340" i="20"/>
  <c r="W340" i="20"/>
  <c r="X340" i="20"/>
  <c r="Y340" i="20"/>
  <c r="C342" i="20"/>
  <c r="D342" i="20"/>
  <c r="E342" i="20"/>
  <c r="F342" i="20"/>
  <c r="G342" i="20"/>
  <c r="H342" i="20"/>
  <c r="I342" i="20"/>
  <c r="J342" i="20"/>
  <c r="K342" i="20"/>
  <c r="L342" i="20"/>
  <c r="M342" i="20"/>
  <c r="N342" i="20"/>
  <c r="O342" i="20"/>
  <c r="U342" i="20"/>
  <c r="V342" i="20"/>
  <c r="W342" i="20"/>
  <c r="X342" i="20"/>
  <c r="Y342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U344" i="20"/>
  <c r="V344" i="20"/>
  <c r="W344" i="20"/>
  <c r="X344" i="20"/>
  <c r="Y344" i="20"/>
  <c r="C345" i="20"/>
  <c r="D345" i="20"/>
  <c r="E345" i="20"/>
  <c r="F345" i="20"/>
  <c r="G345" i="20"/>
  <c r="H345" i="20"/>
  <c r="I345" i="20"/>
  <c r="J345" i="20"/>
  <c r="K345" i="20"/>
  <c r="L345" i="20"/>
  <c r="M345" i="20"/>
  <c r="N345" i="20"/>
  <c r="O345" i="20"/>
  <c r="U345" i="20"/>
  <c r="V345" i="20"/>
  <c r="W345" i="20"/>
  <c r="X345" i="20"/>
  <c r="Y345" i="20"/>
  <c r="C346" i="20"/>
  <c r="D346" i="20"/>
  <c r="E346" i="20"/>
  <c r="F346" i="20"/>
  <c r="G346" i="20"/>
  <c r="H346" i="20"/>
  <c r="I346" i="20"/>
  <c r="J346" i="20"/>
  <c r="K346" i="20"/>
  <c r="L346" i="20"/>
  <c r="M346" i="20"/>
  <c r="N346" i="20"/>
  <c r="O346" i="20"/>
  <c r="U346" i="20"/>
  <c r="V346" i="20"/>
  <c r="W346" i="20"/>
  <c r="X346" i="20"/>
  <c r="Y346" i="20"/>
  <c r="C347" i="20"/>
  <c r="D347" i="20"/>
  <c r="E347" i="20"/>
  <c r="F347" i="20"/>
  <c r="G347" i="20"/>
  <c r="H347" i="20"/>
  <c r="I347" i="20"/>
  <c r="J347" i="20"/>
  <c r="K347" i="20"/>
  <c r="L347" i="20"/>
  <c r="M347" i="20"/>
  <c r="N347" i="20"/>
  <c r="O347" i="20"/>
  <c r="U347" i="20"/>
  <c r="V347" i="20"/>
  <c r="W347" i="20"/>
  <c r="X347" i="20"/>
  <c r="Y347" i="20"/>
  <c r="C348" i="20"/>
  <c r="D348" i="20"/>
  <c r="E348" i="20"/>
  <c r="F348" i="20"/>
  <c r="G348" i="20"/>
  <c r="H348" i="20"/>
  <c r="I348" i="20"/>
  <c r="J348" i="20"/>
  <c r="K348" i="20"/>
  <c r="L348" i="20"/>
  <c r="M348" i="20"/>
  <c r="N348" i="20"/>
  <c r="O348" i="20"/>
  <c r="U348" i="20"/>
  <c r="V348" i="20"/>
  <c r="W348" i="20"/>
  <c r="X348" i="20"/>
  <c r="Y348" i="20"/>
  <c r="C349" i="20"/>
  <c r="D349" i="20"/>
  <c r="E349" i="20"/>
  <c r="F349" i="20"/>
  <c r="G349" i="20"/>
  <c r="H349" i="20"/>
  <c r="I349" i="20"/>
  <c r="J349" i="20"/>
  <c r="K349" i="20"/>
  <c r="L349" i="20"/>
  <c r="M349" i="20"/>
  <c r="N349" i="20"/>
  <c r="O349" i="20"/>
  <c r="U349" i="20"/>
  <c r="V349" i="20"/>
  <c r="W349" i="20"/>
  <c r="X349" i="20"/>
  <c r="Y349" i="20"/>
  <c r="C350" i="20"/>
  <c r="D350" i="20"/>
  <c r="E350" i="20"/>
  <c r="F350" i="20"/>
  <c r="G350" i="20"/>
  <c r="H350" i="20"/>
  <c r="I350" i="20"/>
  <c r="J350" i="20"/>
  <c r="K350" i="20"/>
  <c r="L350" i="20"/>
  <c r="M350" i="20"/>
  <c r="N350" i="20"/>
  <c r="O350" i="20"/>
  <c r="U350" i="20"/>
  <c r="V350" i="20"/>
  <c r="W350" i="20"/>
  <c r="X350" i="20"/>
  <c r="Y350" i="20"/>
  <c r="C351" i="20"/>
  <c r="D351" i="20"/>
  <c r="E351" i="20"/>
  <c r="F351" i="20"/>
  <c r="G351" i="20"/>
  <c r="H351" i="20"/>
  <c r="I351" i="20"/>
  <c r="J351" i="20"/>
  <c r="K351" i="20"/>
  <c r="L351" i="20"/>
  <c r="M351" i="20"/>
  <c r="N351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O353" i="20"/>
  <c r="U353" i="20"/>
  <c r="V353" i="20"/>
  <c r="W353" i="20"/>
  <c r="X353" i="20"/>
  <c r="Y353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U355" i="20"/>
  <c r="V355" i="20"/>
  <c r="W355" i="20"/>
  <c r="X355" i="20"/>
  <c r="Y355" i="20"/>
  <c r="C357" i="20"/>
  <c r="D357" i="20"/>
  <c r="E357" i="20"/>
  <c r="F357" i="20"/>
  <c r="G357" i="20"/>
  <c r="H357" i="20"/>
  <c r="I357" i="20"/>
  <c r="J357" i="20"/>
  <c r="K357" i="20"/>
  <c r="L357" i="20"/>
  <c r="M357" i="20"/>
  <c r="N357" i="20"/>
  <c r="O357" i="20"/>
  <c r="U357" i="20"/>
  <c r="V357" i="20"/>
  <c r="W357" i="20"/>
  <c r="X357" i="20"/>
  <c r="Y357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59" i="20"/>
  <c r="D359" i="20"/>
  <c r="E359" i="20"/>
  <c r="F359" i="20"/>
  <c r="G359" i="20"/>
  <c r="H359" i="20"/>
  <c r="I359" i="20"/>
  <c r="J359" i="20"/>
  <c r="K359" i="20"/>
  <c r="L359" i="20"/>
  <c r="M359" i="20"/>
  <c r="N359" i="20"/>
  <c r="O359" i="20"/>
  <c r="U359" i="20"/>
  <c r="V359" i="20"/>
  <c r="W359" i="20"/>
  <c r="X359" i="20"/>
  <c r="Y359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U360" i="20"/>
  <c r="V360" i="20"/>
  <c r="W360" i="20"/>
  <c r="X360" i="20"/>
  <c r="Y360" i="20"/>
  <c r="C362" i="20"/>
  <c r="D362" i="20"/>
  <c r="E362" i="20"/>
  <c r="F362" i="20"/>
  <c r="G362" i="20"/>
  <c r="H362" i="20"/>
  <c r="I362" i="20"/>
  <c r="J362" i="20"/>
  <c r="K362" i="20"/>
  <c r="L362" i="20"/>
  <c r="M362" i="20"/>
  <c r="N362" i="20"/>
  <c r="O362" i="20"/>
  <c r="U362" i="20"/>
  <c r="V362" i="20"/>
  <c r="W362" i="20"/>
  <c r="X362" i="20"/>
  <c r="Y362" i="20"/>
  <c r="C364" i="20"/>
  <c r="D364" i="20"/>
  <c r="E364" i="20"/>
  <c r="F364" i="20"/>
  <c r="G364" i="20"/>
  <c r="H364" i="20"/>
  <c r="I364" i="20"/>
  <c r="J364" i="20"/>
  <c r="K364" i="20"/>
  <c r="L364" i="20"/>
  <c r="M364" i="20"/>
  <c r="N364" i="20"/>
  <c r="O364" i="20"/>
  <c r="U364" i="20"/>
  <c r="V364" i="20"/>
  <c r="W364" i="20"/>
  <c r="X364" i="20"/>
  <c r="Y364" i="20"/>
  <c r="C366" i="20"/>
  <c r="D366" i="20"/>
  <c r="E366" i="20"/>
  <c r="F366" i="20"/>
  <c r="G366" i="20"/>
  <c r="H366" i="20"/>
  <c r="I366" i="20"/>
  <c r="J366" i="20"/>
  <c r="K366" i="20"/>
  <c r="L366" i="20"/>
  <c r="M366" i="20"/>
  <c r="N366" i="20"/>
  <c r="O366" i="20"/>
  <c r="U366" i="20"/>
  <c r="V366" i="20"/>
  <c r="W366" i="20"/>
  <c r="X366" i="20"/>
  <c r="Y366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U367" i="20"/>
  <c r="V367" i="20"/>
  <c r="W367" i="20"/>
  <c r="X367" i="20"/>
  <c r="Y367" i="20"/>
  <c r="C368" i="20"/>
  <c r="D368" i="20"/>
  <c r="E368" i="20"/>
  <c r="F368" i="20"/>
  <c r="G368" i="20"/>
  <c r="H368" i="20"/>
  <c r="I368" i="20"/>
  <c r="J368" i="20"/>
  <c r="K368" i="20"/>
  <c r="L368" i="20"/>
  <c r="M368" i="20"/>
  <c r="N368" i="20"/>
  <c r="O368" i="20"/>
  <c r="U368" i="20"/>
  <c r="V368" i="20"/>
  <c r="W368" i="20"/>
  <c r="X368" i="20"/>
  <c r="Y368" i="20"/>
  <c r="C370" i="20"/>
  <c r="D370" i="20"/>
  <c r="E370" i="20"/>
  <c r="F370" i="20"/>
  <c r="G370" i="20"/>
  <c r="H370" i="20"/>
  <c r="I370" i="20"/>
  <c r="J370" i="20"/>
  <c r="K370" i="20"/>
  <c r="L370" i="20"/>
  <c r="M370" i="20"/>
  <c r="N370" i="20"/>
  <c r="O370" i="20"/>
  <c r="U370" i="20"/>
  <c r="V370" i="20"/>
  <c r="W370" i="20"/>
  <c r="X370" i="20"/>
  <c r="Y370" i="20"/>
  <c r="O372" i="20"/>
  <c r="U372" i="20"/>
  <c r="V372" i="20"/>
  <c r="W372" i="20"/>
  <c r="X372" i="20"/>
  <c r="Y372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1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U401" i="20"/>
  <c r="V401" i="20"/>
  <c r="W401" i="20"/>
  <c r="X401" i="20"/>
  <c r="Y401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C404" i="20"/>
  <c r="D404" i="20"/>
  <c r="E404" i="20"/>
  <c r="F404" i="20"/>
  <c r="G404" i="20"/>
  <c r="H404" i="20"/>
  <c r="I404" i="20"/>
  <c r="J404" i="20"/>
  <c r="K404" i="20"/>
  <c r="L404" i="20"/>
  <c r="M404" i="20"/>
  <c r="N404" i="20"/>
  <c r="O404" i="20"/>
  <c r="U404" i="20"/>
  <c r="V404" i="20"/>
  <c r="W404" i="20"/>
  <c r="X404" i="20"/>
  <c r="Y404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U407" i="20"/>
  <c r="V407" i="20"/>
  <c r="W407" i="20"/>
  <c r="X407" i="20"/>
  <c r="Y407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U408" i="20"/>
  <c r="V408" i="20"/>
  <c r="W408" i="20"/>
  <c r="X408" i="20"/>
  <c r="Y408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U409" i="20"/>
  <c r="V409" i="20"/>
  <c r="W409" i="20"/>
  <c r="X409" i="20"/>
  <c r="Y409" i="20"/>
  <c r="C410" i="20"/>
  <c r="D410" i="20"/>
  <c r="E410" i="20"/>
  <c r="F410" i="20"/>
  <c r="G410" i="20"/>
  <c r="H410" i="20"/>
  <c r="I410" i="20"/>
  <c r="J410" i="20"/>
  <c r="K410" i="20"/>
  <c r="L410" i="20"/>
  <c r="M410" i="20"/>
  <c r="N410" i="20"/>
  <c r="O410" i="20"/>
  <c r="U410" i="20"/>
  <c r="V410" i="20"/>
  <c r="W410" i="20"/>
  <c r="X410" i="20"/>
  <c r="Y410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U412" i="20"/>
  <c r="V412" i="20"/>
  <c r="W412" i="20"/>
  <c r="X412" i="20"/>
  <c r="Y412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29" i="20"/>
  <c r="D429" i="20"/>
  <c r="E429" i="20"/>
  <c r="F429" i="20"/>
  <c r="G429" i="20"/>
  <c r="H429" i="20"/>
  <c r="I429" i="20"/>
  <c r="J429" i="20"/>
  <c r="K429" i="20"/>
  <c r="L429" i="20"/>
  <c r="M429" i="20"/>
  <c r="N429" i="20"/>
  <c r="O429" i="20"/>
  <c r="U429" i="20"/>
  <c r="V429" i="20"/>
  <c r="W429" i="20"/>
  <c r="X429" i="20"/>
  <c r="Y429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U430" i="20"/>
  <c r="V430" i="20"/>
  <c r="W430" i="20"/>
  <c r="X430" i="20"/>
  <c r="Y430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U436" i="20"/>
  <c r="V436" i="20"/>
  <c r="W436" i="20"/>
  <c r="X436" i="20"/>
  <c r="Y436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U437" i="20"/>
  <c r="V437" i="20"/>
  <c r="W437" i="20"/>
  <c r="X437" i="20"/>
  <c r="Y437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U443" i="20"/>
  <c r="V443" i="20"/>
  <c r="W443" i="20"/>
  <c r="X443" i="20"/>
  <c r="Y443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U444" i="20"/>
  <c r="V444" i="20"/>
  <c r="W444" i="20"/>
  <c r="X444" i="20"/>
  <c r="Y444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O455" i="20"/>
  <c r="U455" i="20"/>
  <c r="V455" i="20"/>
  <c r="W455" i="20"/>
  <c r="X455" i="20"/>
  <c r="Y455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C462" i="20"/>
  <c r="D462" i="20"/>
  <c r="E462" i="20"/>
  <c r="F462" i="20"/>
  <c r="G462" i="20"/>
  <c r="H462" i="20"/>
  <c r="I462" i="20"/>
  <c r="J462" i="20"/>
  <c r="K462" i="20"/>
  <c r="L462" i="20"/>
  <c r="M462" i="20"/>
  <c r="N462" i="20"/>
  <c r="O462" i="20"/>
  <c r="U462" i="20"/>
  <c r="V462" i="20"/>
  <c r="W462" i="20"/>
  <c r="X462" i="20"/>
  <c r="Y462" i="20"/>
  <c r="O468" i="20"/>
  <c r="U468" i="20"/>
  <c r="V468" i="20"/>
  <c r="W468" i="20"/>
  <c r="X468" i="20"/>
  <c r="Y468" i="20"/>
  <c r="O469" i="20"/>
  <c r="U469" i="20"/>
  <c r="V469" i="20"/>
  <c r="W469" i="20"/>
  <c r="X469" i="20"/>
  <c r="Y469" i="20"/>
  <c r="O470" i="20"/>
  <c r="U470" i="20"/>
  <c r="V470" i="20"/>
  <c r="W470" i="20"/>
  <c r="X470" i="20"/>
  <c r="Y470" i="20"/>
  <c r="O471" i="20"/>
  <c r="U471" i="20"/>
  <c r="V471" i="20"/>
  <c r="W471" i="20"/>
  <c r="X471" i="20"/>
  <c r="Y471" i="20"/>
  <c r="O472" i="20"/>
  <c r="U472" i="20"/>
  <c r="V472" i="20"/>
  <c r="W472" i="20"/>
  <c r="X472" i="20"/>
  <c r="Y472" i="20"/>
  <c r="O473" i="20"/>
  <c r="U473" i="20"/>
  <c r="V473" i="20"/>
  <c r="W473" i="20"/>
  <c r="X473" i="20"/>
  <c r="Y473" i="20"/>
  <c r="O474" i="20"/>
  <c r="U474" i="20"/>
  <c r="V474" i="20"/>
  <c r="W474" i="20"/>
  <c r="X474" i="20"/>
  <c r="Y474" i="20"/>
  <c r="O475" i="20"/>
  <c r="U475" i="20"/>
  <c r="V475" i="20"/>
  <c r="W475" i="20"/>
  <c r="X475" i="20"/>
  <c r="Y475" i="20"/>
  <c r="O476" i="20"/>
  <c r="U476" i="20"/>
  <c r="V476" i="20"/>
  <c r="W476" i="20"/>
  <c r="X476" i="20"/>
  <c r="Y476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O477" i="20"/>
  <c r="U477" i="20"/>
  <c r="V477" i="20"/>
  <c r="W477" i="20"/>
  <c r="X477" i="20"/>
  <c r="Y477" i="20"/>
  <c r="O480" i="20"/>
  <c r="U480" i="20"/>
  <c r="V480" i="20"/>
  <c r="W480" i="20"/>
  <c r="X480" i="20"/>
  <c r="Y480" i="20"/>
  <c r="O481" i="20"/>
  <c r="U481" i="20"/>
  <c r="V481" i="20"/>
  <c r="W481" i="20"/>
  <c r="X481" i="20"/>
  <c r="Y481" i="20"/>
  <c r="O482" i="20"/>
  <c r="U482" i="20"/>
  <c r="V482" i="20"/>
  <c r="W482" i="20"/>
  <c r="X482" i="20"/>
  <c r="Y482" i="20"/>
  <c r="O483" i="20"/>
  <c r="U483" i="20"/>
  <c r="V483" i="20"/>
  <c r="W483" i="20"/>
  <c r="X483" i="20"/>
  <c r="Y483" i="20"/>
  <c r="O484" i="20"/>
  <c r="U484" i="20"/>
  <c r="V484" i="20"/>
  <c r="W484" i="20"/>
  <c r="X484" i="20"/>
  <c r="Y484" i="20"/>
  <c r="O485" i="20"/>
  <c r="U485" i="20"/>
  <c r="V485" i="20"/>
  <c r="W485" i="20"/>
  <c r="X485" i="20"/>
  <c r="Y485" i="20"/>
  <c r="O486" i="20"/>
  <c r="U486" i="20"/>
  <c r="V486" i="20"/>
  <c r="W486" i="20"/>
  <c r="X486" i="20"/>
  <c r="Y486" i="20"/>
  <c r="O487" i="20"/>
  <c r="U487" i="20"/>
  <c r="V487" i="20"/>
  <c r="W487" i="20"/>
  <c r="X487" i="20"/>
  <c r="Y487" i="20"/>
  <c r="O488" i="20"/>
  <c r="U488" i="20"/>
  <c r="V488" i="20"/>
  <c r="W488" i="20"/>
  <c r="X488" i="20"/>
  <c r="Y488" i="20"/>
  <c r="O489" i="20"/>
  <c r="U489" i="20"/>
  <c r="V489" i="20"/>
  <c r="W489" i="20"/>
  <c r="X489" i="20"/>
  <c r="Y489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O490" i="20"/>
  <c r="U490" i="20"/>
  <c r="V490" i="20"/>
  <c r="W490" i="20"/>
  <c r="X490" i="20"/>
  <c r="Y490" i="20"/>
  <c r="C492" i="20"/>
  <c r="D492" i="20"/>
  <c r="E492" i="20"/>
  <c r="F492" i="20"/>
  <c r="G492" i="20"/>
  <c r="H492" i="20"/>
  <c r="I492" i="20"/>
  <c r="J492" i="20"/>
  <c r="K492" i="20"/>
  <c r="L492" i="20"/>
  <c r="M492" i="20"/>
  <c r="N492" i="20"/>
  <c r="O492" i="20"/>
  <c r="U492" i="20"/>
  <c r="V492" i="20"/>
  <c r="W492" i="20"/>
  <c r="X492" i="20"/>
  <c r="Y492" i="20"/>
  <c r="O495" i="20"/>
  <c r="U495" i="20"/>
  <c r="V495" i="20"/>
  <c r="W495" i="20"/>
  <c r="X495" i="20"/>
  <c r="Y495" i="20"/>
  <c r="O496" i="20"/>
  <c r="U496" i="20"/>
  <c r="V496" i="20"/>
  <c r="W496" i="20"/>
  <c r="X496" i="20"/>
  <c r="Y496" i="20"/>
  <c r="C497" i="20"/>
  <c r="D497" i="20"/>
  <c r="E497" i="20"/>
  <c r="F497" i="20"/>
  <c r="G497" i="20"/>
  <c r="H497" i="20"/>
  <c r="I497" i="20"/>
  <c r="J497" i="20"/>
  <c r="K497" i="20"/>
  <c r="L497" i="20"/>
  <c r="M497" i="20"/>
  <c r="N497" i="20"/>
  <c r="O497" i="20"/>
  <c r="U497" i="20"/>
  <c r="V497" i="20"/>
  <c r="W497" i="20"/>
  <c r="X497" i="20"/>
  <c r="Y497" i="20"/>
  <c r="C499" i="20"/>
  <c r="D499" i="20"/>
  <c r="E499" i="20"/>
  <c r="F499" i="20"/>
  <c r="G499" i="20"/>
  <c r="H499" i="20"/>
  <c r="I499" i="20"/>
  <c r="J499" i="20"/>
  <c r="K499" i="20"/>
  <c r="L499" i="20"/>
  <c r="M499" i="20"/>
  <c r="N499" i="20"/>
  <c r="O499" i="20"/>
  <c r="U499" i="20"/>
  <c r="V499" i="20"/>
  <c r="W499" i="20"/>
  <c r="X499" i="20"/>
  <c r="Y499" i="20"/>
  <c r="O502" i="20"/>
  <c r="U502" i="20"/>
  <c r="V502" i="20"/>
  <c r="W502" i="20"/>
  <c r="X502" i="20"/>
  <c r="Y502" i="20"/>
  <c r="O503" i="20"/>
  <c r="U503" i="20"/>
  <c r="V503" i="20"/>
  <c r="W503" i="20"/>
  <c r="X503" i="20"/>
  <c r="Y503" i="20"/>
  <c r="C504" i="20"/>
  <c r="D504" i="20"/>
  <c r="E504" i="20"/>
  <c r="F504" i="20"/>
  <c r="G504" i="20"/>
  <c r="H504" i="20"/>
  <c r="I504" i="20"/>
  <c r="J504" i="20"/>
  <c r="K504" i="20"/>
  <c r="L504" i="20"/>
  <c r="M504" i="20"/>
  <c r="N504" i="20"/>
  <c r="O504" i="20"/>
  <c r="U504" i="20"/>
  <c r="V504" i="20"/>
  <c r="W504" i="20"/>
  <c r="X504" i="20"/>
  <c r="Y504" i="20"/>
  <c r="O506" i="20"/>
  <c r="U506" i="20"/>
  <c r="V506" i="20"/>
  <c r="W506" i="20"/>
  <c r="X506" i="20"/>
  <c r="Y506" i="20"/>
  <c r="O507" i="20"/>
  <c r="U507" i="20"/>
  <c r="V507" i="20"/>
  <c r="W507" i="20"/>
  <c r="X507" i="20"/>
  <c r="Y507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O508" i="20"/>
  <c r="U508" i="20"/>
  <c r="V508" i="20"/>
  <c r="W508" i="20"/>
  <c r="X508" i="20"/>
  <c r="Y508" i="20"/>
  <c r="C510" i="20"/>
  <c r="D510" i="20"/>
  <c r="E510" i="20"/>
  <c r="F510" i="20"/>
  <c r="G510" i="20"/>
  <c r="H510" i="20"/>
  <c r="I510" i="20"/>
  <c r="J510" i="20"/>
  <c r="K510" i="20"/>
  <c r="L510" i="20"/>
  <c r="M510" i="20"/>
  <c r="N510" i="20"/>
  <c r="O510" i="20"/>
  <c r="U510" i="20"/>
  <c r="V510" i="20"/>
  <c r="W510" i="20"/>
  <c r="X510" i="20"/>
  <c r="Y510" i="20"/>
  <c r="O513" i="20"/>
  <c r="U513" i="20"/>
  <c r="V513" i="20"/>
  <c r="W513" i="20"/>
  <c r="X513" i="20"/>
  <c r="Y513" i="20"/>
  <c r="O514" i="20"/>
  <c r="U514" i="20"/>
  <c r="V514" i="20"/>
  <c r="W514" i="20"/>
  <c r="X514" i="20"/>
  <c r="Y514" i="20"/>
  <c r="O515" i="20"/>
  <c r="U515" i="20"/>
  <c r="V515" i="20"/>
  <c r="W515" i="20"/>
  <c r="X515" i="20"/>
  <c r="Y515" i="20"/>
  <c r="C516" i="20"/>
  <c r="D516" i="20"/>
  <c r="E516" i="20"/>
  <c r="F516" i="20"/>
  <c r="G516" i="20"/>
  <c r="H516" i="20"/>
  <c r="I516" i="20"/>
  <c r="J516" i="20"/>
  <c r="K516" i="20"/>
  <c r="L516" i="20"/>
  <c r="M516" i="20"/>
  <c r="N516" i="20"/>
  <c r="O516" i="20"/>
  <c r="U516" i="20"/>
  <c r="V516" i="20"/>
  <c r="W516" i="20"/>
  <c r="X516" i="20"/>
  <c r="Y516" i="20"/>
  <c r="C518" i="20"/>
  <c r="D518" i="20"/>
  <c r="E518" i="20"/>
  <c r="F518" i="20"/>
  <c r="G518" i="20"/>
  <c r="H518" i="20"/>
  <c r="I518" i="20"/>
  <c r="J518" i="20"/>
  <c r="K518" i="20"/>
  <c r="L518" i="20"/>
  <c r="M518" i="20"/>
  <c r="N518" i="20"/>
  <c r="O518" i="20"/>
  <c r="U518" i="20"/>
  <c r="V518" i="20"/>
  <c r="W518" i="20"/>
  <c r="X518" i="20"/>
  <c r="Y518" i="20"/>
  <c r="O521" i="20"/>
  <c r="U521" i="20"/>
  <c r="V521" i="20"/>
  <c r="W521" i="20"/>
  <c r="X521" i="20"/>
  <c r="Y521" i="20"/>
  <c r="O522" i="20"/>
  <c r="U522" i="20"/>
  <c r="V522" i="20"/>
  <c r="W522" i="20"/>
  <c r="X522" i="20"/>
  <c r="Y522" i="20"/>
  <c r="C523" i="20"/>
  <c r="D523" i="20"/>
  <c r="E523" i="20"/>
  <c r="F523" i="20"/>
  <c r="G523" i="20"/>
  <c r="H523" i="20"/>
  <c r="I523" i="20"/>
  <c r="J523" i="20"/>
  <c r="K523" i="20"/>
  <c r="L523" i="20"/>
  <c r="M523" i="20"/>
  <c r="N523" i="20"/>
  <c r="O523" i="20"/>
  <c r="U523" i="20"/>
  <c r="V523" i="20"/>
  <c r="W523" i="20"/>
  <c r="X523" i="20"/>
  <c r="Y523" i="20"/>
  <c r="C525" i="20"/>
  <c r="D525" i="20"/>
  <c r="E525" i="20"/>
  <c r="F525" i="20"/>
  <c r="G525" i="20"/>
  <c r="H525" i="20"/>
  <c r="I525" i="20"/>
  <c r="J525" i="20"/>
  <c r="K525" i="20"/>
  <c r="L525" i="20"/>
  <c r="M525" i="20"/>
  <c r="N525" i="20"/>
  <c r="O525" i="20"/>
  <c r="U525" i="20"/>
  <c r="V525" i="20"/>
  <c r="W525" i="20"/>
  <c r="X525" i="20"/>
  <c r="Y525" i="20"/>
  <c r="O528" i="20"/>
  <c r="U528" i="20"/>
  <c r="V528" i="20"/>
  <c r="W528" i="20"/>
  <c r="X528" i="20"/>
  <c r="Y528" i="20"/>
  <c r="O529" i="20"/>
  <c r="U529" i="20"/>
  <c r="V529" i="20"/>
  <c r="W529" i="20"/>
  <c r="X529" i="20"/>
  <c r="Y529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O530" i="20"/>
  <c r="U530" i="20"/>
  <c r="V530" i="20"/>
  <c r="W530" i="20"/>
  <c r="X530" i="20"/>
  <c r="Y530" i="20"/>
  <c r="C532" i="20"/>
  <c r="D532" i="20"/>
  <c r="E532" i="20"/>
  <c r="F532" i="20"/>
  <c r="G532" i="20"/>
  <c r="H532" i="20"/>
  <c r="I532" i="20"/>
  <c r="J532" i="20"/>
  <c r="K532" i="20"/>
  <c r="L532" i="20"/>
  <c r="M532" i="20"/>
  <c r="N532" i="20"/>
  <c r="O532" i="20"/>
  <c r="U532" i="20"/>
  <c r="V532" i="20"/>
  <c r="W532" i="20"/>
  <c r="X532" i="20"/>
  <c r="Y532" i="20"/>
  <c r="C534" i="20"/>
  <c r="D534" i="20"/>
  <c r="E534" i="20"/>
  <c r="F534" i="20"/>
  <c r="G534" i="20"/>
  <c r="H534" i="20"/>
  <c r="I534" i="20"/>
  <c r="J534" i="20"/>
  <c r="K534" i="20"/>
  <c r="L534" i="20"/>
  <c r="M534" i="20"/>
  <c r="N534" i="20"/>
  <c r="O534" i="20"/>
  <c r="U534" i="20"/>
  <c r="V534" i="20"/>
  <c r="W534" i="20"/>
  <c r="X534" i="20"/>
  <c r="Y534" i="20"/>
  <c r="A1" i="14"/>
  <c r="E1" i="14"/>
  <c r="M1" i="14"/>
  <c r="U1" i="14"/>
  <c r="AI1" i="14"/>
  <c r="AM1" i="14"/>
  <c r="E2" i="14"/>
  <c r="U2" i="14"/>
  <c r="AM2" i="14"/>
  <c r="C3" i="14"/>
  <c r="O3" i="14"/>
  <c r="U3" i="14"/>
  <c r="AK3" i="14"/>
  <c r="AM3" i="14"/>
  <c r="C4" i="14"/>
  <c r="E4" i="14"/>
  <c r="O4" i="14"/>
  <c r="U4" i="14"/>
  <c r="AK4" i="14"/>
  <c r="AM4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K7" i="14"/>
  <c r="M8" i="14"/>
  <c r="N8" i="14"/>
  <c r="Q8" i="14"/>
  <c r="AD8" i="14"/>
  <c r="AE8" i="14"/>
  <c r="AF8" i="14"/>
  <c r="AI8" i="14"/>
  <c r="AJ8" i="14"/>
  <c r="AK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K11" i="14"/>
  <c r="AL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K12" i="14"/>
  <c r="AM12" i="14"/>
  <c r="AP12" i="14"/>
  <c r="AQ12" i="14"/>
  <c r="AV12" i="14"/>
  <c r="AW12" i="14"/>
  <c r="H13" i="14"/>
  <c r="J13" i="14"/>
  <c r="M13" i="14"/>
  <c r="N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I13" i="14"/>
  <c r="AJ13" i="14"/>
  <c r="AK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K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K15" i="14"/>
  <c r="AM15" i="14"/>
  <c r="AP15" i="14"/>
  <c r="AQ15" i="14"/>
  <c r="AV15" i="14"/>
  <c r="AW15" i="14"/>
  <c r="H16" i="14"/>
  <c r="J16" i="14"/>
  <c r="M16" i="14"/>
  <c r="N16" i="14"/>
  <c r="Q16" i="14"/>
  <c r="AD16" i="14"/>
  <c r="AE16" i="14"/>
  <c r="AF16" i="14"/>
  <c r="AI16" i="14"/>
  <c r="AJ16" i="14"/>
  <c r="AK16" i="14"/>
  <c r="AM16" i="14"/>
  <c r="AP16" i="14"/>
  <c r="AQ16" i="14"/>
  <c r="AV16" i="14"/>
  <c r="AW16" i="14"/>
  <c r="H17" i="14"/>
  <c r="J17" i="14"/>
  <c r="M17" i="14"/>
  <c r="N17" i="14"/>
  <c r="Q17" i="14"/>
  <c r="AD17" i="14"/>
  <c r="AE17" i="14"/>
  <c r="AF17" i="14"/>
  <c r="AI17" i="14"/>
  <c r="AJ17" i="14"/>
  <c r="AK17" i="14"/>
  <c r="AM17" i="14"/>
  <c r="AP17" i="14"/>
  <c r="AQ17" i="14"/>
  <c r="AV17" i="14"/>
  <c r="AW17" i="14"/>
  <c r="H18" i="14"/>
  <c r="J18" i="14"/>
  <c r="M18" i="14"/>
  <c r="N18" i="14"/>
  <c r="Q18" i="14"/>
  <c r="AD18" i="14"/>
  <c r="AE18" i="14"/>
  <c r="AF18" i="14"/>
  <c r="AI18" i="14"/>
  <c r="AJ18" i="14"/>
  <c r="AK18" i="14"/>
  <c r="AM18" i="14"/>
  <c r="AP18" i="14"/>
  <c r="AQ18" i="14"/>
  <c r="AV18" i="14"/>
  <c r="AW18" i="14"/>
  <c r="H19" i="14"/>
  <c r="J19" i="14"/>
  <c r="M19" i="14"/>
  <c r="N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K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K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K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K22" i="14"/>
  <c r="AM22" i="14"/>
  <c r="AP22" i="14"/>
  <c r="AQ22" i="14"/>
  <c r="AV22" i="14"/>
  <c r="AW22" i="14"/>
  <c r="H23" i="14"/>
  <c r="J23" i="14"/>
  <c r="M23" i="14"/>
  <c r="N23" i="14"/>
  <c r="Q23" i="14"/>
  <c r="AD23" i="14"/>
  <c r="AE23" i="14"/>
  <c r="AF23" i="14"/>
  <c r="AI23" i="14"/>
  <c r="AJ23" i="14"/>
  <c r="AK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K24" i="14"/>
  <c r="AM24" i="14"/>
  <c r="AP24" i="14"/>
  <c r="AQ24" i="14"/>
  <c r="AV24" i="14"/>
  <c r="AW24" i="14"/>
  <c r="H25" i="14"/>
  <c r="J25" i="14"/>
  <c r="M25" i="14"/>
  <c r="N25" i="14"/>
  <c r="Q25" i="14"/>
  <c r="AD25" i="14"/>
  <c r="AE25" i="14"/>
  <c r="AF25" i="14"/>
  <c r="AI25" i="14"/>
  <c r="AJ25" i="14"/>
  <c r="AK25" i="14"/>
  <c r="AM25" i="14"/>
  <c r="AP25" i="14"/>
  <c r="AQ25" i="14"/>
  <c r="AV25" i="14"/>
  <c r="AW25" i="14"/>
  <c r="H26" i="14"/>
  <c r="J26" i="14"/>
  <c r="M26" i="14"/>
  <c r="N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I26" i="14"/>
  <c r="AJ26" i="14"/>
  <c r="AK26" i="14"/>
  <c r="AM26" i="14"/>
  <c r="AP26" i="14"/>
  <c r="AQ26" i="14"/>
  <c r="AV26" i="14"/>
  <c r="AW26" i="14"/>
  <c r="H27" i="14"/>
  <c r="J27" i="14"/>
  <c r="M27" i="14"/>
  <c r="N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I27" i="14"/>
  <c r="AJ27" i="14"/>
  <c r="AK27" i="14"/>
  <c r="AM27" i="14"/>
  <c r="AP27" i="14"/>
  <c r="AQ27" i="14"/>
  <c r="AV27" i="14"/>
  <c r="AW27" i="14"/>
  <c r="H28" i="14"/>
  <c r="J28" i="14"/>
  <c r="M28" i="14"/>
  <c r="N28" i="14"/>
  <c r="Q28" i="14"/>
  <c r="AD28" i="14"/>
  <c r="AE28" i="14"/>
  <c r="AF28" i="14"/>
  <c r="AI28" i="14"/>
  <c r="AJ28" i="14"/>
  <c r="AK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K29" i="14"/>
  <c r="AL29" i="14"/>
  <c r="AM29" i="14"/>
  <c r="AP29" i="14"/>
  <c r="AQ29" i="14"/>
  <c r="AV29" i="14"/>
  <c r="AW29" i="14"/>
  <c r="H30" i="14"/>
  <c r="J30" i="14"/>
  <c r="M30" i="14"/>
  <c r="N30" i="14"/>
  <c r="Q30" i="14"/>
  <c r="AD30" i="14"/>
  <c r="AE30" i="14"/>
  <c r="AF30" i="14"/>
  <c r="AI30" i="14"/>
  <c r="AJ30" i="14"/>
  <c r="AK30" i="14"/>
  <c r="AM30" i="14"/>
  <c r="AP30" i="14"/>
  <c r="AQ30" i="14"/>
  <c r="AV30" i="14"/>
  <c r="AW30" i="14"/>
  <c r="H31" i="14"/>
  <c r="J31" i="14"/>
  <c r="M31" i="14"/>
  <c r="N31" i="14"/>
  <c r="Q31" i="14"/>
  <c r="AD31" i="14"/>
  <c r="AE31" i="14"/>
  <c r="AF31" i="14"/>
  <c r="AI31" i="14"/>
  <c r="AJ31" i="14"/>
  <c r="AK31" i="14"/>
  <c r="AM31" i="14"/>
  <c r="AP31" i="14"/>
  <c r="AQ31" i="14"/>
  <c r="AV31" i="14"/>
  <c r="AW31" i="14"/>
  <c r="H32" i="14"/>
  <c r="J32" i="14"/>
  <c r="M32" i="14"/>
  <c r="N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I32" i="14"/>
  <c r="AJ32" i="14"/>
  <c r="AK32" i="14"/>
  <c r="AM32" i="14"/>
  <c r="AP32" i="14"/>
  <c r="AQ32" i="14"/>
  <c r="AV32" i="14"/>
  <c r="AW32" i="14"/>
  <c r="H33" i="14"/>
  <c r="J33" i="14"/>
  <c r="M33" i="14"/>
  <c r="N33" i="14"/>
  <c r="Q33" i="14"/>
  <c r="AD33" i="14"/>
  <c r="AE33" i="14"/>
  <c r="AF33" i="14"/>
  <c r="AI33" i="14"/>
  <c r="AJ33" i="14"/>
  <c r="AK33" i="14"/>
  <c r="AM33" i="14"/>
  <c r="AP33" i="14"/>
  <c r="AQ33" i="14"/>
  <c r="AV33" i="14"/>
  <c r="AW33" i="14"/>
  <c r="H34" i="14"/>
  <c r="J34" i="14"/>
  <c r="M34" i="14"/>
  <c r="N34" i="14"/>
  <c r="Q34" i="14"/>
  <c r="AD34" i="14"/>
  <c r="AE34" i="14"/>
  <c r="AF34" i="14"/>
  <c r="AI34" i="14"/>
  <c r="AJ34" i="14"/>
  <c r="AK34" i="14"/>
  <c r="AM34" i="14"/>
  <c r="AP34" i="14"/>
  <c r="AQ34" i="14"/>
  <c r="AV34" i="14"/>
  <c r="AW34" i="14"/>
  <c r="H35" i="14"/>
  <c r="J35" i="14"/>
  <c r="M35" i="14"/>
  <c r="N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K35" i="14"/>
  <c r="AL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K36" i="14"/>
  <c r="AL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K37" i="14"/>
  <c r="AL37" i="14"/>
  <c r="AM37" i="14"/>
  <c r="AP37" i="14"/>
  <c r="AQ37" i="14"/>
  <c r="AV37" i="14"/>
  <c r="AW37" i="14"/>
  <c r="H38" i="14"/>
  <c r="J38" i="14"/>
  <c r="M38" i="14"/>
  <c r="N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I38" i="14"/>
  <c r="AJ38" i="14"/>
  <c r="AK38" i="14"/>
  <c r="AM38" i="14"/>
  <c r="AP38" i="14"/>
  <c r="AQ38" i="14"/>
  <c r="AV38" i="14"/>
  <c r="AW38" i="14"/>
  <c r="H39" i="14"/>
  <c r="J39" i="14"/>
  <c r="M39" i="14"/>
  <c r="N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K39" i="14"/>
  <c r="AM39" i="14"/>
  <c r="AP39" i="14"/>
  <c r="AQ39" i="14"/>
  <c r="AV39" i="14"/>
  <c r="AW39" i="14"/>
  <c r="H40" i="14"/>
  <c r="J40" i="14"/>
  <c r="M40" i="14"/>
  <c r="N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K40" i="14"/>
  <c r="AM40" i="14"/>
  <c r="AP40" i="14"/>
  <c r="AQ40" i="14"/>
  <c r="AV40" i="14"/>
  <c r="AW40" i="14"/>
  <c r="H41" i="14"/>
  <c r="J41" i="14"/>
  <c r="M41" i="14"/>
  <c r="N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K41" i="14"/>
  <c r="AM41" i="14"/>
  <c r="AP41" i="14"/>
  <c r="AQ41" i="14"/>
  <c r="AV41" i="14"/>
  <c r="AW41" i="14"/>
  <c r="H42" i="14"/>
  <c r="J42" i="14"/>
  <c r="M42" i="14"/>
  <c r="N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K42" i="14"/>
  <c r="AM42" i="14"/>
  <c r="AP42" i="14"/>
  <c r="AQ42" i="14"/>
  <c r="AV42" i="14"/>
  <c r="AW42" i="14"/>
  <c r="H43" i="14"/>
  <c r="J43" i="14"/>
  <c r="M43" i="14"/>
  <c r="N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K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I44" i="14"/>
  <c r="AJ44" i="14"/>
  <c r="AK44" i="14"/>
  <c r="AM44" i="14"/>
  <c r="AP44" i="14"/>
  <c r="AQ44" i="14"/>
  <c r="AV44" i="14"/>
  <c r="AW44" i="14"/>
  <c r="H45" i="14"/>
  <c r="J45" i="14"/>
  <c r="M45" i="14"/>
  <c r="N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I45" i="14"/>
  <c r="AJ45" i="14"/>
  <c r="AK45" i="14"/>
  <c r="AM45" i="14"/>
  <c r="AP45" i="14"/>
  <c r="AQ45" i="14"/>
  <c r="AV45" i="14"/>
  <c r="AW45" i="14"/>
  <c r="H46" i="14"/>
  <c r="J46" i="14"/>
  <c r="M46" i="14"/>
  <c r="N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I46" i="14"/>
  <c r="AJ46" i="14"/>
  <c r="AK46" i="14"/>
  <c r="AM46" i="14"/>
  <c r="AP46" i="14"/>
  <c r="AQ46" i="14"/>
  <c r="AV46" i="14"/>
  <c r="AW46" i="14"/>
  <c r="H47" i="14"/>
  <c r="J47" i="14"/>
  <c r="M47" i="14"/>
  <c r="N47" i="14"/>
  <c r="Q47" i="14"/>
  <c r="AB47" i="14"/>
  <c r="AC47" i="14"/>
  <c r="AD47" i="14"/>
  <c r="AE47" i="14"/>
  <c r="AF47" i="14"/>
  <c r="AI47" i="14"/>
  <c r="AJ47" i="14"/>
  <c r="AK47" i="14"/>
  <c r="AM47" i="14"/>
  <c r="AP47" i="14"/>
  <c r="AQ47" i="14"/>
  <c r="AV47" i="14"/>
  <c r="AW47" i="14"/>
  <c r="H48" i="14"/>
  <c r="J48" i="14"/>
  <c r="M48" i="14"/>
  <c r="N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K48" i="14"/>
  <c r="AM48" i="14"/>
  <c r="AP48" i="14"/>
  <c r="AQ48" i="14"/>
  <c r="AV48" i="14"/>
  <c r="AW48" i="14"/>
  <c r="H49" i="14"/>
  <c r="J49" i="14"/>
  <c r="M49" i="14"/>
  <c r="N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I49" i="14"/>
  <c r="AJ49" i="14"/>
  <c r="AK49" i="14"/>
  <c r="AM49" i="14"/>
  <c r="AP49" i="14"/>
  <c r="AQ49" i="14"/>
  <c r="AV49" i="14"/>
  <c r="AW49" i="14"/>
  <c r="H50" i="14"/>
  <c r="J50" i="14"/>
  <c r="M50" i="14"/>
  <c r="N50" i="14"/>
  <c r="Q50" i="14"/>
  <c r="AD50" i="14"/>
  <c r="AE50" i="14"/>
  <c r="AF50" i="14"/>
  <c r="AI50" i="14"/>
  <c r="AJ50" i="14"/>
  <c r="AK50" i="14"/>
  <c r="AM50" i="14"/>
  <c r="AP50" i="14"/>
  <c r="AQ50" i="14"/>
  <c r="AV50" i="14"/>
  <c r="AW50" i="14"/>
  <c r="H51" i="14"/>
  <c r="J51" i="14"/>
  <c r="M51" i="14"/>
  <c r="N51" i="14"/>
  <c r="P51" i="14"/>
  <c r="Q51" i="14"/>
  <c r="AD51" i="14"/>
  <c r="AE51" i="14"/>
  <c r="AF51" i="14"/>
  <c r="AI51" i="14"/>
  <c r="AJ51" i="14"/>
  <c r="AK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K52" i="14"/>
  <c r="AM52" i="14"/>
  <c r="AP52" i="14"/>
  <c r="AQ52" i="14"/>
  <c r="AV52" i="14"/>
  <c r="AW52" i="14"/>
  <c r="H53" i="14"/>
  <c r="J53" i="14"/>
  <c r="M53" i="14"/>
  <c r="N53" i="14"/>
  <c r="Q53" i="14"/>
  <c r="AD53" i="14"/>
  <c r="AE53" i="14"/>
  <c r="AF53" i="14"/>
  <c r="AI53" i="14"/>
  <c r="AJ53" i="14"/>
  <c r="AK53" i="14"/>
  <c r="AM53" i="14"/>
  <c r="AP53" i="14"/>
  <c r="AQ53" i="14"/>
  <c r="AV53" i="14"/>
  <c r="AW53" i="14"/>
  <c r="H54" i="14"/>
  <c r="J54" i="14"/>
  <c r="M54" i="14"/>
  <c r="N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I54" i="14"/>
  <c r="AJ54" i="14"/>
  <c r="AK54" i="14"/>
  <c r="AM54" i="14"/>
  <c r="AP54" i="14"/>
  <c r="AQ54" i="14"/>
  <c r="AV54" i="14"/>
  <c r="AW54" i="14"/>
  <c r="H55" i="14"/>
  <c r="J55" i="14"/>
  <c r="M55" i="14"/>
  <c r="N55" i="14"/>
  <c r="Q55" i="14"/>
  <c r="AD55" i="14"/>
  <c r="AE55" i="14"/>
  <c r="AF55" i="14"/>
  <c r="AI55" i="14"/>
  <c r="AJ55" i="14"/>
  <c r="AK55" i="14"/>
  <c r="AM55" i="14"/>
  <c r="AP55" i="14"/>
  <c r="AQ55" i="14"/>
  <c r="AV55" i="14"/>
  <c r="AW55" i="14"/>
  <c r="H56" i="14"/>
  <c r="J56" i="14"/>
  <c r="M56" i="14"/>
  <c r="N56" i="14"/>
  <c r="Q56" i="14"/>
  <c r="AD56" i="14"/>
  <c r="AE56" i="14"/>
  <c r="AF56" i="14"/>
  <c r="AI56" i="14"/>
  <c r="AJ56" i="14"/>
  <c r="AK56" i="14"/>
  <c r="AM56" i="14"/>
  <c r="AP56" i="14"/>
  <c r="AQ56" i="14"/>
  <c r="AV56" i="14"/>
  <c r="AW56" i="14"/>
  <c r="H57" i="14"/>
  <c r="J57" i="14"/>
  <c r="M57" i="14"/>
  <c r="N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I57" i="14"/>
  <c r="AJ57" i="14"/>
  <c r="AK57" i="14"/>
  <c r="AM57" i="14"/>
  <c r="AP57" i="14"/>
  <c r="AQ57" i="14"/>
  <c r="AV57" i="14"/>
  <c r="AW57" i="14"/>
  <c r="H58" i="14"/>
  <c r="J58" i="14"/>
  <c r="M58" i="14"/>
  <c r="N58" i="14"/>
  <c r="AD58" i="14"/>
  <c r="AE58" i="14"/>
  <c r="AF58" i="14"/>
  <c r="AI58" i="14"/>
  <c r="AJ58" i="14"/>
  <c r="AK58" i="14"/>
  <c r="AM58" i="14"/>
  <c r="AP58" i="14"/>
  <c r="AQ58" i="14"/>
  <c r="AV58" i="14"/>
  <c r="AW58" i="14"/>
  <c r="F60" i="14"/>
  <c r="G60" i="14"/>
  <c r="H60" i="14"/>
  <c r="I60" i="14"/>
  <c r="J60" i="14"/>
  <c r="N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J60" i="14"/>
  <c r="AM60" i="14"/>
  <c r="AN60" i="14"/>
  <c r="AO60" i="14"/>
  <c r="AP60" i="14"/>
  <c r="AQ60" i="14"/>
  <c r="AS60" i="14"/>
  <c r="AT60" i="14"/>
  <c r="AU60" i="14"/>
  <c r="AV60" i="14"/>
  <c r="AW60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5" i="14"/>
  <c r="G65" i="14"/>
  <c r="H65" i="14"/>
  <c r="I65" i="14"/>
  <c r="J65" i="14"/>
  <c r="N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J65" i="14"/>
  <c r="AM65" i="14"/>
  <c r="AN65" i="14"/>
  <c r="AO65" i="14"/>
  <c r="AP65" i="14"/>
  <c r="AQ65" i="14"/>
  <c r="AS65" i="14"/>
  <c r="AT65" i="14"/>
  <c r="AU65" i="14"/>
  <c r="AV65" i="14"/>
  <c r="AW65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F68" i="14"/>
  <c r="G68" i="14"/>
  <c r="H68" i="14"/>
  <c r="I68" i="14"/>
  <c r="J68" i="14"/>
  <c r="N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J68" i="14"/>
  <c r="AM68" i="14"/>
  <c r="AN68" i="14"/>
  <c r="AO68" i="14"/>
  <c r="AP68" i="14"/>
  <c r="AQ68" i="14"/>
  <c r="AS68" i="14"/>
  <c r="AT68" i="14"/>
  <c r="AU68" i="14"/>
  <c r="AV68" i="14"/>
  <c r="AW68" i="14"/>
  <c r="N70" i="14"/>
  <c r="AJ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P78" i="14"/>
  <c r="AD78" i="14"/>
  <c r="AE78" i="14"/>
  <c r="AF78" i="14"/>
  <c r="AI78" i="14"/>
  <c r="AJ78" i="14"/>
  <c r="AM78" i="14"/>
  <c r="AP78" i="14"/>
  <c r="AQ78" i="14"/>
  <c r="AV78" i="14"/>
  <c r="AW78" i="14"/>
  <c r="H79" i="14"/>
  <c r="J79" i="14"/>
  <c r="M79" i="14"/>
  <c r="N79" i="14"/>
  <c r="AD79" i="14"/>
  <c r="AE79" i="14"/>
  <c r="AF79" i="14"/>
  <c r="AI79" i="14"/>
  <c r="AJ79" i="14"/>
  <c r="AM79" i="14"/>
  <c r="AP79" i="14"/>
  <c r="AQ79" i="14"/>
  <c r="AV79" i="14"/>
  <c r="AW79" i="14"/>
  <c r="F81" i="14"/>
  <c r="G81" i="14"/>
  <c r="H81" i="14"/>
  <c r="I81" i="14"/>
  <c r="J81" i="14"/>
  <c r="N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J81" i="14"/>
  <c r="AM81" i="14"/>
  <c r="AN81" i="14"/>
  <c r="AO81" i="14"/>
  <c r="AP81" i="14"/>
  <c r="AQ81" i="14"/>
  <c r="AS81" i="14"/>
  <c r="AT81" i="14"/>
  <c r="AU81" i="14"/>
  <c r="AV81" i="14"/>
  <c r="AW81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F84" i="14"/>
  <c r="G84" i="14"/>
  <c r="H84" i="14"/>
  <c r="I84" i="14"/>
  <c r="J84" i="14"/>
  <c r="N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J84" i="14"/>
  <c r="AM84" i="14"/>
  <c r="AN84" i="14"/>
  <c r="AO84" i="14"/>
  <c r="AP84" i="14"/>
  <c r="AQ84" i="14"/>
  <c r="AS84" i="14"/>
  <c r="AT84" i="14"/>
  <c r="AU84" i="14"/>
  <c r="AV84" i="14"/>
  <c r="AW84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D91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D95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D99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D103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D107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D111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D115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D119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D129" i="14"/>
  <c r="AD130" i="14"/>
  <c r="AD131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D142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O27" i="10"/>
  <c r="P27" i="10"/>
  <c r="Q27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E33" i="10"/>
  <c r="O33" i="10"/>
  <c r="P33" i="10"/>
  <c r="Q33" i="10"/>
  <c r="E34" i="10"/>
  <c r="O34" i="10"/>
  <c r="P34" i="10"/>
  <c r="Q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D41" i="10"/>
  <c r="E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O49" i="10"/>
  <c r="P49" i="10"/>
  <c r="Q49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T1" i="13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O7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T47" i="13"/>
  <c r="V47" i="13"/>
  <c r="W47" i="13"/>
  <c r="X47" i="13"/>
  <c r="Y47" i="13"/>
  <c r="AA47" i="13"/>
  <c r="AD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T49" i="13"/>
  <c r="V49" i="13"/>
  <c r="W49" i="13"/>
  <c r="X49" i="13"/>
  <c r="Y49" i="13"/>
  <c r="AA49" i="13"/>
  <c r="AD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T51" i="13"/>
  <c r="V51" i="13"/>
  <c r="W51" i="13"/>
  <c r="X51" i="13"/>
  <c r="Y51" i="13"/>
  <c r="AA51" i="13"/>
  <c r="AD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T54" i="13"/>
  <c r="V54" i="13"/>
  <c r="W54" i="13"/>
  <c r="X54" i="13"/>
  <c r="Y54" i="13"/>
  <c r="AA54" i="13"/>
  <c r="AD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T56" i="13"/>
  <c r="V56" i="13"/>
  <c r="W56" i="13"/>
  <c r="X56" i="13"/>
  <c r="Y56" i="13"/>
  <c r="AA56" i="13"/>
  <c r="AD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60" i="13"/>
  <c r="G60" i="13"/>
  <c r="T60" i="13"/>
  <c r="V60" i="13"/>
  <c r="AD60" i="13"/>
  <c r="AI60" i="13"/>
  <c r="G61" i="13"/>
  <c r="V61" i="13"/>
  <c r="AI61" i="13"/>
  <c r="A62" i="13"/>
  <c r="T62" i="13"/>
  <c r="V62" i="13"/>
  <c r="AD62" i="13"/>
  <c r="G63" i="13"/>
  <c r="V63" i="13"/>
  <c r="AI63" i="13"/>
  <c r="A64" i="13"/>
  <c r="B64" i="13"/>
  <c r="T64" i="13"/>
  <c r="U64" i="13"/>
  <c r="AD64" i="13"/>
  <c r="AE64" i="13"/>
  <c r="B65" i="13"/>
  <c r="U65" i="13"/>
  <c r="AE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V66" i="13"/>
  <c r="W66" i="13"/>
  <c r="X66" i="13"/>
  <c r="Y66" i="13"/>
  <c r="AA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T69" i="13"/>
  <c r="V69" i="13"/>
  <c r="W69" i="13"/>
  <c r="X69" i="13"/>
  <c r="Y69" i="13"/>
  <c r="AA69" i="13"/>
  <c r="AD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T72" i="13"/>
  <c r="V72" i="13"/>
  <c r="W72" i="13"/>
  <c r="X72" i="13"/>
  <c r="Y72" i="13"/>
  <c r="AA72" i="13"/>
  <c r="AD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T75" i="13"/>
  <c r="V75" i="13"/>
  <c r="W75" i="13"/>
  <c r="X75" i="13"/>
  <c r="Y75" i="13"/>
  <c r="AA75" i="13"/>
  <c r="AD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T77" i="13"/>
  <c r="AD77" i="13"/>
  <c r="O78" i="13"/>
  <c r="P78" i="13"/>
  <c r="Q78" i="13"/>
  <c r="T78" i="13"/>
  <c r="V78" i="13"/>
  <c r="W78" i="13"/>
  <c r="X78" i="13"/>
  <c r="Y78" i="13"/>
  <c r="AA78" i="13"/>
  <c r="AD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T84" i="13"/>
  <c r="V84" i="13"/>
  <c r="W84" i="13"/>
  <c r="X84" i="13"/>
  <c r="Y84" i="13"/>
  <c r="AA84" i="13"/>
  <c r="AD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T86" i="13"/>
  <c r="V86" i="13"/>
  <c r="W86" i="13"/>
  <c r="X86" i="13"/>
  <c r="Y86" i="13"/>
  <c r="AA86" i="13"/>
  <c r="AD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T88" i="13"/>
  <c r="AD88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O90" i="13"/>
  <c r="P90" i="13"/>
  <c r="Q90" i="13"/>
  <c r="T90" i="13"/>
  <c r="V90" i="13"/>
  <c r="W90" i="13"/>
  <c r="X90" i="13"/>
  <c r="Y90" i="13"/>
  <c r="AA90" i="13"/>
  <c r="AD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O91" i="13"/>
  <c r="P91" i="13"/>
  <c r="Q91" i="13"/>
  <c r="T91" i="13"/>
  <c r="V91" i="13"/>
  <c r="W91" i="13"/>
  <c r="X91" i="13"/>
  <c r="Y91" i="13"/>
  <c r="AA91" i="13"/>
  <c r="AD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96" i="13"/>
  <c r="T96" i="13"/>
  <c r="V96" i="13"/>
  <c r="AD96" i="13"/>
  <c r="AI96" i="13"/>
  <c r="G97" i="13"/>
  <c r="V97" i="13"/>
  <c r="AI97" i="13"/>
  <c r="A98" i="13"/>
  <c r="G98" i="13"/>
  <c r="T98" i="13"/>
  <c r="V98" i="13"/>
  <c r="AD98" i="13"/>
  <c r="B99" i="13"/>
  <c r="G99" i="13"/>
  <c r="U99" i="13"/>
  <c r="V99" i="13"/>
  <c r="AE99" i="13"/>
  <c r="AI99" i="13"/>
  <c r="B100" i="13"/>
  <c r="U100" i="13"/>
  <c r="AE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AA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W102" i="13"/>
  <c r="X102" i="13"/>
  <c r="Y102" i="13"/>
  <c r="AA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T103" i="13"/>
  <c r="AD103" i="13"/>
  <c r="O104" i="13"/>
  <c r="P104" i="13"/>
  <c r="Q104" i="13"/>
  <c r="T104" i="13"/>
  <c r="V104" i="13"/>
  <c r="W104" i="13"/>
  <c r="X104" i="13"/>
  <c r="Y104" i="13"/>
  <c r="AA104" i="13"/>
  <c r="AD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O105" i="13"/>
  <c r="P105" i="13"/>
  <c r="Q105" i="13"/>
  <c r="T105" i="13"/>
  <c r="V105" i="13"/>
  <c r="W105" i="13"/>
  <c r="X105" i="13"/>
  <c r="Y105" i="13"/>
  <c r="AA105" i="13"/>
  <c r="AD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T107" i="13"/>
  <c r="V107" i="13"/>
  <c r="W107" i="13"/>
  <c r="X107" i="13"/>
  <c r="Y107" i="13"/>
  <c r="AA107" i="13"/>
  <c r="AD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T114" i="13"/>
  <c r="AD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O116" i="13"/>
  <c r="P116" i="13"/>
  <c r="Q116" i="13"/>
  <c r="T116" i="13"/>
  <c r="V116" i="13"/>
  <c r="W116" i="13"/>
  <c r="X116" i="13"/>
  <c r="Y116" i="13"/>
  <c r="AA116" i="13"/>
  <c r="AD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O118" i="13"/>
  <c r="P118" i="13"/>
  <c r="Q118" i="13"/>
  <c r="T118" i="13"/>
  <c r="V118" i="13"/>
  <c r="W118" i="13"/>
  <c r="X118" i="13"/>
  <c r="Y118" i="13"/>
  <c r="AA118" i="13"/>
  <c r="AD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T119" i="13"/>
  <c r="V119" i="13"/>
  <c r="W119" i="13"/>
  <c r="X119" i="13"/>
  <c r="Y119" i="13"/>
  <c r="AA119" i="13"/>
  <c r="AD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T126" i="13"/>
  <c r="AD126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O128" i="13"/>
  <c r="P128" i="13"/>
  <c r="Q128" i="13"/>
  <c r="T128" i="13"/>
  <c r="V128" i="13"/>
  <c r="W128" i="13"/>
  <c r="X128" i="13"/>
  <c r="Y128" i="13"/>
  <c r="AA128" i="13"/>
  <c r="AD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T131" i="13"/>
  <c r="V131" i="13"/>
  <c r="W131" i="13"/>
  <c r="X131" i="13"/>
  <c r="Y131" i="13"/>
  <c r="AA131" i="13"/>
  <c r="AD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T135" i="13"/>
  <c r="AD135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O137" i="13"/>
  <c r="P137" i="13"/>
  <c r="Q137" i="13"/>
  <c r="T137" i="13"/>
  <c r="V137" i="13"/>
  <c r="W137" i="13"/>
  <c r="X137" i="13"/>
  <c r="Y137" i="13"/>
  <c r="AA137" i="13"/>
  <c r="AD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O139" i="13"/>
  <c r="P139" i="13"/>
  <c r="Q139" i="13"/>
  <c r="T139" i="13"/>
  <c r="V139" i="13"/>
  <c r="W139" i="13"/>
  <c r="X139" i="13"/>
  <c r="Y139" i="13"/>
  <c r="AA139" i="13"/>
  <c r="AD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O140" i="13"/>
  <c r="P140" i="13"/>
  <c r="Q140" i="13"/>
  <c r="T140" i="13"/>
  <c r="V140" i="13"/>
  <c r="W140" i="13"/>
  <c r="X140" i="13"/>
  <c r="Y140" i="13"/>
  <c r="AA140" i="13"/>
  <c r="AD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T147" i="13"/>
  <c r="V147" i="13"/>
  <c r="W147" i="13"/>
  <c r="X147" i="13"/>
  <c r="Y147" i="13"/>
  <c r="AA147" i="13"/>
  <c r="AD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T149" i="13"/>
  <c r="V149" i="13"/>
  <c r="W149" i="13"/>
  <c r="X149" i="13"/>
  <c r="Y149" i="13"/>
  <c r="AA149" i="13"/>
  <c r="AD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T151" i="13"/>
  <c r="V151" i="13"/>
  <c r="W151" i="13"/>
  <c r="X151" i="13"/>
  <c r="Y151" i="13"/>
  <c r="AA151" i="13"/>
  <c r="AD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154" i="13"/>
  <c r="T154" i="13"/>
  <c r="U154" i="13"/>
  <c r="AD154" i="13"/>
  <c r="AH154" i="13"/>
  <c r="G155" i="13"/>
  <c r="V155" i="13"/>
  <c r="AI155" i="13"/>
  <c r="A156" i="13"/>
  <c r="G156" i="13"/>
  <c r="T156" i="13"/>
  <c r="V156" i="13"/>
  <c r="AD156" i="13"/>
  <c r="B157" i="13"/>
  <c r="G157" i="13"/>
  <c r="U157" i="13"/>
  <c r="V157" i="13"/>
  <c r="AE157" i="13"/>
  <c r="AI157" i="13"/>
  <c r="B158" i="13"/>
  <c r="U158" i="13"/>
  <c r="AE158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AA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W160" i="13"/>
  <c r="X160" i="13"/>
  <c r="Y160" i="13"/>
  <c r="AA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T161" i="13"/>
  <c r="AD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T162" i="13"/>
  <c r="V162" i="13"/>
  <c r="W162" i="13"/>
  <c r="X162" i="13"/>
  <c r="Y162" i="13"/>
  <c r="AA162" i="13"/>
  <c r="AD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T163" i="13"/>
  <c r="V163" i="13"/>
  <c r="W163" i="13"/>
  <c r="X163" i="13"/>
  <c r="Y163" i="13"/>
  <c r="AA163" i="13"/>
  <c r="AD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T165" i="13"/>
  <c r="V165" i="13"/>
  <c r="W165" i="13"/>
  <c r="X165" i="13"/>
  <c r="Y165" i="13"/>
  <c r="AA165" i="13"/>
  <c r="AD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T167" i="13"/>
  <c r="V167" i="13"/>
  <c r="W167" i="13"/>
  <c r="X167" i="13"/>
  <c r="Y167" i="13"/>
  <c r="AA167" i="13"/>
  <c r="AD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T168" i="13"/>
  <c r="V168" i="13"/>
  <c r="W168" i="13"/>
  <c r="X168" i="13"/>
  <c r="Y168" i="13"/>
  <c r="AA168" i="13"/>
  <c r="AD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T172" i="13"/>
  <c r="AD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T173" i="13"/>
  <c r="V173" i="13"/>
  <c r="W173" i="13"/>
  <c r="X173" i="13"/>
  <c r="Y173" i="13"/>
  <c r="AA173" i="13"/>
  <c r="AD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T176" i="13"/>
  <c r="V176" i="13"/>
  <c r="W176" i="13"/>
  <c r="X176" i="13"/>
  <c r="Y176" i="13"/>
  <c r="AA176" i="13"/>
  <c r="AD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T178" i="13"/>
  <c r="V178" i="13"/>
  <c r="W178" i="13"/>
  <c r="X178" i="13"/>
  <c r="Y178" i="13"/>
  <c r="AA178" i="13"/>
  <c r="AD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T184" i="13"/>
  <c r="AD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T186" i="13"/>
  <c r="V186" i="13"/>
  <c r="W186" i="13"/>
  <c r="X186" i="13"/>
  <c r="Y186" i="13"/>
  <c r="AA186" i="13"/>
  <c r="AD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T191" i="13"/>
  <c r="V191" i="13"/>
  <c r="W191" i="13"/>
  <c r="X191" i="13"/>
  <c r="Y191" i="13"/>
  <c r="AA191" i="13"/>
  <c r="AD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T193" i="13"/>
  <c r="AD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T195" i="13"/>
  <c r="V195" i="13"/>
  <c r="W195" i="13"/>
  <c r="X195" i="13"/>
  <c r="Y195" i="13"/>
  <c r="AA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T197" i="13"/>
  <c r="V197" i="13"/>
  <c r="W197" i="13"/>
  <c r="X197" i="13"/>
  <c r="Y197" i="13"/>
  <c r="AA197" i="13"/>
  <c r="AD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T200" i="13"/>
  <c r="V200" i="13"/>
  <c r="W200" i="13"/>
  <c r="X200" i="13"/>
  <c r="Y200" i="13"/>
  <c r="AA200" i="13"/>
  <c r="AD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Q207" i="13"/>
  <c r="T207" i="13"/>
  <c r="V207" i="13"/>
  <c r="W207" i="13"/>
  <c r="X207" i="13"/>
  <c r="Y207" i="13"/>
  <c r="AA207" i="13"/>
  <c r="AD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Q209" i="13"/>
  <c r="T209" i="13"/>
  <c r="V209" i="13"/>
  <c r="W209" i="13"/>
  <c r="X209" i="13"/>
  <c r="Y209" i="13"/>
  <c r="AA209" i="13"/>
  <c r="AD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V211" i="13"/>
  <c r="W211" i="13"/>
  <c r="X211" i="13"/>
  <c r="Y211" i="13"/>
  <c r="AA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O13" i="12"/>
  <c r="P13" i="12"/>
  <c r="Q13" i="12"/>
  <c r="O14" i="12"/>
  <c r="P14" i="12"/>
  <c r="Q14" i="12"/>
  <c r="O15" i="12"/>
  <c r="P15" i="12"/>
  <c r="Q15" i="12"/>
  <c r="N16" i="12"/>
  <c r="O16" i="12"/>
  <c r="P16" i="12"/>
  <c r="Q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O21" i="12"/>
  <c r="P21" i="12"/>
  <c r="Q21" i="12"/>
  <c r="O22" i="12"/>
  <c r="P22" i="12"/>
  <c r="Q22" i="12"/>
  <c r="O23" i="12"/>
  <c r="P23" i="12"/>
  <c r="Q23" i="12"/>
  <c r="O24" i="12"/>
  <c r="P24" i="12"/>
  <c r="Q24" i="12"/>
  <c r="O25" i="12"/>
  <c r="P25" i="12"/>
  <c r="Q25" i="12"/>
  <c r="N26" i="12"/>
  <c r="O26" i="12"/>
  <c r="P26" i="12"/>
  <c r="Q26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O32" i="12"/>
  <c r="P32" i="12"/>
  <c r="Q32" i="12"/>
  <c r="O33" i="12"/>
  <c r="P33" i="12"/>
  <c r="Q33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O49" i="12"/>
  <c r="P49" i="12"/>
  <c r="Q49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A1" i="6"/>
  <c r="A3" i="6"/>
  <c r="B3" i="6"/>
  <c r="C3" i="6"/>
  <c r="D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O24" i="6"/>
  <c r="P24" i="6"/>
  <c r="Q24" i="6"/>
  <c r="S24" i="6"/>
  <c r="T24" i="6"/>
  <c r="U24" i="6"/>
  <c r="V24" i="6"/>
  <c r="X24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O7" i="11"/>
  <c r="P7" i="11"/>
  <c r="Q7" i="11"/>
  <c r="O8" i="11"/>
  <c r="P8" i="11"/>
  <c r="Q8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O43" i="11"/>
  <c r="P43" i="11"/>
  <c r="Q43" i="11"/>
  <c r="O44" i="11"/>
  <c r="P44" i="11"/>
  <c r="Q44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A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O36" i="9"/>
  <c r="P36" i="9"/>
  <c r="Q36" i="9"/>
  <c r="O37" i="9"/>
  <c r="P37" i="9"/>
  <c r="Q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O54" i="9"/>
  <c r="P54" i="9"/>
  <c r="Q54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O10" i="2"/>
  <c r="P10" i="2"/>
  <c r="Q10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O17" i="2"/>
  <c r="P17" i="2"/>
  <c r="Q17" i="2"/>
  <c r="O18" i="2"/>
  <c r="P18" i="2"/>
  <c r="Q18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O37" i="2"/>
  <c r="P37" i="2"/>
  <c r="Q37" i="2"/>
  <c r="O38" i="2"/>
  <c r="P38" i="2"/>
  <c r="Q38" i="2"/>
  <c r="O39" i="2"/>
  <c r="P39" i="2"/>
  <c r="Q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P14" i="15"/>
  <c r="Q14" i="15"/>
  <c r="R14" i="15"/>
  <c r="T14" i="15"/>
  <c r="P15" i="15"/>
  <c r="Q15" i="15"/>
  <c r="R15" i="15"/>
  <c r="T15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P35" i="15"/>
  <c r="Q35" i="15"/>
  <c r="R35" i="15"/>
  <c r="T35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P49" i="15"/>
  <c r="Q49" i="15"/>
  <c r="R49" i="15"/>
  <c r="T49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P61" i="15"/>
  <c r="Q61" i="15"/>
  <c r="R61" i="15"/>
  <c r="T61" i="15"/>
  <c r="P62" i="15"/>
  <c r="Q62" i="15"/>
  <c r="R62" i="15"/>
  <c r="T62" i="15"/>
  <c r="P63" i="15"/>
  <c r="Q63" i="15"/>
  <c r="R63" i="15"/>
  <c r="T63" i="15"/>
  <c r="P64" i="15"/>
  <c r="Q64" i="15"/>
  <c r="R64" i="15"/>
  <c r="T64" i="15"/>
  <c r="P65" i="15"/>
  <c r="Q65" i="15"/>
  <c r="R65" i="15"/>
  <c r="T65" i="15"/>
  <c r="P66" i="15"/>
  <c r="Q66" i="15"/>
  <c r="R66" i="15"/>
  <c r="T66" i="15"/>
  <c r="P67" i="15"/>
  <c r="Q67" i="15"/>
  <c r="R67" i="15"/>
  <c r="T67" i="15"/>
  <c r="P68" i="15"/>
  <c r="Q68" i="15"/>
  <c r="R68" i="15"/>
  <c r="T68" i="15"/>
  <c r="P69" i="15"/>
  <c r="Q69" i="15"/>
  <c r="R69" i="15"/>
  <c r="T69" i="15"/>
  <c r="P70" i="15"/>
  <c r="Q70" i="15"/>
  <c r="R70" i="15"/>
  <c r="T70" i="15"/>
  <c r="P71" i="15"/>
  <c r="Q71" i="15"/>
  <c r="R71" i="15"/>
  <c r="T71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P75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C20" i="8"/>
  <c r="D20" i="8"/>
  <c r="G20" i="8"/>
  <c r="H20" i="8"/>
  <c r="I20" i="8"/>
  <c r="J20" i="8"/>
  <c r="K20" i="8"/>
  <c r="L20" i="8"/>
  <c r="M20" i="8"/>
  <c r="N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O28" i="8"/>
  <c r="P28" i="8"/>
  <c r="Q28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5" i="8"/>
  <c r="D35" i="8"/>
  <c r="G35" i="8"/>
  <c r="J35" i="8"/>
  <c r="K35" i="8"/>
  <c r="L35" i="8"/>
  <c r="M35" i="8"/>
  <c r="N35" i="8"/>
  <c r="O35" i="8"/>
  <c r="P35" i="8"/>
  <c r="Q35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O43" i="8"/>
  <c r="P43" i="8"/>
  <c r="Q43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O48" i="8"/>
  <c r="P48" i="8"/>
  <c r="Q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O59" i="8"/>
  <c r="P59" i="8"/>
  <c r="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A1" i="7"/>
  <c r="A3" i="7"/>
  <c r="B3" i="7"/>
  <c r="B4" i="7"/>
  <c r="P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P15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0" i="7"/>
  <c r="P21" i="7"/>
  <c r="P22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D32" i="7"/>
  <c r="E32" i="7"/>
  <c r="F32" i="7"/>
  <c r="G32" i="7"/>
  <c r="H32" i="7"/>
  <c r="I32" i="7"/>
  <c r="J32" i="7"/>
  <c r="K32" i="7"/>
  <c r="L32" i="7"/>
  <c r="M32" i="7"/>
  <c r="N32" i="7"/>
  <c r="O32" i="7"/>
  <c r="P34" i="7"/>
  <c r="P36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D46" i="7"/>
  <c r="E46" i="7"/>
  <c r="F46" i="7"/>
  <c r="G46" i="7"/>
  <c r="H46" i="7"/>
  <c r="I46" i="7"/>
  <c r="J46" i="7"/>
  <c r="K46" i="7"/>
  <c r="L46" i="7"/>
  <c r="M46" i="7"/>
  <c r="N46" i="7"/>
  <c r="O46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D50" i="7"/>
  <c r="E50" i="7"/>
  <c r="F50" i="7"/>
  <c r="G50" i="7"/>
  <c r="H50" i="7"/>
  <c r="I50" i="7"/>
  <c r="J50" i="7"/>
  <c r="K50" i="7"/>
  <c r="L50" i="7"/>
  <c r="M50" i="7"/>
  <c r="N50" i="7"/>
  <c r="O50" i="7"/>
  <c r="A53" i="7"/>
  <c r="A55" i="7"/>
  <c r="B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AQ56" i="7"/>
  <c r="AQ57" i="7"/>
  <c r="P59" i="7"/>
  <c r="P60" i="7"/>
  <c r="P61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BE63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P67" i="7"/>
  <c r="P68" i="7"/>
  <c r="P69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P74" i="7"/>
  <c r="P75" i="7"/>
  <c r="P76" i="7"/>
  <c r="P77" i="7"/>
  <c r="P78" i="7"/>
  <c r="P79" i="7"/>
  <c r="P80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P85" i="7"/>
  <c r="P86" i="7"/>
  <c r="P87" i="7"/>
  <c r="A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P93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C99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3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P107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A122" i="7"/>
  <c r="A124" i="7"/>
  <c r="B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C127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P133" i="7"/>
  <c r="P135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A154" i="7"/>
  <c r="A156" i="7"/>
  <c r="B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P168" i="7"/>
  <c r="P170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P173" i="7"/>
  <c r="P174" i="7"/>
  <c r="P175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C183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P191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A207" i="7"/>
  <c r="A209" i="7"/>
  <c r="B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P221" i="7"/>
  <c r="P223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P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P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C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40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P244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A260" i="7"/>
  <c r="A262" i="7"/>
  <c r="B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P266" i="7"/>
  <c r="P267" i="7"/>
  <c r="P268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P274" i="7"/>
  <c r="P275" i="7"/>
  <c r="P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P281" i="7"/>
  <c r="R281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P287" i="7"/>
  <c r="P288" i="7"/>
  <c r="P289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C297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301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P305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A321" i="7"/>
  <c r="A323" i="7"/>
  <c r="B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P335" i="7"/>
  <c r="P336" i="7"/>
  <c r="P337" i="7"/>
  <c r="P338" i="7"/>
  <c r="P339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P344" i="7"/>
  <c r="P345" i="7"/>
  <c r="P346" i="7"/>
  <c r="P347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P352" i="7"/>
  <c r="P353" i="7"/>
  <c r="P354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C362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6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A386" i="7"/>
  <c r="A388" i="7"/>
  <c r="B388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C391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5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C413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P419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C435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A458" i="7"/>
  <c r="A460" i="7"/>
  <c r="B460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P472" i="7"/>
  <c r="P473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P479" i="7"/>
  <c r="P480" i="7"/>
  <c r="P481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P487" i="7"/>
  <c r="P488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C497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501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A520" i="7"/>
  <c r="A522" i="7"/>
  <c r="B522" i="7"/>
  <c r="B523" i="7"/>
  <c r="C523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D528" i="7"/>
  <c r="E528" i="7"/>
  <c r="F528" i="7"/>
  <c r="G528" i="7"/>
  <c r="H528" i="7"/>
  <c r="I528" i="7"/>
  <c r="J528" i="7"/>
  <c r="K528" i="7"/>
  <c r="L528" i="7"/>
  <c r="M528" i="7"/>
  <c r="N528" i="7"/>
  <c r="O528" i="7"/>
  <c r="P528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P534" i="7"/>
  <c r="P536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P539" i="7"/>
  <c r="P540" i="7"/>
  <c r="P541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C549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3" i="7"/>
  <c r="D555" i="7"/>
  <c r="E555" i="7"/>
  <c r="F555" i="7"/>
  <c r="G555" i="7"/>
  <c r="H555" i="7"/>
  <c r="I555" i="7"/>
  <c r="J555" i="7"/>
  <c r="K555" i="7"/>
  <c r="L555" i="7"/>
  <c r="M555" i="7"/>
  <c r="N555" i="7"/>
  <c r="O555" i="7"/>
  <c r="P555" i="7"/>
  <c r="P557" i="7"/>
  <c r="D559" i="7"/>
  <c r="E559" i="7"/>
  <c r="F559" i="7"/>
  <c r="G559" i="7"/>
  <c r="H559" i="7"/>
  <c r="I559" i="7"/>
  <c r="J559" i="7"/>
  <c r="K559" i="7"/>
  <c r="L559" i="7"/>
  <c r="M559" i="7"/>
  <c r="N559" i="7"/>
  <c r="O559" i="7"/>
  <c r="P559" i="7"/>
  <c r="D561" i="7"/>
  <c r="E561" i="7"/>
  <c r="F561" i="7"/>
  <c r="G561" i="7"/>
  <c r="H561" i="7"/>
  <c r="I561" i="7"/>
  <c r="J561" i="7"/>
  <c r="K561" i="7"/>
  <c r="L561" i="7"/>
  <c r="M561" i="7"/>
  <c r="N561" i="7"/>
  <c r="O561" i="7"/>
  <c r="P561" i="7"/>
  <c r="D564" i="7"/>
  <c r="E564" i="7"/>
  <c r="F564" i="7"/>
  <c r="G564" i="7"/>
  <c r="H564" i="7"/>
  <c r="I564" i="7"/>
  <c r="J564" i="7"/>
  <c r="K564" i="7"/>
  <c r="L564" i="7"/>
  <c r="M564" i="7"/>
  <c r="N564" i="7"/>
  <c r="O564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P586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7" i="7"/>
  <c r="E617" i="7"/>
  <c r="F617" i="7"/>
  <c r="G617" i="7"/>
  <c r="H617" i="7"/>
  <c r="I617" i="7"/>
  <c r="J617" i="7"/>
  <c r="K617" i="7"/>
  <c r="L617" i="7"/>
  <c r="M617" i="7"/>
  <c r="N617" i="7"/>
  <c r="O617" i="7"/>
  <c r="D619" i="7"/>
  <c r="E619" i="7"/>
  <c r="F619" i="7"/>
  <c r="G619" i="7"/>
  <c r="H619" i="7"/>
  <c r="I619" i="7"/>
  <c r="J619" i="7"/>
  <c r="K619" i="7"/>
  <c r="L619" i="7"/>
  <c r="M619" i="7"/>
  <c r="N619" i="7"/>
  <c r="O619" i="7"/>
  <c r="P619" i="7"/>
  <c r="D621" i="7"/>
  <c r="E621" i="7"/>
  <c r="F621" i="7"/>
  <c r="G621" i="7"/>
  <c r="H621" i="7"/>
  <c r="I621" i="7"/>
  <c r="J621" i="7"/>
  <c r="K621" i="7"/>
  <c r="L621" i="7"/>
  <c r="M621" i="7"/>
  <c r="N621" i="7"/>
  <c r="O621" i="7"/>
  <c r="A623" i="7"/>
  <c r="A625" i="7"/>
  <c r="B625" i="7"/>
  <c r="B626" i="7"/>
  <c r="C626" i="7"/>
  <c r="D626" i="7"/>
  <c r="E626" i="7"/>
  <c r="F626" i="7"/>
  <c r="G626" i="7"/>
  <c r="H626" i="7"/>
  <c r="I626" i="7"/>
  <c r="J626" i="7"/>
  <c r="K626" i="7"/>
  <c r="L626" i="7"/>
  <c r="M626" i="7"/>
  <c r="N626" i="7"/>
  <c r="O626" i="7"/>
  <c r="P626" i="7"/>
  <c r="C628" i="7"/>
  <c r="D630" i="7"/>
  <c r="E630" i="7"/>
  <c r="F630" i="7"/>
  <c r="G630" i="7"/>
  <c r="H630" i="7"/>
  <c r="I630" i="7"/>
  <c r="J630" i="7"/>
  <c r="K630" i="7"/>
  <c r="L630" i="7"/>
  <c r="M630" i="7"/>
  <c r="N630" i="7"/>
  <c r="O630" i="7"/>
  <c r="P632" i="7"/>
  <c r="P634" i="7"/>
  <c r="P636" i="7"/>
  <c r="D638" i="7"/>
  <c r="E638" i="7"/>
  <c r="F638" i="7"/>
  <c r="G638" i="7"/>
  <c r="H638" i="7"/>
  <c r="I638" i="7"/>
  <c r="J638" i="7"/>
  <c r="K638" i="7"/>
  <c r="L638" i="7"/>
  <c r="M638" i="7"/>
  <c r="N638" i="7"/>
  <c r="O638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3" i="7"/>
  <c r="E643" i="7"/>
  <c r="F643" i="7"/>
  <c r="G643" i="7"/>
  <c r="H643" i="7"/>
  <c r="I643" i="7"/>
  <c r="J643" i="7"/>
  <c r="K643" i="7"/>
  <c r="L643" i="7"/>
  <c r="M643" i="7"/>
  <c r="N643" i="7"/>
  <c r="O643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D646" i="7"/>
  <c r="E646" i="7"/>
  <c r="F646" i="7"/>
  <c r="G646" i="7"/>
  <c r="H646" i="7"/>
  <c r="I646" i="7"/>
  <c r="J646" i="7"/>
  <c r="K646" i="7"/>
  <c r="L646" i="7"/>
  <c r="M646" i="7"/>
  <c r="N646" i="7"/>
  <c r="O646" i="7"/>
  <c r="P646" i="7"/>
  <c r="D648" i="7"/>
  <c r="E648" i="7"/>
  <c r="F648" i="7"/>
  <c r="G648" i="7"/>
  <c r="H648" i="7"/>
  <c r="I648" i="7"/>
  <c r="J648" i="7"/>
  <c r="K648" i="7"/>
  <c r="L648" i="7"/>
  <c r="M648" i="7"/>
  <c r="N648" i="7"/>
  <c r="O648" i="7"/>
  <c r="A1" i="3"/>
  <c r="A3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O35" i="3"/>
  <c r="P35" i="3"/>
  <c r="Q35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E56" i="3"/>
  <c r="F56" i="3"/>
  <c r="O56" i="3"/>
  <c r="P56" i="3"/>
  <c r="Q56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O68" i="3"/>
  <c r="O69" i="3"/>
  <c r="O70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O76" i="3"/>
  <c r="O78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O81" i="3"/>
  <c r="O82" i="3"/>
  <c r="O83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C93" i="3"/>
  <c r="D93" i="3"/>
  <c r="E93" i="3"/>
  <c r="F93" i="3"/>
  <c r="G93" i="3"/>
  <c r="H93" i="3"/>
  <c r="I93" i="3"/>
  <c r="J93" i="3"/>
  <c r="K93" i="3"/>
  <c r="L93" i="3"/>
  <c r="M93" i="3"/>
  <c r="N93" i="3"/>
  <c r="O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O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C107" i="3"/>
  <c r="D107" i="3"/>
  <c r="E107" i="3"/>
  <c r="F107" i="3"/>
  <c r="G107" i="3"/>
  <c r="H107" i="3"/>
  <c r="I107" i="3"/>
  <c r="J107" i="3"/>
  <c r="K107" i="3"/>
  <c r="L107" i="3"/>
  <c r="M107" i="3"/>
  <c r="N107" i="3"/>
</calcChain>
</file>

<file path=xl/sharedStrings.xml><?xml version="1.0" encoding="utf-8"?>
<sst xmlns="http://schemas.openxmlformats.org/spreadsheetml/2006/main" count="2206" uniqueCount="1083">
  <si>
    <t xml:space="preserve">         CURRENT vs. RESTATED PLAN O&amp;M VARIANCE</t>
  </si>
  <si>
    <t>Bad Debt Expense / TIS Adjustments for Jan. &amp; Feb.</t>
  </si>
  <si>
    <t>ACT.</t>
  </si>
  <si>
    <t>Speculative Income / (Loss)</t>
  </si>
  <si>
    <t xml:space="preserve">   Fix Assessments / Depreciation</t>
  </si>
  <si>
    <t xml:space="preserve">   Commercial (Formerly Mrkt., Bus.Srv., Reg.Affairs, Com.Group) 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</si>
  <si>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</si>
  <si>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</si>
  <si>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</si>
  <si>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</si>
  <si>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</si>
  <si>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</si>
  <si>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</si>
  <si>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</si>
  <si>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</si>
  <si>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Information Technology</t>
  </si>
  <si>
    <t xml:space="preserve">      Legal</t>
  </si>
  <si>
    <t xml:space="preserve">      HR / Communications</t>
  </si>
  <si>
    <t xml:space="preserve">      Executive</t>
  </si>
  <si>
    <t xml:space="preserve">         Other (Variable Pay Only)</t>
  </si>
  <si>
    <t xml:space="preserve">        - Negotiated Rates</t>
  </si>
  <si>
    <t xml:space="preserve">        - SoCal Rate Adjustment</t>
  </si>
  <si>
    <t>* UAF Gain Reserve (1/01 - 3/01)</t>
  </si>
  <si>
    <t xml:space="preserve">   Management Overview ("Stretch" Adjustment)</t>
  </si>
  <si>
    <t xml:space="preserve">   Long Term Debt - Third Party</t>
  </si>
  <si>
    <t xml:space="preserve">   Intercompany Interest - Debt (Internal) Expense </t>
  </si>
  <si>
    <t xml:space="preserve">          - Debt Expense Amortization</t>
  </si>
  <si>
    <t xml:space="preserve">          - Short Term (Income)</t>
  </si>
  <si>
    <t xml:space="preserve">   Interest on Long Term Debt (Pre 1/1/98 - Third Party)</t>
  </si>
  <si>
    <t xml:space="preserve">   Interest on Long Term Debt (Post 1/1/98 - Internal)</t>
  </si>
  <si>
    <t xml:space="preserve">NET INCOME </t>
  </si>
  <si>
    <t xml:space="preserve">INTEREST AND OTHER </t>
  </si>
  <si>
    <t xml:space="preserve">     Total Interest and Other</t>
  </si>
  <si>
    <t xml:space="preserve">   Imbalance Gain - NGPL</t>
  </si>
  <si>
    <t xml:space="preserve">      Current Month - RESERVE (INPUT)</t>
  </si>
  <si>
    <t xml:space="preserve">   Net Income Adjustment (To Tie Annual Back to 1st CE)</t>
  </si>
  <si>
    <t xml:space="preserve">      Item 1 </t>
  </si>
  <si>
    <t xml:space="preserve">         FI/CO Reconciliation Adjustment</t>
  </si>
  <si>
    <t>PRINT:</t>
  </si>
  <si>
    <t>Income Statement</t>
  </si>
  <si>
    <t>Quarters</t>
  </si>
  <si>
    <t>Line Item Mapping</t>
  </si>
  <si>
    <t>Commercial</t>
  </si>
  <si>
    <t xml:space="preserve">   Margins</t>
  </si>
  <si>
    <t>Sales</t>
  </si>
  <si>
    <t xml:space="preserve">              - Item 2</t>
  </si>
  <si>
    <t>Cost of Sales</t>
  </si>
  <si>
    <t xml:space="preserve">      Transport Demand (Cash) - Existent Contracts </t>
  </si>
  <si>
    <t>Transport Rev.</t>
  </si>
  <si>
    <t xml:space="preserve">         - New Structured Products</t>
  </si>
  <si>
    <t xml:space="preserve">         - Discretionary Capital Pool</t>
  </si>
  <si>
    <t xml:space="preserve">      Transport Commodity (Cash) - Existent Contracts 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</si>
  <si>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</si>
  <si>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</si>
  <si>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</si>
  <si>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PPA's / Writeoffs / Other</t>
  </si>
  <si>
    <t xml:space="preserve">         - Misc. Item 1</t>
  </si>
  <si>
    <t xml:space="preserve">         - Misc. Item 2</t>
  </si>
  <si>
    <t xml:space="preserve">      Fuel / UAF - Fuel (Margin)</t>
  </si>
  <si>
    <t>Fuel</t>
  </si>
  <si>
    <t xml:space="preserve">         - Other Fuel (Margin) </t>
  </si>
  <si>
    <t xml:space="preserve">         Ad Valorem / Franchise Tax Payments</t>
  </si>
  <si>
    <t>TC&amp;S</t>
  </si>
  <si>
    <t>Other Rev.</t>
  </si>
  <si>
    <t xml:space="preserve">         - Hedge Activity (Intercompany)</t>
  </si>
  <si>
    <t xml:space="preserve">         - Hedge Activity (Third Party)</t>
  </si>
  <si>
    <t xml:space="preserve">         - Miscellaneous</t>
  </si>
  <si>
    <t xml:space="preserve">         - Misc. Item 3</t>
  </si>
  <si>
    <t xml:space="preserve">      Other Revenue (Non Cash) - Unidentified Products  </t>
  </si>
  <si>
    <t xml:space="preserve">         - Non-recurring Unidentified Products</t>
  </si>
  <si>
    <t xml:space="preserve">         - Reserve Activity (Misc. Item 1)</t>
  </si>
  <si>
    <t xml:space="preserve">      Other Income - Speculative Income / (Loss)</t>
  </si>
  <si>
    <t>Other Income</t>
  </si>
  <si>
    <t xml:space="preserve">         - Swap 2</t>
  </si>
  <si>
    <t xml:space="preserve">   Total Margins</t>
  </si>
  <si>
    <t xml:space="preserve">   Expenses</t>
  </si>
  <si>
    <t xml:space="preserve">      GRI Amortization - Demand</t>
  </si>
  <si>
    <t>Reg. Amort.</t>
  </si>
  <si>
    <t xml:space="preserve">         - Commodity</t>
  </si>
  <si>
    <t xml:space="preserve">      ACA Amortization</t>
  </si>
  <si>
    <t xml:space="preserve">      Reg. Commission Expense</t>
  </si>
  <si>
    <t xml:space="preserve">      Reg. Affairs - Writeoffs</t>
  </si>
  <si>
    <t xml:space="preserve">         Total Regulatory Amortization</t>
  </si>
  <si>
    <t xml:space="preserve">      O&amp;M - Direct (Gross)</t>
  </si>
  <si>
    <t>O&amp;M</t>
  </si>
  <si>
    <t xml:space="preserve">         - Capitalization</t>
  </si>
  <si>
    <t xml:space="preserve">         - Direct (Net Commercial)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</si>
  <si>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</si>
  <si>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</si>
  <si>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</si>
  <si>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</si>
  <si>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Total Direct O&amp;M</t>
  </si>
  <si>
    <t>DD&amp;A</t>
  </si>
  <si>
    <t xml:space="preserve">         - Other UAF (Expense)</t>
  </si>
  <si>
    <t xml:space="preserve">      Payroll Taxes</t>
  </si>
  <si>
    <t>Other Taxes</t>
  </si>
  <si>
    <t xml:space="preserve">   Total Expenses</t>
  </si>
  <si>
    <t xml:space="preserve">   Non-Recurring Elements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</si>
  <si>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</si>
  <si>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</si>
  <si>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</si>
  <si>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</si>
  <si>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</si>
  <si>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Settlement Activity - Item 1</t>
  </si>
  <si>
    <t>Other Deductions</t>
  </si>
  <si>
    <t xml:space="preserve">              - Item 3</t>
  </si>
  <si>
    <t xml:space="preserve">   Total Non Recurring</t>
  </si>
  <si>
    <t xml:space="preserve">   Other Income</t>
  </si>
  <si>
    <t xml:space="preserve">         - Direct (Net Market Services)</t>
  </si>
  <si>
    <t xml:space="preserve">      Other O&amp;M - Omaha Rent</t>
  </si>
  <si>
    <t xml:space="preserve">         - ETS Support (Communications)</t>
  </si>
  <si>
    <t>Operations</t>
  </si>
  <si>
    <t xml:space="preserve">   Other Income - Physical Inventory Adjustment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</si>
  <si>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</si>
  <si>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</si>
  <si>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</si>
  <si>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</si>
  <si>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</si>
  <si>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</si>
  <si>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</si>
  <si>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</si>
  <si>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</si>
  <si>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   Reserve Activity - Misc. Item 1</t>
  </si>
  <si>
    <t>Net Contribution Operations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</si>
  <si>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</si>
  <si>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</si>
  <si>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</si>
  <si>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Executive</t>
  </si>
  <si>
    <t xml:space="preserve">         - Direct Support</t>
  </si>
  <si>
    <t xml:space="preserve">         - Capitalization (ETS Support)</t>
  </si>
  <si>
    <t>Prelim.</t>
  </si>
  <si>
    <t>C.E. '01</t>
  </si>
  <si>
    <t>3rd CE</t>
  </si>
  <si>
    <t xml:space="preserve">         - Company Bonus</t>
  </si>
  <si>
    <t xml:space="preserve">         - Capitalization (Bonus)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</si>
  <si>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</si>
  <si>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</si>
  <si>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</si>
  <si>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</si>
  <si>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O&amp;M Corporate - Allocated (MMF)</t>
  </si>
  <si>
    <t xml:space="preserve">         - Direct</t>
  </si>
  <si>
    <t xml:space="preserve">         - EP&amp;S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</si>
  <si>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</si>
  <si>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</si>
  <si>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</si>
  <si>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</si>
  <si>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</si>
  <si>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</si>
  <si>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Misc. Amortization Item 1</t>
  </si>
  <si>
    <t xml:space="preserve">         - Negotiated Rates</t>
  </si>
  <si>
    <t xml:space="preserve">         - SoCal Rate Adjustment</t>
  </si>
  <si>
    <t xml:space="preserve">      Other (Non-Cash) - Santa Fe Amortization</t>
  </si>
  <si>
    <t xml:space="preserve">         - Hedging</t>
  </si>
  <si>
    <t xml:space="preserve">   SoCal Rate Adjustment (For Prior 12 Months)</t>
  </si>
  <si>
    <t xml:space="preserve">         - SoCal Rate Adjustment (For Prior 12 Months)</t>
  </si>
  <si>
    <t xml:space="preserve">         - Reserve Activity (Misc. Item 2)</t>
  </si>
  <si>
    <t xml:space="preserve">         - Gallup Contract Prepayment Amortization</t>
  </si>
  <si>
    <t xml:space="preserve">         - Imbalance Gain (NGPL)</t>
  </si>
  <si>
    <t xml:space="preserve">   Unidentified Products</t>
  </si>
  <si>
    <t xml:space="preserve">   Non-recurring Unidentified Products</t>
  </si>
  <si>
    <t xml:space="preserve">      TW Reg. Assets Amortization - Sunrise</t>
  </si>
  <si>
    <t xml:space="preserve">         - Other A/R Uncollectibles</t>
  </si>
  <si>
    <t xml:space="preserve">         - FERC Audit Adjustment</t>
  </si>
  <si>
    <t xml:space="preserve">         - TCR C</t>
  </si>
  <si>
    <t xml:space="preserve">         - PGAR</t>
  </si>
  <si>
    <t xml:space="preserve">         - Monsanto</t>
  </si>
  <si>
    <t xml:space="preserve">         - JJCC</t>
  </si>
  <si>
    <t xml:space="preserve">         - Extraordinary Enviromental Costs</t>
  </si>
  <si>
    <t xml:space="preserve">         - TCR (Yates) Prefiling Interest</t>
  </si>
  <si>
    <t xml:space="preserve">         - Severance and Relocation</t>
  </si>
  <si>
    <t xml:space="preserve">      Fuel / UAF - UAF Used (Expense)</t>
  </si>
  <si>
    <t xml:space="preserve">         - UAF Measurement Adjustment (Expense)</t>
  </si>
  <si>
    <t xml:space="preserve">         - UAF Imbalance Adjustment (Expense) </t>
  </si>
  <si>
    <t xml:space="preserve">Net Contribution Commercial </t>
  </si>
  <si>
    <t>Finance, Accounting &amp; Administration</t>
  </si>
  <si>
    <t xml:space="preserve">   Other Revenue </t>
  </si>
  <si>
    <t xml:space="preserve">         - Fair Value Adjustment (TW General Acct.)</t>
  </si>
  <si>
    <t xml:space="preserve">         - Gross Receipts (Navajo &amp; Laguna)</t>
  </si>
  <si>
    <t xml:space="preserve">         - Carrying Charges (Misc. Item 3)</t>
  </si>
  <si>
    <t xml:space="preserve">      Fixed Assessments / Depreciation</t>
  </si>
  <si>
    <t xml:space="preserve">      Other Non-Utility</t>
  </si>
  <si>
    <t xml:space="preserve">Net Contribution FA&amp;A </t>
  </si>
  <si>
    <t xml:space="preserve">   DD&amp;A Expense</t>
  </si>
  <si>
    <t xml:space="preserve">            Total TW IBIT</t>
  </si>
  <si>
    <t>TRANSWESTERN PIPELINE COMPANY</t>
  </si>
  <si>
    <t xml:space="preserve">         - Misc. Amortization Item 2</t>
  </si>
  <si>
    <t xml:space="preserve">      Total DD&amp;A</t>
  </si>
  <si>
    <t xml:space="preserve">      Other Taxes - Ad Valorem</t>
  </si>
  <si>
    <t xml:space="preserve">         - FI/CO Reconciliation of Payroll Taxes</t>
  </si>
  <si>
    <t xml:space="preserve">         - Payroll Taxes</t>
  </si>
  <si>
    <t xml:space="preserve">      Total Other Taxes</t>
  </si>
  <si>
    <t>Interest Income</t>
  </si>
  <si>
    <t xml:space="preserve">         - Carrying Charges (Misc. Item 1)</t>
  </si>
  <si>
    <t xml:space="preserve">         - Carrying Charges (Misc. Item 2)</t>
  </si>
  <si>
    <t xml:space="preserve">      Reacquired Debt  - Loss Amortization</t>
  </si>
  <si>
    <t xml:space="preserve">         - (Gain) Amortization</t>
  </si>
  <si>
    <t xml:space="preserve">      Other Income - CIAC</t>
  </si>
  <si>
    <t xml:space="preserve">         - AFUDC Equity (Grossup)</t>
  </si>
  <si>
    <t xml:space="preserve">         - AFUDC Equity (Grossup Amortization)</t>
  </si>
  <si>
    <t xml:space="preserve">         - Target Adjustment (Maintain IBIT / N.I. Purposes)</t>
  </si>
  <si>
    <t xml:space="preserve">      Total Expenses</t>
  </si>
  <si>
    <t>Information Technology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</si>
  <si>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</si>
  <si>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</si>
  <si>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</si>
  <si>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</si>
  <si>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</si>
  <si>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</si>
  <si>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</si>
  <si>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>Net Contribution IT</t>
  </si>
  <si>
    <t>Legal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</si>
  <si>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</si>
  <si>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</si>
  <si>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</si>
  <si>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>Human Resources</t>
  </si>
  <si>
    <t xml:space="preserve">      O&amp;M - ETS Support (Gross)</t>
  </si>
  <si>
    <t xml:space="preserve">         - Other Expenses (G&amp;A)</t>
  </si>
  <si>
    <t>Executive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</si>
  <si>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</si>
  <si>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</si>
  <si>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</si>
  <si>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</si>
  <si>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</si>
  <si>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</si>
  <si>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>Total Net Contribution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</si>
  <si>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</si>
  <si>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</si>
  <si>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</si>
  <si>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</si>
  <si>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</si>
  <si>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</si>
  <si>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</si>
  <si>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</si>
  <si>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Income Before Interest and Taxes </t>
  </si>
  <si>
    <t xml:space="preserve">   Interest Expense - Carrying Charges (Rev. Auction 1)</t>
  </si>
  <si>
    <t>Direct Interest</t>
  </si>
  <si>
    <t xml:space="preserve">         - Carrying Charges (Rev. Auction 2)</t>
  </si>
  <si>
    <t xml:space="preserve">         - Carrying Charges (Rev. Auction 3)</t>
  </si>
  <si>
    <t xml:space="preserve">         - Carrying Charges (Rate Case)</t>
  </si>
  <si>
    <t xml:space="preserve">         - AFUDC Debt</t>
  </si>
  <si>
    <t xml:space="preserve">         - Receivable Sale Fees</t>
  </si>
  <si>
    <t xml:space="preserve">   ETS Intercompany Interest Expense / (Income)</t>
  </si>
  <si>
    <t>Interco. Interest</t>
  </si>
  <si>
    <t xml:space="preserve">   Long Term Debt (Pre 1/1/98) - Interest Expense</t>
  </si>
  <si>
    <t xml:space="preserve">         - Debt Discount Amortization</t>
  </si>
  <si>
    <t xml:space="preserve">   Long Term Debt (Post 1/1/98) - Interest Expense</t>
  </si>
  <si>
    <t>Pretax Income</t>
  </si>
  <si>
    <t xml:space="preserve">   Payable Currently  </t>
  </si>
  <si>
    <t xml:space="preserve">Payable Currently </t>
  </si>
  <si>
    <t xml:space="preserve">   Deferred  </t>
  </si>
  <si>
    <t xml:space="preserve">Deferred  </t>
  </si>
  <si>
    <t xml:space="preserve">      Total Income Taxes  </t>
  </si>
  <si>
    <t>Income Taxes</t>
  </si>
  <si>
    <t>Financing   (CAN BE REMOVED)</t>
  </si>
  <si>
    <t>Financing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</si>
  <si>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</si>
  <si>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</si>
  <si>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</si>
  <si>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</si>
  <si>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</si>
  <si>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</si>
  <si>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</si>
  <si>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</si>
  <si>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DD&amp;A Expense</t>
  </si>
  <si>
    <t xml:space="preserve">      Taxes Other Than Income (Payroll Taxes)</t>
  </si>
  <si>
    <t xml:space="preserve">      Other Income / (Deductions) - Asset Sales</t>
  </si>
  <si>
    <t xml:space="preserve">         - Speculative Income</t>
  </si>
  <si>
    <t xml:space="preserve">         Net Commercial Contribution</t>
  </si>
  <si>
    <t xml:space="preserve">      Other Income / (Deductions) 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</si>
  <si>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</si>
  <si>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</si>
  <si>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</si>
  <si>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</si>
  <si>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</si>
  <si>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Total Cash Receipts</t>
  </si>
  <si>
    <t xml:space="preserve">      Cash Disbursements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</si>
  <si>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</si>
  <si>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</si>
  <si>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</si>
  <si>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   Miscellaneous</t>
  </si>
  <si>
    <t xml:space="preserve">      Total Cash Disbursements</t>
  </si>
  <si>
    <t xml:space="preserve">         Net Commercial Increase / (Decrease)</t>
  </si>
  <si>
    <t xml:space="preserve">      Cash Disbursements - Capital Expenditures</t>
  </si>
  <si>
    <t xml:space="preserve">      Cash Receipts - Capex Reimbursements</t>
  </si>
  <si>
    <t xml:space="preserve">         Net Operations Increase / (Decrease)</t>
  </si>
  <si>
    <t xml:space="preserve">   Finance, Accounting &amp; Administration</t>
  </si>
  <si>
    <t xml:space="preserve">         Net FA&amp;A Increase / (Decrease)</t>
  </si>
  <si>
    <t xml:space="preserve">         Net IT Increase / (Decrease)</t>
  </si>
  <si>
    <t xml:space="preserve">   Legal, Human Resources and Executive</t>
  </si>
  <si>
    <t xml:space="preserve">         Net Legal, HR and Executive Increase / (Decrease)</t>
  </si>
  <si>
    <t xml:space="preserve">   * Note *  Total Capital Expenditures</t>
  </si>
  <si>
    <t xml:space="preserve">         Asset Sales Gross Proceeds - Other 1</t>
  </si>
  <si>
    <t xml:space="preserve">            - Other 2</t>
  </si>
  <si>
    <t xml:space="preserve">            - Other 3</t>
  </si>
  <si>
    <t xml:space="preserve">         Fuel / Linepack Sales</t>
  </si>
  <si>
    <t xml:space="preserve">         Linepack Purchases</t>
  </si>
  <si>
    <t xml:space="preserve">         ENA Swap Activity</t>
  </si>
  <si>
    <t xml:space="preserve">   Operations</t>
  </si>
  <si>
    <t xml:space="preserve">      Other Income / (Deductions) - Physical Inventory Adj.</t>
  </si>
  <si>
    <t xml:space="preserve">         Net Operations Contribution</t>
  </si>
  <si>
    <t xml:space="preserve">   Finance Accounting &amp; Administration</t>
  </si>
  <si>
    <t xml:space="preserve">      Taxes Other Than Income - Ad Valorem</t>
  </si>
  <si>
    <t xml:space="preserve">         - Franchise / Other Misc.</t>
  </si>
  <si>
    <t xml:space="preserve">         Net FA&amp;A Contribution</t>
  </si>
  <si>
    <t xml:space="preserve">   Information Technology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</si>
  <si>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</si>
  <si>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</si>
  <si>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</si>
  <si>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Executive</t>
  </si>
  <si>
    <t xml:space="preserve">         Net Executive Contribution</t>
  </si>
  <si>
    <t>IBIT Check # (BETTER BE ZERO)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</si>
  <si>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</si>
  <si>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</si>
  <si>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</si>
  <si>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</si>
  <si>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</si>
  <si>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</si>
  <si>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</si>
  <si>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</si>
  <si>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</si>
  <si>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</si>
  <si>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</si>
  <si>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</si>
  <si>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</si>
  <si>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</si>
  <si>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</si>
  <si>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</si>
  <si>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</si>
  <si>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Intercompany Interest Expense / (Income)</t>
  </si>
  <si>
    <t xml:space="preserve">   AFUDC</t>
  </si>
  <si>
    <t>INCOME BEFORE INTEREST &amp; TAXES</t>
  </si>
  <si>
    <t>INCOME BEFORE INCOME TAXES</t>
  </si>
  <si>
    <t xml:space="preserve">     Total Income Taxes</t>
  </si>
  <si>
    <t>PRINT: REPORT.2</t>
  </si>
  <si>
    <t>PRINT: REPORT6</t>
  </si>
  <si>
    <t>PRINT: REPORT.4</t>
  </si>
  <si>
    <t xml:space="preserve">INCOME TAXES </t>
  </si>
  <si>
    <t>CUMMULATIVE INCOME TAXES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</si>
  <si>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</si>
  <si>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</si>
  <si>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</si>
  <si>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</si>
  <si>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</si>
  <si>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</si>
  <si>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</t>
  </si>
  <si>
    <t xml:space="preserve">    Sub's Taxes</t>
  </si>
  <si>
    <t xml:space="preserve">    Co. 92 FVA Composite Tax Rate Adjust. (35% vs. 38.88%)</t>
  </si>
  <si>
    <t xml:space="preserve">    State Income Tax / Excess Def. Tax Reversal</t>
  </si>
  <si>
    <t xml:space="preserve">    Admin. Services / Rounding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</si>
  <si>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</si>
  <si>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</si>
  <si>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</si>
  <si>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</si>
  <si>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Business Expenses</t>
  </si>
  <si>
    <t xml:space="preserve">    Foreign Tax / Civic &amp; Political</t>
  </si>
  <si>
    <t xml:space="preserve">    IBIT of All Subs</t>
  </si>
  <si>
    <t xml:space="preserve">      Total Income Tax Adjustment</t>
  </si>
  <si>
    <t>PRINT: PAGE2</t>
  </si>
  <si>
    <t>PRINT: PAGE3</t>
  </si>
  <si>
    <t>DEFERRED TAX ITEMS</t>
  </si>
  <si>
    <t>ACTUAL  Y-T-D</t>
  </si>
  <si>
    <t>CURRENT</t>
  </si>
  <si>
    <t>EVENT</t>
  </si>
  <si>
    <t>MONTH</t>
  </si>
  <si>
    <t>REVISED</t>
  </si>
  <si>
    <t xml:space="preserve">            VARIANCE</t>
  </si>
  <si>
    <t>Revised</t>
  </si>
  <si>
    <t xml:space="preserve"> C/NC</t>
  </si>
  <si>
    <t xml:space="preserve"> (Increase) / Decrease to Current Taxable Income</t>
  </si>
  <si>
    <t>CODE</t>
  </si>
  <si>
    <t>ACTUAL</t>
  </si>
  <si>
    <t>PLAN</t>
  </si>
  <si>
    <t>VARIANCE</t>
  </si>
  <si>
    <t>Plan</t>
  </si>
  <si>
    <t>C.E.</t>
  </si>
  <si>
    <t>Actual</t>
  </si>
  <si>
    <t>Forecast</t>
  </si>
  <si>
    <t>3rd C.E.</t>
  </si>
  <si>
    <t>C</t>
  </si>
  <si>
    <t>??????</t>
  </si>
  <si>
    <t>Other PGA -Demand</t>
  </si>
  <si>
    <t>NC</t>
  </si>
  <si>
    <t>2002 OPERATING PLAN</t>
  </si>
  <si>
    <t xml:space="preserve">      Asset Sales - Other 1</t>
  </si>
  <si>
    <t xml:space="preserve">              - Other 2</t>
  </si>
  <si>
    <t xml:space="preserve">   Asset Sale - Other 1</t>
  </si>
  <si>
    <t xml:space="preserve">        - Other 2</t>
  </si>
  <si>
    <t>Review</t>
  </si>
  <si>
    <r>
      <t xml:space="preserve">      2002 GRI Rate   </t>
    </r>
    <r>
      <rPr>
        <sz val="10"/>
        <color indexed="10"/>
        <rFont val="Arial"/>
        <family val="2"/>
      </rPr>
      <t>(INPUT)</t>
    </r>
  </si>
  <si>
    <t xml:space="preserve">      Hedge Transferred to Sales / Misc.</t>
  </si>
  <si>
    <t xml:space="preserve">   UAF Measurement Adjustment </t>
  </si>
  <si>
    <t>2/02</t>
  </si>
  <si>
    <t>1/02</t>
  </si>
  <si>
    <t>2001 Tax Return Adjustment - Federal (Oct.) &amp; State (Nov.)</t>
  </si>
  <si>
    <t>Depreciation / Amort.- Book &amp; AFUDC (W/O Fair Value Adjust.)</t>
  </si>
  <si>
    <t>L</t>
  </si>
  <si>
    <t xml:space="preserve">                                   - Tax</t>
  </si>
  <si>
    <t xml:space="preserve">                                   - AFUDC</t>
  </si>
  <si>
    <t>Cost of Asset Removal</t>
  </si>
  <si>
    <t>Salvage Costs</t>
  </si>
  <si>
    <t>Capitalized Interest</t>
  </si>
  <si>
    <t>CIAC - Utility</t>
  </si>
  <si>
    <t>Gas Used for Linepack</t>
  </si>
  <si>
    <t>AFUDC Gross-Up</t>
  </si>
  <si>
    <t>114019</t>
  </si>
  <si>
    <t>Amortization of Linepack</t>
  </si>
  <si>
    <t>115001</t>
  </si>
  <si>
    <t>AFUDC Amortization</t>
  </si>
  <si>
    <t>115019</t>
  </si>
  <si>
    <t>TCR Amortization</t>
  </si>
  <si>
    <t xml:space="preserve">Advance Payments </t>
  </si>
  <si>
    <t xml:space="preserve">One Time Pmts for Producers </t>
  </si>
  <si>
    <t>TCR 2 Amortization</t>
  </si>
  <si>
    <t>Transportation Discounts (Santa Fe)</t>
  </si>
  <si>
    <t>FERC Annual Charge (ACA Amortization)</t>
  </si>
  <si>
    <t xml:space="preserve">   ACA Annual Payment</t>
  </si>
  <si>
    <t>"</t>
  </si>
  <si>
    <t>FEB.</t>
  </si>
  <si>
    <t xml:space="preserve">   Total Payroll Taxes</t>
  </si>
  <si>
    <t xml:space="preserve">PGA Demand (Pre Mini Settlement Amortization &amp; Interest) </t>
  </si>
  <si>
    <t>South Georgia Adjustment (Net)</t>
  </si>
  <si>
    <t>FERC Audit Reserve</t>
  </si>
  <si>
    <t xml:space="preserve">Deferred Regulatory Expenditures </t>
  </si>
  <si>
    <t>144007</t>
  </si>
  <si>
    <t>Transport Rate Case Reserve</t>
  </si>
  <si>
    <t>144008</t>
  </si>
  <si>
    <t>Other Regulatory Reserve Issues</t>
  </si>
  <si>
    <t>144009</t>
  </si>
  <si>
    <t>Amortizable Rate Case Cost (Reg. Commission Expense)</t>
  </si>
  <si>
    <t>Mini Settlement Items - Sunrise</t>
  </si>
  <si>
    <t xml:space="preserve">                        - Other A/R Uncollectibles</t>
  </si>
  <si>
    <t xml:space="preserve">                        - AFUDC &amp; Linepack</t>
  </si>
  <si>
    <t xml:space="preserve">                        - TCR C</t>
  </si>
  <si>
    <t xml:space="preserve">                        - PGAR</t>
  </si>
  <si>
    <t xml:space="preserve">                        - Monsanto</t>
  </si>
  <si>
    <t xml:space="preserve">                        - JJCC</t>
  </si>
  <si>
    <t xml:space="preserve">                        - Extraordinary Environmental Costs</t>
  </si>
  <si>
    <t>144049</t>
  </si>
  <si>
    <t>Interest Income-Prod. Pmt. (TCR Prefiling Interest)</t>
  </si>
  <si>
    <t>Severance Benefit Deductions</t>
  </si>
  <si>
    <t>Insurance Reserve</t>
  </si>
  <si>
    <t>PCB Cleanup Costs</t>
  </si>
  <si>
    <t>Pipe Recoat Costs</t>
  </si>
  <si>
    <t>Monsanto Litigation</t>
  </si>
  <si>
    <t>Operation Information Costs</t>
  </si>
  <si>
    <t xml:space="preserve">Other </t>
  </si>
  <si>
    <t xml:space="preserve">    Total - Current</t>
  </si>
  <si>
    <t xml:space="preserve">            - Noncurrent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</si>
  <si>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</si>
  <si>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</si>
  <si>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</si>
  <si>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</si>
  <si>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</si>
  <si>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Miscellaneous / Rounding</t>
  </si>
  <si>
    <t>FAS 96 Present Value Adjustment</t>
  </si>
  <si>
    <t>Company 92 (Fair Value Adjustment)</t>
  </si>
  <si>
    <t>Cash Flow Link</t>
  </si>
  <si>
    <t xml:space="preserve">State Tax Rate Change </t>
  </si>
  <si>
    <t xml:space="preserve">Excess Deferred Taxes Adjustment </t>
  </si>
  <si>
    <t>Indirect CF Adj.</t>
  </si>
  <si>
    <t>Hyperion Entry / Reversal</t>
  </si>
  <si>
    <t xml:space="preserve">      TOTAL DEFERRED TAXES</t>
  </si>
  <si>
    <t xml:space="preserve">      TOTAL DEFERRED - CURRENT</t>
  </si>
  <si>
    <t xml:space="preserve">                                    -  NON-CURRENT</t>
  </si>
  <si>
    <t>LINKED INFORMATION (*)</t>
  </si>
  <si>
    <t xml:space="preserve">  Regulatory Amortization Mini Settlement Data (Reg. Amort. Files Only)</t>
  </si>
  <si>
    <t>* Sunrise Amortization / No Carrying Charges</t>
  </si>
  <si>
    <t xml:space="preserve">   Actual / Estimate Adjustment (9/96 Deduct - 75% of $9,442) - 8/98 Settle. Adj.</t>
  </si>
  <si>
    <t xml:space="preserve">     Total Sunrise</t>
  </si>
  <si>
    <t>* Other A/R Uncollectibles / No Carrying Charges</t>
  </si>
  <si>
    <t xml:space="preserve">   Actual / Estimate Adjustment (9/96 Taxable Income Deduct - $3,870)</t>
  </si>
  <si>
    <t xml:space="preserve">     Total Other A/R Uncollectibles</t>
  </si>
  <si>
    <t>* AFUDC &amp; Linepack / No Carrying Charges</t>
  </si>
  <si>
    <t xml:space="preserve">   Actual / Estimate Adjustment (9/96 Taxable Income Deduct - $1,300)</t>
  </si>
  <si>
    <t xml:space="preserve">     Total AFUDC &amp; Linepack</t>
  </si>
  <si>
    <t>* TCR C / No Carrying Charges</t>
  </si>
  <si>
    <t xml:space="preserve">   Actual / Estimate Adjustment (9/96 Taxable Income Deduct - $3,300)</t>
  </si>
  <si>
    <t xml:space="preserve">     Total TCR C</t>
  </si>
  <si>
    <t>* PGAR / No Carrying Charges</t>
  </si>
  <si>
    <t xml:space="preserve">   Actual / Est. Adjust. (9/96 Taxable Income Deduct - $3,009 &amp; 10/96 Refund)</t>
  </si>
  <si>
    <t xml:space="preserve">     Total PGAR</t>
  </si>
  <si>
    <t>* Monsanto / No Carrying Charges</t>
  </si>
  <si>
    <t xml:space="preserve">   Actual / Estimate Adjustment (9/96 Taxable Income Deduct - $6,300)</t>
  </si>
  <si>
    <t xml:space="preserve">     Total Monsanto</t>
  </si>
  <si>
    <t>* JJCC / No Carrying Charges</t>
  </si>
  <si>
    <t xml:space="preserve">   Actual / Estimate Adjustment (9/96 Taxable Income Deduct - $1,400)</t>
  </si>
  <si>
    <t xml:space="preserve">     Total JJCC</t>
  </si>
  <si>
    <t>* Extraordinary Environmental Costs / No Carrying Charges</t>
  </si>
  <si>
    <t xml:space="preserve">     Total Extraordinary Environmental Costs</t>
  </si>
  <si>
    <t xml:space="preserve">  Reserve Issues</t>
  </si>
  <si>
    <t xml:space="preserve">* Transport - Rate Case Issues Only </t>
  </si>
  <si>
    <t>NOT LINKED</t>
  </si>
  <si>
    <t>* Transport - Non-Rate Case Items</t>
  </si>
  <si>
    <t>* Other Deductions - Other</t>
  </si>
  <si>
    <t xml:space="preserve">  Other Regulatory Amortization / O&amp;M Items / DD&amp;A Items</t>
  </si>
  <si>
    <t>* Regulatory Commission Expense</t>
  </si>
  <si>
    <t>* ACA Amortization</t>
  </si>
  <si>
    <t>* South Georgia Adjustment</t>
  </si>
  <si>
    <t>* TCR (Yates) Prefiling Interest</t>
  </si>
  <si>
    <t>* Severance &amp; Relocation</t>
  </si>
  <si>
    <t>* O. I. Amortization (O&amp;M Item)</t>
  </si>
  <si>
    <t>* Environmental Reserve Reversal (O&amp;M Item)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</si>
  <si>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</si>
  <si>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</si>
  <si>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</si>
  <si>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</si>
  <si>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</si>
  <si>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</si>
  <si>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</si>
  <si>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</si>
  <si>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</si>
  <si>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</si>
  <si>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</si>
  <si>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</si>
  <si>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Trans</t>
  </si>
  <si>
    <t>Rate Case Impact (Higher Rates)</t>
  </si>
  <si>
    <t>Not Linked</t>
  </si>
  <si>
    <t>Total Gas Sales Revenue (w/o Adjust.) Assumed Fuel</t>
  </si>
  <si>
    <t xml:space="preserve">    "   Transport        "           "         "</t>
  </si>
  <si>
    <t xml:space="preserve">    "   ET&amp;S Stretch  "           "         "</t>
  </si>
  <si>
    <t>Not Used</t>
  </si>
  <si>
    <t>RegAmort</t>
  </si>
  <si>
    <t>Mini Settlement - Sunrise</t>
  </si>
  <si>
    <t xml:space="preserve">            - Other A/R Uncollectibles</t>
  </si>
  <si>
    <t xml:space="preserve">            - AFUDC / Linepack</t>
  </si>
  <si>
    <t>Book Gain / (Loss) on Asset Sales</t>
  </si>
  <si>
    <t>151001</t>
  </si>
  <si>
    <t>151002</t>
  </si>
  <si>
    <t xml:space="preserve">            - TCR C</t>
  </si>
  <si>
    <t xml:space="preserve">            - PGAR</t>
  </si>
  <si>
    <t xml:space="preserve">            - Monsanto</t>
  </si>
  <si>
    <t xml:space="preserve">            - JJCC</t>
  </si>
  <si>
    <t xml:space="preserve">            - Extraordinary Environmental</t>
  </si>
  <si>
    <t>Regulatory Commission Expense</t>
  </si>
  <si>
    <t>ACA  - Amortization</t>
  </si>
  <si>
    <t>DefTax</t>
  </si>
  <si>
    <t>* TCR Amortization (Misc. Settlements)</t>
  </si>
  <si>
    <t>Other Revenue Reserves ( )</t>
  </si>
  <si>
    <t>Abandonments ( )</t>
  </si>
  <si>
    <t>December, ????</t>
  </si>
  <si>
    <t xml:space="preserve">   Hedging</t>
  </si>
  <si>
    <t>12/31/99</t>
  </si>
  <si>
    <t xml:space="preserve">   Bloomfield / Bisti Contract Buyout (3/99)</t>
  </si>
  <si>
    <t xml:space="preserve">OTHER REVENUE ($000's)   </t>
  </si>
  <si>
    <t xml:space="preserve">         - Payment</t>
  </si>
  <si>
    <t xml:space="preserve">Amort. Deferred (TCR) Contract Reform. Costs </t>
  </si>
  <si>
    <t xml:space="preserve">      Total Merchant Service Revenue</t>
  </si>
  <si>
    <t>Gas Logistics</t>
  </si>
  <si>
    <t>Net Contribution Gas Logistics</t>
  </si>
  <si>
    <t xml:space="preserve">   Gas Logistics</t>
  </si>
  <si>
    <t xml:space="preserve">         Net Gas Logistics Contribution</t>
  </si>
  <si>
    <t xml:space="preserve">         Net Gas Logistics Increase / (Decrease)</t>
  </si>
  <si>
    <t xml:space="preserve">         - Other Expenses (Pipeline Integrity)</t>
  </si>
  <si>
    <t xml:space="preserve">      Total Liquids Revenue</t>
  </si>
  <si>
    <t>COST OF SALES ($000's)</t>
  </si>
  <si>
    <t xml:space="preserve">      TOTAL COST OF SALES</t>
  </si>
  <si>
    <t xml:space="preserve">   Total Commodity Margin - (Incl. GRI / ACA)</t>
  </si>
  <si>
    <t xml:space="preserve">   Total Demand - Margin (Incl. GRI / ACA) </t>
  </si>
  <si>
    <r>
      <t xml:space="preserve">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</si>
  <si>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Estimated PPA's / Writeoff </t>
  </si>
  <si>
    <t xml:space="preserve">   Other </t>
  </si>
  <si>
    <t xml:space="preserve">   TOTAL TRANSPORTION REVENUE</t>
  </si>
  <si>
    <t>NonCash</t>
  </si>
  <si>
    <t>Total</t>
  </si>
  <si>
    <t xml:space="preserve">South Georgia (FAS 96) Adjustment </t>
  </si>
  <si>
    <t xml:space="preserve">Amort. of Accum Gathering Reserve Adjustment  </t>
  </si>
  <si>
    <t>Pipe Recoating Amortization (Global Settlement)</t>
  </si>
  <si>
    <t>TCR (Yates) Prefiling Interest</t>
  </si>
  <si>
    <t>Severance &amp; Relocation Amortization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</si>
  <si>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</si>
  <si>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</si>
  <si>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</si>
  <si>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</si>
  <si>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</si>
  <si>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OtherInc</t>
  </si>
  <si>
    <t>Total Partnership Income</t>
  </si>
  <si>
    <t>Reserve Issues - Rate Case Only</t>
  </si>
  <si>
    <t>Other Reserve Issues - Other</t>
  </si>
  <si>
    <t>IntDeduct</t>
  </si>
  <si>
    <t>Amortized Loss on Reacquired Debt</t>
  </si>
  <si>
    <t>Amortized (Gain) on Reacquired Debt</t>
  </si>
  <si>
    <t>Payable Currently (w/o Non-Cash Adjustments)</t>
  </si>
  <si>
    <t>Deferred Taxes - Current</t>
  </si>
  <si>
    <t>PRINT: REPORT.7</t>
  </si>
  <si>
    <t>PRINT: REPORT.9</t>
  </si>
  <si>
    <t>PRINT: REPORT.8</t>
  </si>
  <si>
    <t xml:space="preserve">      " TW MONTHLY "</t>
  </si>
  <si>
    <t>PRINT: REPORT.10</t>
  </si>
  <si>
    <t>TRANSWESTERN PIPELINE COMPANY (Co. 60 Only)</t>
  </si>
  <si>
    <t xml:space="preserve">         " TW QUARTERLY "</t>
  </si>
  <si>
    <t>PRINT: REPORT.11</t>
  </si>
  <si>
    <t>PRINT: REPORT.12</t>
  </si>
  <si>
    <t xml:space="preserve">      " TW CUMULATIVE "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</si>
  <si>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</si>
  <si>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</si>
  <si>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</si>
  <si>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</si>
  <si>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 xml:space="preserve">   CONTROL TOTAL</t>
  </si>
  <si>
    <t xml:space="preserve">          - Discount Adjustments</t>
  </si>
  <si>
    <t xml:space="preserve">            </t>
  </si>
  <si>
    <t>TRANSWESTERN FAIR VALUE COMPANY</t>
  </si>
  <si>
    <t xml:space="preserve">      " FAIR VALUE MONTHLY "</t>
  </si>
  <si>
    <t xml:space="preserve">         " FAIR VALUE QUARTERLY "</t>
  </si>
  <si>
    <t xml:space="preserve">      " FAIR VALUE CUMULATIVE "</t>
  </si>
  <si>
    <t xml:space="preserve">      " GROUP CUMULATIVE "</t>
  </si>
  <si>
    <t xml:space="preserve">      " GROUP MONTHLY "</t>
  </si>
  <si>
    <t xml:space="preserve">         " GROUP QUARTERLY "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</si>
  <si>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</si>
  <si>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</si>
  <si>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</si>
  <si>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</si>
  <si>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</si>
  <si>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</si>
  <si>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</si>
  <si>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</si>
  <si>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</si>
  <si>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</si>
  <si>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</si>
  <si>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</si>
  <si>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</si>
  <si>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</si>
  <si>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- Other</t>
  </si>
  <si>
    <t xml:space="preserve">   Hyperion Entry / Reversal</t>
  </si>
  <si>
    <t xml:space="preserve">   Other</t>
  </si>
  <si>
    <t xml:space="preserve">      Other</t>
  </si>
  <si>
    <t xml:space="preserve">   Penalty - Misc.</t>
  </si>
  <si>
    <t xml:space="preserve">   Suspense Gas Adjustment</t>
  </si>
  <si>
    <t>PRINT: PRT.2</t>
  </si>
  <si>
    <t xml:space="preserve">   Santa Fe Amortization</t>
  </si>
  <si>
    <t xml:space="preserve">PRINT: PAGE1 </t>
  </si>
  <si>
    <t>No Link</t>
  </si>
  <si>
    <t xml:space="preserve">      Total Demand Revenue    </t>
  </si>
  <si>
    <t xml:space="preserve">      Total Commodity Revenue    </t>
  </si>
  <si>
    <t>Check #</t>
  </si>
  <si>
    <t>PRINT: PAGE1</t>
  </si>
  <si>
    <t>CF Link</t>
  </si>
  <si>
    <t xml:space="preserve">         TOTAL OTHER REVENUE (NET)</t>
  </si>
  <si>
    <t>FILE: L:\PLAN96\EMODEL.XLS - SBA</t>
  </si>
  <si>
    <t>PRINT: PAGE4</t>
  </si>
  <si>
    <t>143027</t>
  </si>
  <si>
    <t>(Gain) / Loss - Unaccounted for PRA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</si>
  <si>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</si>
  <si>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</si>
  <si>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</si>
  <si>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</si>
  <si>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</si>
  <si>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</si>
  <si>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>Amended 1996-199? Tax Return Adjustments</t>
  </si>
  <si>
    <t>Tax (G) / L on Asset Sales (Pyote ???, KN ???)</t>
  </si>
  <si>
    <t>TOTAL SBA TF DEMAND REVENUE  (NOT LINKED)</t>
  </si>
  <si>
    <t>TOTAL SBA DEMAND EXPENSE  (NOT LINKED)</t>
  </si>
  <si>
    <t xml:space="preserve">   Over / (Under) Recovery- Demand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</si>
  <si>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</si>
  <si>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</si>
  <si>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</si>
  <si>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</si>
  <si>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</si>
  <si>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</si>
  <si>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</si>
  <si>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</si>
  <si>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</si>
  <si>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</si>
  <si>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</si>
  <si>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</si>
  <si>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</si>
  <si>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</si>
  <si>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</si>
  <si>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</si>
  <si>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</si>
  <si>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</si>
  <si>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Operations </t>
  </si>
  <si>
    <t xml:space="preserve">      O.I. Amortization</t>
  </si>
  <si>
    <t xml:space="preserve">      Variable Pay, Annual Incentive and PBA</t>
  </si>
  <si>
    <t xml:space="preserve">   Hyperion Timing / Reversal</t>
  </si>
  <si>
    <t xml:space="preserve">   Hyperion Timing Entry / Reversal</t>
  </si>
  <si>
    <t>ORDER 528 SURCHARGE / DIRECT BILL ($000's)</t>
  </si>
  <si>
    <t>BALANCE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</si>
  <si>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</si>
  <si>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</si>
  <si>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</si>
  <si>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</si>
  <si>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</si>
  <si>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TF Demand Revenue   (NOT LINKED)</t>
  </si>
  <si>
    <t xml:space="preserve">   TOTAL GAS &amp; LIQUIDS SALES REVENUE</t>
  </si>
  <si>
    <t xml:space="preserve">   Other Non-Utility </t>
  </si>
  <si>
    <t>144012</t>
  </si>
  <si>
    <t>Total Order 528 (Tracked) Expense   (INPUT)</t>
  </si>
  <si>
    <t xml:space="preserve">   Over / (Under) Recovery</t>
  </si>
  <si>
    <t xml:space="preserve">      ORDER 528 (TC&amp;S EXPENSE) ADJUSTMENT</t>
  </si>
  <si>
    <t xml:space="preserve">ORDER 528 - BALANCE SHEET </t>
  </si>
  <si>
    <t xml:space="preserve">      Monthly Write-Off   (Input)</t>
  </si>
  <si>
    <t xml:space="preserve">      Final True-Up Adjustment   (CC not booked in April, Correction in May)</t>
  </si>
  <si>
    <t xml:space="preserve">      Current Month Amount</t>
  </si>
  <si>
    <t xml:space="preserve">      Current Month Carrying Charges</t>
  </si>
  <si>
    <t xml:space="preserve">   FERC Interest Rate   (INPUT)</t>
  </si>
  <si>
    <t xml:space="preserve">FILE: C:\CE95\ADJUST.WK3   PRINT: PRT.4 </t>
  </si>
  <si>
    <t>STRANDED 858 TRACKER ($000's)</t>
  </si>
  <si>
    <t xml:space="preserve"> ---------</t>
  </si>
  <si>
    <t>-</t>
  </si>
  <si>
    <t xml:space="preserve">   AMORTIZATION OF REFUNDS THRU THE PGA ($000's)</t>
  </si>
  <si>
    <t>1995</t>
  </si>
  <si>
    <t xml:space="preserve"> TOTAL</t>
  </si>
  <si>
    <t>STRANDED 858 DEMAND</t>
  </si>
  <si>
    <t xml:space="preserve">                      - Central (Peak Day Units)</t>
  </si>
  <si>
    <t xml:space="preserve">                      - South (Peak Day Units)</t>
  </si>
  <si>
    <t>SHRINK VOLUMES</t>
  </si>
  <si>
    <t xml:space="preserve">      Avg. Stranded 858 Rate (CALC.)</t>
  </si>
  <si>
    <t>* 2.936 FOR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</si>
  <si>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</si>
  <si>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</si>
  <si>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</si>
  <si>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(Input)</t>
  </si>
  <si>
    <t xml:space="preserve">      Many Islands (Canadian) FULLY ASSIGNED</t>
  </si>
  <si>
    <t xml:space="preserve">      Great Lakes FULLY ASSIGNED</t>
  </si>
  <si>
    <t xml:space="preserve">         - AFUDC Equity </t>
  </si>
  <si>
    <t xml:space="preserve">   AFUDC Equity Grossup Amortization  "FA&amp;A Func"</t>
  </si>
  <si>
    <t xml:space="preserve">   AFUDC Equity Grossup                "FA&amp;A Function"</t>
  </si>
  <si>
    <t xml:space="preserve">   AFUDC Equity                             "FA&amp;A Function"</t>
  </si>
  <si>
    <t xml:space="preserve">   AFUDC (Non IBIT)</t>
  </si>
  <si>
    <t xml:space="preserve">   AFUDC - Debt (Reclass from Direct Interest Expense ???)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</si>
  <si>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</si>
  <si>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</si>
  <si>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</si>
  <si>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</si>
  <si>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</si>
  <si>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TFF Turnback Credit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</si>
  <si>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</si>
  <si>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</si>
  <si>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</si>
  <si>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</si>
  <si>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</si>
  <si>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</si>
  <si>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</si>
  <si>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Interest Rate 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</si>
  <si>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</si>
  <si>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</si>
  <si>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</si>
  <si>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</si>
  <si>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- 2nd Payment Accrual</t>
  </si>
  <si>
    <t xml:space="preserve">   Current Month Carrying Charges (Not linked)</t>
  </si>
  <si>
    <t>PRINT: PRT.3</t>
  </si>
  <si>
    <t>EXCESS ROYALTY  TRACKER ($000's)</t>
  </si>
  <si>
    <t>EXCESS ROYALTY DEMAND</t>
  </si>
  <si>
    <t xml:space="preserve">      Avg. Excess Royalty Rate (CALC.)</t>
  </si>
  <si>
    <t>Total Excess Royalty TF Demand Revenue   (INPUT)</t>
  </si>
  <si>
    <t>Total Excess Royalty (Tracked) Expense   (INPUT)</t>
  </si>
  <si>
    <t xml:space="preserve">      EXCESS ROYALTY (TC&amp;S EXPENSE) ADJUSTMENT</t>
  </si>
  <si>
    <t xml:space="preserve">EXCESS ROYALTY - BALANCE SHEET </t>
  </si>
  <si>
    <t xml:space="preserve">      Current Month - Other (Input)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</si>
  <si>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</si>
  <si>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</si>
  <si>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</si>
  <si>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</si>
  <si>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</si>
  <si>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</si>
  <si>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</si>
  <si>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</si>
  <si>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</si>
  <si>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 xml:space="preserve">      Carrying Charges Not Recognized (?/96) Until 12/96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</si>
  <si>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</si>
  <si>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</si>
  <si>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</si>
  <si>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</si>
  <si>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</si>
  <si>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</si>
  <si>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</si>
  <si>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</si>
  <si>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</si>
  <si>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</si>
  <si>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</si>
  <si>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</si>
  <si>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</si>
  <si>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</si>
  <si>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</si>
  <si>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</si>
  <si>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</si>
  <si>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</si>
  <si>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</si>
  <si>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</si>
  <si>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</si>
  <si>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>100101</t>
  </si>
  <si>
    <t>111010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</si>
  <si>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</si>
  <si>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</si>
  <si>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</si>
  <si>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</si>
  <si>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</si>
  <si>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</si>
  <si>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</si>
  <si>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</si>
  <si>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</si>
  <si>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</si>
  <si>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</si>
  <si>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(Input)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</si>
  <si>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</si>
  <si>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</si>
  <si>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</si>
  <si>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</si>
  <si>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</si>
  <si>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</si>
  <si>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</si>
  <si>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Revenue  (LINKED)</t>
  </si>
  <si>
    <t>Total Assumed GSR R.A. Revenue Collections</t>
  </si>
  <si>
    <t>GSR R.A. (Tracked) Expense  (INPUT)</t>
  </si>
  <si>
    <t xml:space="preserve">      10% Supply Component 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</si>
  <si>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</si>
  <si>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</si>
  <si>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</si>
  <si>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</si>
  <si>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</si>
  <si>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</si>
  <si>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</si>
  <si>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</si>
  <si>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</si>
  <si>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</si>
  <si>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</si>
  <si>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 xml:space="preserve">   Gallup Contract Prepayment Amortization</t>
  </si>
  <si>
    <t>Total Reverse Auction 2 Expense  (INPUT)</t>
  </si>
  <si>
    <t xml:space="preserve">      REVERSE AUCTION 2 (TC&amp;S EXPENSE) ADJUSTMENT</t>
  </si>
  <si>
    <t xml:space="preserve">REVERSE AUCTION 2 - BALANCE SHEET 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</si>
  <si>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</si>
  <si>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</si>
  <si>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</si>
  <si>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</si>
  <si>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</si>
  <si>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</si>
  <si>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</si>
  <si>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</si>
  <si>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 xml:space="preserve">      Interest Income - Financing</t>
  </si>
  <si>
    <t xml:space="preserve">   Interest Income - Financing Costs</t>
  </si>
  <si>
    <t xml:space="preserve">         - Other Miscellaneous</t>
  </si>
  <si>
    <t xml:space="preserve">         - Stranded 858     (Currently Not Used)</t>
  </si>
  <si>
    <t xml:space="preserve">         - Stranded 858 R.A. (Cur. Not Used)</t>
  </si>
  <si>
    <t xml:space="preserve">         - GSR                 (Currently Not Used)</t>
  </si>
  <si>
    <t xml:space="preserve">         - GSR R.A.          (Currently Not Used)</t>
  </si>
  <si>
    <t xml:space="preserve">         - Gas Logistics / IT Support</t>
  </si>
  <si>
    <t xml:space="preserve">         - Excess Royalty (Currently Not Used) </t>
  </si>
  <si>
    <t xml:space="preserve">   Reserve Issues - Misc. Item 1</t>
  </si>
  <si>
    <t xml:space="preserve">        - Misc. Item 2</t>
  </si>
  <si>
    <t xml:space="preserve">        - Misc. Item 3</t>
  </si>
  <si>
    <t xml:space="preserve">   Other                                                 "Commercial Function" </t>
  </si>
  <si>
    <t xml:space="preserve">      Other Deductions</t>
  </si>
  <si>
    <t xml:space="preserve">         - Carrying Charges (Other)</t>
  </si>
  <si>
    <t xml:space="preserve">         - AFUDC (Property Acct.)</t>
  </si>
  <si>
    <t xml:space="preserve">         - Accumulated Reserve Adjustment (Property Acct.)</t>
  </si>
  <si>
    <t xml:space="preserve">      Adjusted Total DD&amp;A</t>
  </si>
  <si>
    <t xml:space="preserve">      DD&amp;A Expense (Capital Projects Related)</t>
  </si>
  <si>
    <t xml:space="preserve">         Non FA&amp;A Capital Projects DD&amp;A Offset Adjustment</t>
  </si>
  <si>
    <t xml:space="preserve">   * Note *  Total O&amp;M Expense </t>
  </si>
  <si>
    <t xml:space="preserve">                Total DD&amp;A Expense </t>
  </si>
  <si>
    <t>PRINT: RATE CASE</t>
  </si>
  <si>
    <t>RATE CASE INTEREST EXPENSE ($000's)</t>
  </si>
  <si>
    <t xml:space="preserve">RATE CASE RESERVE 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</si>
  <si>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</si>
  <si>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</si>
  <si>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</si>
  <si>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</si>
  <si>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R.A.(Tracked) Transport Expense</t>
  </si>
  <si>
    <t xml:space="preserve">   Total Stranded 858 R.A. (Tracked) Transport Expense</t>
  </si>
  <si>
    <t xml:space="preserve">   Other 858 Expense - Non-Tracked</t>
  </si>
  <si>
    <t xml:space="preserve">      Hyperion Entry / Reversal</t>
  </si>
  <si>
    <t xml:space="preserve">   Total Other 858 Expense - Non-Tracked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</si>
  <si>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</si>
  <si>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</si>
  <si>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</si>
  <si>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</si>
  <si>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Excess Royalty</t>
  </si>
  <si>
    <t xml:space="preserve">      Reverse Auction 1 - Annual Payment </t>
  </si>
  <si>
    <t xml:space="preserve">      Reverse Auction 2 - Annual Payment </t>
  </si>
  <si>
    <t xml:space="preserve">   Marketing Services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</si>
  <si>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</si>
  <si>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</si>
  <si>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</si>
  <si>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</si>
  <si>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Stranded 858 - Normal Activity</t>
  </si>
  <si>
    <t xml:space="preserve">                          - ANR Buyout</t>
  </si>
  <si>
    <t xml:space="preserve">      Stranded 858 R.A. - Normal Activity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</si>
  <si>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</si>
  <si>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</si>
  <si>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</si>
  <si>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</si>
  <si>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>Computer Conversion (Y2K) Costs Deferral /Recovery</t>
  </si>
  <si>
    <t xml:space="preserve">   Total SBA Expenses </t>
  </si>
  <si>
    <t xml:space="preserve">      TOTAL TC&amp;S EXPENSE</t>
  </si>
  <si>
    <t>Gas Research Institute (GRI) Calculation</t>
  </si>
  <si>
    <t xml:space="preserve">     Full Margin Volume - North  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</si>
  <si>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</si>
  <si>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</si>
  <si>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</si>
  <si>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</si>
  <si>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</si>
  <si>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REGULATORY AMORTIZATION EXPENSE</t>
  </si>
  <si>
    <t xml:space="preserve">          - Transport Demand</t>
  </si>
  <si>
    <t xml:space="preserve">   Mini Settlement Items Amortization - Sunrise</t>
  </si>
  <si>
    <t xml:space="preserve">                  - Other A/R Uncollectibles</t>
  </si>
  <si>
    <t xml:space="preserve">                  - FERC Audit Adjustment</t>
  </si>
  <si>
    <t xml:space="preserve">                  - TCR C</t>
  </si>
  <si>
    <t xml:space="preserve">                  - PGAR</t>
  </si>
  <si>
    <t xml:space="preserve">                  - Monsanto</t>
  </si>
  <si>
    <t xml:space="preserve">                  - JJCC</t>
  </si>
  <si>
    <t xml:space="preserve">                  - Extraordinary Environmental Costs</t>
  </si>
  <si>
    <t xml:space="preserve">   GLOBAL SETTLEMENT ISSUES:</t>
  </si>
  <si>
    <t xml:space="preserve">      TCR (Yates) Prefiling interest</t>
  </si>
  <si>
    <t xml:space="preserve">      Severance &amp; Relocation </t>
  </si>
  <si>
    <t xml:space="preserve">   Order 528 75% Expense (5/96 Tx. Sev. Tax Issue)</t>
  </si>
  <si>
    <t>PRINT: PRINT</t>
  </si>
  <si>
    <t xml:space="preserve">      TOTAL DEPRECIATION &amp; AMORTIZATION</t>
  </si>
  <si>
    <t xml:space="preserve">      TOTAL TAXES OTHER THAN INCOME</t>
  </si>
  <si>
    <t xml:space="preserve">     TOTAL PARTNERSHIP INCOME</t>
  </si>
  <si>
    <t xml:space="preserve">     TOTAL INTEREST INCOME</t>
  </si>
  <si>
    <t>Other</t>
  </si>
  <si>
    <t xml:space="preserve">   Gallup Contract Prepayment (5/99)</t>
  </si>
  <si>
    <t xml:space="preserve">   Misc. Non-Operating Income - CIAC</t>
  </si>
  <si>
    <t xml:space="preserve">     TOTAL OTHER</t>
  </si>
  <si>
    <t xml:space="preserve">        TOTAL OTHER INCOME</t>
  </si>
  <si>
    <t xml:space="preserve">   Actual / Estimate Adjustment</t>
  </si>
  <si>
    <t xml:space="preserve">     TOTAL DIRECT INTEREST </t>
  </si>
  <si>
    <t>AFUDC</t>
  </si>
  <si>
    <t xml:space="preserve">     TOTAL AFUDC</t>
  </si>
  <si>
    <t xml:space="preserve">   Reacquired Debt - Amortized Loss</t>
  </si>
  <si>
    <t xml:space="preserve">                    - Amortized (Gain)</t>
  </si>
  <si>
    <t xml:space="preserve">     TOTAL OTHER DEDUCTIONS</t>
  </si>
  <si>
    <t>TOTAL INTEREST &amp; OTHER DEDUCTIONS</t>
  </si>
  <si>
    <t>TRANSWESTERN PIPELINE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</si>
  <si>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</si>
  <si>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</si>
  <si>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</si>
  <si>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</si>
  <si>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</si>
  <si>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</si>
  <si>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</si>
  <si>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</si>
  <si>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</si>
  <si>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</si>
  <si>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</si>
  <si>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</si>
  <si>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</si>
  <si>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</si>
  <si>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</si>
  <si>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</si>
  <si>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</si>
  <si>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</si>
  <si>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</si>
  <si>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</si>
  <si>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ETS Allocations                  </t>
  </si>
  <si>
    <t xml:space="preserve">      Total Direct Costs</t>
  </si>
  <si>
    <t xml:space="preserve">Corporate Direct &amp; Allocated      </t>
  </si>
  <si>
    <t xml:space="preserve">   Corporate Shared Services </t>
  </si>
  <si>
    <t xml:space="preserve">   Total ETS Allocations</t>
  </si>
  <si>
    <t xml:space="preserve">   Total Corporate Direct &amp; Allocated</t>
  </si>
  <si>
    <t xml:space="preserve">      Total ETS / Corporate Direct &amp; Allocated</t>
  </si>
  <si>
    <t xml:space="preserve">   Reorg. Incremental Factor (Restated vs. Approved Plan)</t>
  </si>
  <si>
    <t xml:space="preserve">      TOTAL 858 EXPENSE          </t>
  </si>
  <si>
    <t xml:space="preserve">          Full Margin % Factor</t>
  </si>
  <si>
    <t xml:space="preserve">          - Other Adjustments</t>
  </si>
  <si>
    <t xml:space="preserve">   GRI - Transport Commodity </t>
  </si>
  <si>
    <t xml:space="preserve">   ACA Expense Amortization</t>
  </si>
  <si>
    <t xml:space="preserve">   Regulatory Commission Expense </t>
  </si>
  <si>
    <t xml:space="preserve">   South Georgia (FAS 96) Amortization</t>
  </si>
  <si>
    <t>Blank</t>
  </si>
  <si>
    <r>
      <t xml:space="preserve">      TOTAL FUEL EXPENSE     </t>
    </r>
    <r>
      <rPr>
        <b/>
        <sz val="10"/>
        <color indexed="10"/>
        <rFont val="Arial"/>
        <family val="2"/>
      </rPr>
      <t>(Linked Cash Flow)</t>
    </r>
  </si>
  <si>
    <t>FuelDeprTax</t>
  </si>
  <si>
    <t>FUEL EXPENSE</t>
  </si>
  <si>
    <t>DEPRECIATION &amp; AMORTIZATION</t>
  </si>
  <si>
    <t xml:space="preserve">         - Other </t>
  </si>
  <si>
    <t xml:space="preserve">         - Pipe Recoating               </t>
  </si>
  <si>
    <t xml:space="preserve">         - Accumulated Reserve Adjustment    </t>
  </si>
  <si>
    <t xml:space="preserve">         - AFUDC                          </t>
  </si>
  <si>
    <t xml:space="preserve">   Depreciation - Plant                </t>
  </si>
  <si>
    <t xml:space="preserve">   Amortization - Plant          </t>
  </si>
  <si>
    <t xml:space="preserve">         - Fair Value Adjustment  </t>
  </si>
  <si>
    <t xml:space="preserve">   Ad Valorem - TW Accrual     </t>
  </si>
  <si>
    <t xml:space="preserve">         - Other Accrual Adjustments </t>
  </si>
  <si>
    <t xml:space="preserve">   Gross Receipts (Navajo &amp; Laguna)       </t>
  </si>
  <si>
    <t xml:space="preserve">   Miscellaneous - Franchise Taxes   </t>
  </si>
  <si>
    <t>TAXES OTHER THAN INCOME</t>
  </si>
  <si>
    <t>PARTNERSHIP INCOME</t>
  </si>
  <si>
    <t>INTEREST INCOME</t>
  </si>
  <si>
    <t>OTHER</t>
  </si>
  <si>
    <t>Blank (Was FAS 96 Present Value Adjustment)</t>
  </si>
  <si>
    <t>INTERCOMPANY INTEREST EXPENSE / (INCOME)</t>
  </si>
  <si>
    <t xml:space="preserve">     TOTAL INTERCO. INTEREST EXPENSE / (INCOME)</t>
  </si>
  <si>
    <t>DIRECT INTEREST EXPENSE</t>
  </si>
  <si>
    <t xml:space="preserve">   AFUDC - Debt (SAP Change 7/00 Forward)</t>
  </si>
  <si>
    <t>OTHER DEDUCTIONS</t>
  </si>
  <si>
    <t>12/31/00</t>
  </si>
  <si>
    <t xml:space="preserve">      TOTAL REGULATORY AMORTIZATION</t>
  </si>
  <si>
    <t xml:space="preserve">   Condensate  </t>
  </si>
  <si>
    <t xml:space="preserve">   Receivables Sale (ASCC) Fees</t>
  </si>
  <si>
    <t>Merchant Service ($000's)</t>
  </si>
  <si>
    <t xml:space="preserve">   Gas Sales - Miscellaneous</t>
  </si>
  <si>
    <t xml:space="preserve">Liquids Revenue ($000's)  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</si>
  <si>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</si>
  <si>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Fuel (Net)</t>
  </si>
  <si>
    <t xml:space="preserve">   UAF (Net)</t>
  </si>
  <si>
    <t xml:space="preserve">      Total Direct Interest</t>
  </si>
  <si>
    <t>Net Income</t>
  </si>
  <si>
    <t>Net Income After Financing (CAN BE REMOVED)</t>
  </si>
  <si>
    <t>CHECK # (BETTER BE ZERO) - IBIT</t>
  </si>
  <si>
    <t xml:space="preserve">         - Net Income</t>
  </si>
  <si>
    <t xml:space="preserve">      - Other</t>
  </si>
  <si>
    <t xml:space="preserve">   Gas Purchases (Item 1)</t>
  </si>
  <si>
    <t xml:space="preserve">   Item 2</t>
  </si>
  <si>
    <t xml:space="preserve">   Other Reserve Item - Miscellaneous</t>
  </si>
  <si>
    <t xml:space="preserve">      Other Reserve Activity - Miscellaneous</t>
  </si>
  <si>
    <t xml:space="preserve">   Rate Case - Filed vs. Max. Subject to Refund </t>
  </si>
  <si>
    <t xml:space="preserve">        - Rate Case (Misc. Item 1) </t>
  </si>
  <si>
    <t xml:space="preserve">        - Rate Case (Misc. Item 2) </t>
  </si>
  <si>
    <t xml:space="preserve">   Misc. Item 1</t>
  </si>
  <si>
    <t xml:space="preserve">         - Hedge Activity Transferred to Sales (Margin)</t>
  </si>
  <si>
    <t xml:space="preserve">              - Hedge Activity Transferred from Fuel</t>
  </si>
  <si>
    <t xml:space="preserve">      - Hedge Activity Transferred from Fuel (4/01)</t>
  </si>
  <si>
    <t xml:space="preserve">      Gas / Liquids Sales  -  Miscellaneous</t>
  </si>
  <si>
    <t xml:space="preserve">      Cost of Sales - Purchases</t>
  </si>
  <si>
    <t xml:space="preserve">      Other Revenue (Cash) - Contract Buyouts</t>
  </si>
  <si>
    <t xml:space="preserve">         - Prepayments</t>
  </si>
  <si>
    <t xml:space="preserve">   Misc. Item 2</t>
  </si>
  <si>
    <t xml:space="preserve">   Hedge Activity - Intercompany</t>
  </si>
  <si>
    <t xml:space="preserve">              - Third Party</t>
  </si>
  <si>
    <t xml:space="preserve">         - Swap 3</t>
  </si>
  <si>
    <t xml:space="preserve">      Contract Reformation Costs (TCR II)</t>
  </si>
  <si>
    <t xml:space="preserve">      South GA Credits Amortization</t>
  </si>
  <si>
    <t xml:space="preserve">   Regulatory Writeoffs</t>
  </si>
  <si>
    <t xml:space="preserve">      TC&amp;S - Misc. Item 1</t>
  </si>
  <si>
    <t xml:space="preserve">      Misc. Item 1</t>
  </si>
  <si>
    <t xml:space="preserve">      Imbalance Estimate Adjustment / Misc.</t>
  </si>
  <si>
    <t xml:space="preserve">   Pipeline Capacity &amp; Annual Fee   "Commercial Function"</t>
  </si>
  <si>
    <t xml:space="preserve">   Other Gains / (Losses)       "Commercial Function"</t>
  </si>
  <si>
    <t xml:space="preserve">   Miscellaneous                   "Commercial Function"</t>
  </si>
  <si>
    <t xml:space="preserve">   Speculative Income / (Loss)       "Commercial Function"</t>
  </si>
  <si>
    <t xml:space="preserve">      Swap 2                                 "Commercial Function"</t>
  </si>
  <si>
    <t xml:space="preserve">      Swap 3                                 "Commercial Function"</t>
  </si>
  <si>
    <t xml:space="preserve">   Physical Inventory Gains / (Losses)    "Operations Function"</t>
  </si>
  <si>
    <t xml:space="preserve">   Misc. Item 2                      "Commercial Function"</t>
  </si>
  <si>
    <t xml:space="preserve">   Litigation Settlements - Misc. Item 1    "Commercial Function"</t>
  </si>
  <si>
    <t xml:space="preserve">        - Misc. Item 2                                "Commercial Function"</t>
  </si>
  <si>
    <t xml:space="preserve">        - Misc. Item 3                                "Commercial Function"</t>
  </si>
  <si>
    <t xml:space="preserve">         - Misc. Depreciation Item 1</t>
  </si>
  <si>
    <t xml:space="preserve">         - Misc. Depreciation Item 2</t>
  </si>
  <si>
    <t xml:space="preserve">         - Franchise </t>
  </si>
  <si>
    <t xml:space="preserve">      Total Sales &amp; Liquids Revenue Adjustments</t>
  </si>
  <si>
    <t>Reservation</t>
  </si>
  <si>
    <t>Commodity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</si>
  <si>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</si>
  <si>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   Total Transport Revenue Adjustments</t>
  </si>
  <si>
    <r>
      <t xml:space="preserve">   North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</si>
  <si>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</si>
  <si>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 </t>
    </r>
    <r>
      <rPr>
        <sz val="10"/>
        <color indexed="10"/>
        <rFont val="Arial"/>
        <family val="2"/>
      </rPr>
      <t>(INPUT $ AMOUNT)</t>
    </r>
  </si>
  <si>
    <t xml:space="preserve">    "      Other           "           "         "</t>
  </si>
  <si>
    <t>OtherRev</t>
  </si>
  <si>
    <t>Link D.T.</t>
  </si>
  <si>
    <t>Deferred Tax</t>
  </si>
  <si>
    <t xml:space="preserve">                            - Miscellaneous</t>
  </si>
  <si>
    <t>IncomeState</t>
  </si>
  <si>
    <t xml:space="preserve">  Other</t>
  </si>
  <si>
    <t xml:space="preserve">  Actual / Estimate Adjustment</t>
  </si>
  <si>
    <t xml:space="preserve">   AFUDC - Equity</t>
  </si>
  <si>
    <t>Final</t>
  </si>
  <si>
    <t xml:space="preserve">     Total Income Taxes (Composite Rate - 38.88 %)</t>
  </si>
  <si>
    <t xml:space="preserve">   Payable Currently</t>
  </si>
  <si>
    <t xml:space="preserve">   Deferred</t>
  </si>
  <si>
    <t xml:space="preserve">     Total Income Taxes (Composite Rate - 35.00 %)</t>
  </si>
  <si>
    <t xml:space="preserve">                                - Other Transport &amp; Miscellaneous</t>
  </si>
  <si>
    <t xml:space="preserve">AFUDC Equity Gross-Up </t>
  </si>
  <si>
    <t>AFUDC Equity Gross-Up Amortization</t>
  </si>
  <si>
    <t xml:space="preserve">   Contract Reformation Costs (TCR II) </t>
  </si>
  <si>
    <t>Linked</t>
  </si>
  <si>
    <t xml:space="preserve">   SBA - Commodity Expense </t>
  </si>
  <si>
    <t xml:space="preserve">           - Demand Expense </t>
  </si>
  <si>
    <t xml:space="preserve">           - Demand Tracker </t>
  </si>
  <si>
    <t>Link Src</t>
  </si>
  <si>
    <t xml:space="preserve">   Carrying Charges - Order 528 (Cur. Not Used)</t>
  </si>
  <si>
    <t xml:space="preserve">   Carrying Charges - Rev. Auc. 1 (Cur. Not Used)</t>
  </si>
  <si>
    <t xml:space="preserve">                - Reverse Auction 2    (Cur. Not Used)</t>
  </si>
  <si>
    <t xml:space="preserve">                - Reverse Auction 3    (Cur. Not Used)</t>
  </si>
  <si>
    <t xml:space="preserve">                - Rate Case          (Currently Not Used)</t>
  </si>
  <si>
    <t xml:space="preserve">                - Other                 (Currently Not Used)</t>
  </si>
  <si>
    <t xml:space="preserve">   Information Technology (Systems)</t>
  </si>
  <si>
    <t xml:space="preserve">   Finance &amp; Accounting (Financial Planning &amp; Analysis)</t>
  </si>
  <si>
    <t xml:space="preserve">   Miscellaneous General &amp; Administration</t>
  </si>
  <si>
    <t xml:space="preserve">      Item 2</t>
  </si>
  <si>
    <t xml:space="preserve">      TOTAL O&amp;M EXPENSE</t>
  </si>
  <si>
    <t xml:space="preserve">      TOTAL RESTATED PLAN O&amp;M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</si>
</sst>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0" formatCode="0_);\(0\)"/>
    <numFmt numFmtId="185" formatCode="_(* #,##0.000_);_(* \(#,##0.000\);_(* &quot;-&quot;???_);_(@_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sz val="12"/>
      <name val="Helv"/>
    </font>
    <font>
      <u/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10"/>
      <color indexed="33"/>
      <name val="Arial"/>
      <family val="2"/>
    </font>
    <font>
      <u/>
      <sz val="10"/>
      <color indexed="39"/>
      <name val="Arial"/>
      <family val="2"/>
    </font>
    <font>
      <b/>
      <sz val="8"/>
      <color indexed="8"/>
      <name val="Arial"/>
      <family val="2"/>
    </font>
    <font>
      <b/>
      <u val="double"/>
      <sz val="10"/>
      <color indexed="8"/>
      <name val="Arial"/>
      <family val="2"/>
    </font>
    <font>
      <b/>
      <sz val="10"/>
      <color indexed="12"/>
      <name val="Helv"/>
    </font>
    <font>
      <sz val="10"/>
      <color indexed="17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01">
    <xf numFmtId="0" fontId="0" fillId="0" borderId="0" xfId="0"/>
    <xf numFmtId="0" fontId="3" fillId="0" borderId="0" xfId="11"/>
    <xf numFmtId="0" fontId="4" fillId="0" borderId="0" xfId="11" applyFont="1"/>
    <xf numFmtId="0" fontId="5" fillId="0" borderId="0" xfId="11" applyFont="1" applyAlignment="1" applyProtection="1">
      <alignment horizontal="center"/>
      <protection locked="0"/>
    </xf>
    <xf numFmtId="0" fontId="5" fillId="0" borderId="0" xfId="11" applyFont="1" applyProtection="1">
      <protection locked="0"/>
    </xf>
    <xf numFmtId="37" fontId="3" fillId="0" borderId="0" xfId="11" applyNumberFormat="1" applyProtection="1"/>
    <xf numFmtId="167" fontId="5" fillId="0" borderId="0" xfId="11" applyNumberFormat="1" applyFont="1" applyProtection="1">
      <protection locked="0"/>
    </xf>
    <xf numFmtId="0" fontId="7" fillId="0" borderId="0" xfId="11" applyFont="1"/>
    <xf numFmtId="0" fontId="3" fillId="0" borderId="0" xfId="14"/>
    <xf numFmtId="37" fontId="3" fillId="0" borderId="0" xfId="14" applyNumberFormat="1" applyProtection="1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9" fillId="0" borderId="0" xfId="14" applyFont="1"/>
    <xf numFmtId="37" fontId="9" fillId="0" borderId="0" xfId="14" applyNumberFormat="1" applyFont="1" applyProtection="1"/>
    <xf numFmtId="37" fontId="3" fillId="0" borderId="0" xfId="6"/>
    <xf numFmtId="37" fontId="9" fillId="0" borderId="0" xfId="6" applyFont="1"/>
    <xf numFmtId="37" fontId="11" fillId="0" borderId="0" xfId="6" applyFont="1"/>
    <xf numFmtId="37" fontId="12" fillId="0" borderId="0" xfId="6" applyFont="1"/>
    <xf numFmtId="37" fontId="9" fillId="0" borderId="0" xfId="6" applyNumberFormat="1" applyFont="1" applyProtection="1"/>
    <xf numFmtId="37" fontId="10" fillId="0" borderId="0" xfId="6" applyNumberFormat="1" applyFont="1" applyProtection="1"/>
    <xf numFmtId="37" fontId="10" fillId="0" borderId="0" xfId="6" applyFont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fill"/>
      <protection locked="0"/>
    </xf>
    <xf numFmtId="166" fontId="15" fillId="0" borderId="0" xfId="1" applyNumberFormat="1" applyFont="1" applyProtection="1"/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5" fillId="0" borderId="0" xfId="4" applyFont="1" applyAlignment="1">
      <alignment horizontal="left"/>
    </xf>
    <xf numFmtId="168" fontId="24" fillId="0" borderId="0" xfId="4" applyNumberFormat="1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37" fontId="15" fillId="0" borderId="0" xfId="5" applyNumberFormat="1" applyFont="1" applyProtection="1"/>
    <xf numFmtId="37" fontId="21" fillId="0" borderId="0" xfId="5" applyNumberFormat="1" applyFont="1" applyProtection="1"/>
    <xf numFmtId="0" fontId="24" fillId="0" borderId="0" xfId="5" quotePrefix="1" applyFont="1" applyAlignment="1" applyProtection="1">
      <alignment horizontal="left"/>
      <protection locked="0"/>
    </xf>
    <xf numFmtId="0" fontId="24" fillId="0" borderId="0" xfId="5" applyFont="1"/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14" fillId="0" borderId="0" xfId="6" applyFont="1"/>
    <xf numFmtId="37" fontId="26" fillId="0" borderId="0" xfId="6" quotePrefix="1" applyFont="1" applyAlignment="1">
      <alignment horizontal="center"/>
    </xf>
    <xf numFmtId="37" fontId="24" fillId="0" borderId="0" xfId="6" quotePrefix="1" applyFont="1" applyAlignment="1" applyProtection="1">
      <alignment horizontal="left"/>
      <protection locked="0"/>
    </xf>
    <xf numFmtId="0" fontId="16" fillId="0" borderId="2" xfId="1" applyFont="1" applyBorder="1" applyAlignment="1" applyProtection="1">
      <alignment horizontal="centerContinuous"/>
      <protection locked="0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10" fontId="24" fillId="0" borderId="0" xfId="1" applyNumberFormat="1" applyFont="1" applyProtection="1"/>
    <xf numFmtId="37" fontId="26" fillId="0" borderId="0" xfId="1" applyNumberFormat="1" applyFont="1" applyProtection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0" fontId="15" fillId="0" borderId="0" xfId="13" applyFont="1" applyAlignment="1" applyProtection="1">
      <alignment horizontal="left"/>
      <protection locked="0"/>
    </xf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1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29" fillId="0" borderId="0" xfId="13" quotePrefix="1" applyFont="1" applyAlignment="1" applyProtection="1">
      <alignment horizontal="left"/>
      <protection locked="0"/>
    </xf>
    <xf numFmtId="0" fontId="32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6" fillId="0" borderId="0" xfId="8" quotePrefix="1" applyFont="1" applyAlignment="1" applyProtection="1">
      <alignment horizontal="left"/>
      <protection locked="0"/>
    </xf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165" fontId="28" fillId="0" borderId="0" xfId="7" quotePrefix="1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6" fillId="0" borderId="0" xfId="7" applyNumberFormat="1" applyFont="1" applyProtection="1">
      <protection locked="0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0" quotePrefix="1" applyFont="1" applyAlignment="1">
      <alignment horizontal="left"/>
    </xf>
    <xf numFmtId="0" fontId="32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0" fontId="26" fillId="0" borderId="1" xfId="2" applyFont="1" applyBorder="1" applyAlignment="1" applyProtection="1">
      <alignment horizontal="centerContinuous"/>
      <protection locked="0"/>
    </xf>
    <xf numFmtId="0" fontId="26" fillId="0" borderId="1" xfId="2" applyFont="1" applyBorder="1" applyAlignment="1">
      <alignment horizontal="left"/>
    </xf>
    <xf numFmtId="0" fontId="26" fillId="0" borderId="1" xfId="2" applyFont="1" applyBorder="1"/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167" fontId="34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0" fillId="0" borderId="0" xfId="0" applyNumberFormat="1"/>
    <xf numFmtId="37" fontId="25" fillId="0" borderId="0" xfId="1" applyNumberFormat="1" applyFont="1" applyProtection="1"/>
    <xf numFmtId="37" fontId="34" fillId="0" borderId="0" xfId="1" applyNumberFormat="1" applyFont="1" applyProtection="1">
      <protection locked="0"/>
    </xf>
    <xf numFmtId="0" fontId="34" fillId="0" borderId="0" xfId="2" applyFont="1" applyAlignment="1" applyProtection="1">
      <alignment horizontal="center"/>
      <protection locked="0"/>
    </xf>
    <xf numFmtId="0" fontId="34" fillId="0" borderId="0" xfId="2" applyFont="1" applyProtection="1"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4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5" fontId="17" fillId="0" borderId="0" xfId="0" applyNumberFormat="1" applyFont="1" applyAlignment="1">
      <alignment horizontal="center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"/>
      <protection locked="0"/>
    </xf>
    <xf numFmtId="168" fontId="32" fillId="0" borderId="0" xfId="12" quotePrefix="1" applyNumberFormat="1" applyFont="1" applyAlignment="1" applyProtection="1">
      <alignment horizontal="center"/>
      <protection locked="0"/>
    </xf>
    <xf numFmtId="37" fontId="39" fillId="0" borderId="0" xfId="10" applyNumberFormat="1" applyFont="1" applyProtection="1"/>
    <xf numFmtId="37" fontId="34" fillId="0" borderId="0" xfId="2" applyNumberFormat="1" applyFont="1" applyProtection="1">
      <protection locked="0"/>
    </xf>
    <xf numFmtId="37" fontId="39" fillId="0" borderId="0" xfId="2" applyNumberFormat="1" applyFont="1" applyProtection="1"/>
    <xf numFmtId="37" fontId="34" fillId="0" borderId="0" xfId="2" applyNumberFormat="1" applyFont="1" applyProtection="1"/>
    <xf numFmtId="0" fontId="2" fillId="0" borderId="0" xfId="2" applyFont="1" applyAlignment="1">
      <alignment horizontal="center"/>
    </xf>
    <xf numFmtId="49" fontId="27" fillId="0" borderId="0" xfId="2" quotePrefix="1" applyNumberFormat="1" applyFont="1" applyAlignment="1" applyProtection="1">
      <alignment horizontal="center"/>
      <protection locked="0"/>
    </xf>
    <xf numFmtId="0" fontId="29" fillId="0" borderId="0" xfId="10" quotePrefix="1" applyFont="1" applyAlignment="1" applyProtection="1">
      <alignment horizontal="left"/>
      <protection locked="0"/>
    </xf>
    <xf numFmtId="0" fontId="29" fillId="0" borderId="0" xfId="10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center"/>
    </xf>
    <xf numFmtId="0" fontId="33" fillId="0" borderId="0" xfId="2" quotePrefix="1" applyFont="1" applyAlignment="1">
      <alignment horizontal="centerContinuous"/>
    </xf>
    <xf numFmtId="0" fontId="0" fillId="0" borderId="0" xfId="0" applyAlignment="1">
      <alignment horizontal="centerContinuous"/>
    </xf>
    <xf numFmtId="37" fontId="25" fillId="0" borderId="0" xfId="12" applyNumberFormat="1" applyFont="1" applyProtection="1"/>
    <xf numFmtId="167" fontId="39" fillId="0" borderId="0" xfId="10" applyNumberFormat="1" applyFont="1" applyProtection="1">
      <protection locked="0"/>
    </xf>
    <xf numFmtId="0" fontId="39" fillId="0" borderId="0" xfId="10" applyFont="1"/>
    <xf numFmtId="10" fontId="39" fillId="0" borderId="0" xfId="10" applyNumberFormat="1" applyFont="1" applyProtection="1">
      <protection locked="0"/>
    </xf>
    <xf numFmtId="37" fontId="34" fillId="0" borderId="0" xfId="10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/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0" fontId="26" fillId="0" borderId="2" xfId="2" applyFont="1" applyBorder="1" applyAlignment="1" applyProtection="1">
      <alignment horizontal="centerContinuous"/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39" fontId="15" fillId="0" borderId="0" xfId="12" applyNumberFormat="1" applyFont="1" applyProtection="1"/>
    <xf numFmtId="39" fontId="21" fillId="0" borderId="0" xfId="12" applyNumberFormat="1" applyFont="1" applyProtection="1"/>
    <xf numFmtId="37" fontId="24" fillId="0" borderId="0" xfId="10" applyNumberFormat="1" applyFont="1" applyProtection="1"/>
    <xf numFmtId="168" fontId="24" fillId="0" borderId="0" xfId="8" applyNumberFormat="1" applyFont="1" applyAlignment="1" applyProtection="1">
      <alignment horizontal="left"/>
      <protection locked="0"/>
    </xf>
    <xf numFmtId="37" fontId="34" fillId="0" borderId="0" xfId="14" applyNumberFormat="1" applyFont="1" applyBorder="1" applyProtection="1">
      <protection locked="0"/>
    </xf>
    <xf numFmtId="37" fontId="24" fillId="0" borderId="0" xfId="14" applyNumberFormat="1" applyFont="1" applyBorder="1" applyProtection="1">
      <protection locked="0"/>
    </xf>
    <xf numFmtId="37" fontId="35" fillId="0" borderId="0" xfId="14" applyNumberFormat="1" applyFont="1" applyBorder="1" applyProtection="1">
      <protection locked="0"/>
    </xf>
    <xf numFmtId="37" fontId="34" fillId="0" borderId="0" xfId="14" applyNumberFormat="1" applyFont="1" applyBorder="1"/>
    <xf numFmtId="37" fontId="21" fillId="0" borderId="0" xfId="14" applyNumberFormat="1" applyFont="1" applyBorder="1"/>
    <xf numFmtId="37" fontId="17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2" fillId="0" borderId="0" xfId="13" applyNumberFormat="1" applyFont="1" applyProtection="1"/>
    <xf numFmtId="0" fontId="3" fillId="0" borderId="0" xfId="13" applyFont="1"/>
    <xf numFmtId="37" fontId="29" fillId="0" borderId="0" xfId="4" applyNumberFormat="1" applyFont="1" applyProtection="1">
      <protection locked="0"/>
    </xf>
    <xf numFmtId="0" fontId="26" fillId="0" borderId="0" xfId="12" applyFont="1" applyAlignment="1">
      <alignment horizontal="center"/>
    </xf>
    <xf numFmtId="37" fontId="17" fillId="0" borderId="0" xfId="7" applyNumberFormat="1" applyFont="1" applyProtection="1">
      <protection locked="0"/>
    </xf>
    <xf numFmtId="0" fontId="24" fillId="0" borderId="0" xfId="0" applyFont="1" applyAlignment="1">
      <alignment horizontal="left"/>
    </xf>
    <xf numFmtId="0" fontId="29" fillId="0" borderId="0" xfId="3" quotePrefix="1" applyFont="1" applyAlignment="1" applyProtection="1">
      <alignment horizontal="left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42" fillId="0" borderId="0" xfId="11" applyNumberFormat="1" applyFont="1" applyAlignment="1" applyProtection="1">
      <alignment horizontal="left"/>
      <protection locked="0"/>
    </xf>
    <xf numFmtId="0" fontId="42" fillId="0" borderId="0" xfId="11" quotePrefix="1" applyFont="1" applyAlignment="1">
      <alignment horizontal="left"/>
    </xf>
    <xf numFmtId="165" fontId="38" fillId="0" borderId="0" xfId="14" applyNumberFormat="1" applyFont="1" applyAlignment="1" applyProtection="1">
      <alignment horizontal="center"/>
      <protection locked="0"/>
    </xf>
    <xf numFmtId="165" fontId="37" fillId="0" borderId="0" xfId="14" applyNumberFormat="1" applyFont="1" applyAlignment="1" applyProtection="1">
      <alignment horizontal="center"/>
      <protection locked="0"/>
    </xf>
    <xf numFmtId="0" fontId="42" fillId="0" borderId="0" xfId="14" quotePrefix="1" applyFont="1" applyAlignment="1" applyProtection="1">
      <alignment horizontal="left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0" fontId="42" fillId="0" borderId="0" xfId="1" quotePrefix="1" applyFont="1" applyAlignment="1" applyProtection="1">
      <alignment horizontal="left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7" fillId="0" borderId="0" xfId="13" applyNumberFormat="1" applyFont="1" applyAlignment="1" applyProtection="1">
      <alignment horizontal="center"/>
      <protection locked="0"/>
    </xf>
    <xf numFmtId="165" fontId="38" fillId="0" borderId="0" xfId="10" applyNumberFormat="1" applyFont="1" applyAlignment="1" applyProtection="1">
      <alignment horizontal="center"/>
      <protection locked="0"/>
    </xf>
    <xf numFmtId="165" fontId="37" fillId="0" borderId="0" xfId="10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165" fontId="37" fillId="0" borderId="0" xfId="3" applyNumberFormat="1" applyFont="1" applyAlignment="1" applyProtection="1">
      <alignment horizontal="center"/>
      <protection locked="0"/>
    </xf>
    <xf numFmtId="0" fontId="29" fillId="0" borderId="0" xfId="0" quotePrefix="1" applyFont="1" applyAlignment="1">
      <alignment horizontal="left"/>
    </xf>
    <xf numFmtId="168" fontId="26" fillId="0" borderId="0" xfId="3" quotePrefix="1" applyNumberFormat="1" applyFont="1" applyAlignment="1" applyProtection="1">
      <alignment horizontal="left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7" fillId="0" borderId="0" xfId="8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165" fontId="37" fillId="0" borderId="0" xfId="4" applyNumberFormat="1" applyFont="1" applyAlignment="1" applyProtection="1">
      <alignment horizontal="center"/>
      <protection locked="0"/>
    </xf>
    <xf numFmtId="37" fontId="34" fillId="0" borderId="0" xfId="7" applyNumberFormat="1" applyFont="1" applyProtection="1">
      <protection locked="0"/>
    </xf>
    <xf numFmtId="37" fontId="35" fillId="0" borderId="0" xfId="7" applyNumberFormat="1" applyFont="1" applyProtection="1">
      <protection locked="0"/>
    </xf>
    <xf numFmtId="0" fontId="28" fillId="0" borderId="0" xfId="7" applyFont="1" applyAlignment="1" applyProtection="1">
      <alignment horizontal="left"/>
      <protection locked="0"/>
    </xf>
    <xf numFmtId="0" fontId="34" fillId="0" borderId="0" xfId="7" applyFont="1"/>
    <xf numFmtId="168" fontId="38" fillId="0" borderId="0" xfId="7" applyNumberFormat="1" applyFont="1" applyProtection="1">
      <protection locked="0"/>
    </xf>
    <xf numFmtId="168" fontId="38" fillId="0" borderId="0" xfId="7" applyNumberFormat="1" applyFont="1" applyAlignment="1" applyProtection="1">
      <alignment horizontal="centerContinuous"/>
      <protection locked="0"/>
    </xf>
    <xf numFmtId="169" fontId="34" fillId="0" borderId="0" xfId="7" applyNumberFormat="1" applyFont="1" applyProtection="1">
      <protection locked="0"/>
    </xf>
    <xf numFmtId="165" fontId="34" fillId="0" borderId="0" xfId="7" applyNumberFormat="1" applyFont="1" applyProtection="1">
      <protection locked="0"/>
    </xf>
    <xf numFmtId="165" fontId="42" fillId="0" borderId="0" xfId="7" applyNumberFormat="1" applyFont="1" applyAlignment="1" applyProtection="1">
      <alignment horizontal="left"/>
      <protection locked="0"/>
    </xf>
    <xf numFmtId="0" fontId="34" fillId="0" borderId="0" xfId="7" applyFont="1" applyAlignment="1">
      <alignment horizontal="centerContinuous"/>
    </xf>
    <xf numFmtId="0" fontId="42" fillId="0" borderId="0" xfId="7" applyFont="1"/>
    <xf numFmtId="168" fontId="38" fillId="0" borderId="0" xfId="7" quotePrefix="1" applyNumberFormat="1" applyFont="1" applyAlignment="1" applyProtection="1">
      <alignment horizontal="centerContinuous"/>
      <protection locked="0"/>
    </xf>
    <xf numFmtId="0" fontId="38" fillId="0" borderId="0" xfId="7" applyFont="1"/>
    <xf numFmtId="0" fontId="38" fillId="0" borderId="0" xfId="7" applyFont="1" applyAlignment="1" applyProtection="1">
      <alignment horizontal="left"/>
      <protection locked="0"/>
    </xf>
    <xf numFmtId="0" fontId="34" fillId="0" borderId="0" xfId="0" applyFont="1"/>
    <xf numFmtId="165" fontId="38" fillId="0" borderId="0" xfId="7" applyNumberFormat="1" applyFont="1" applyAlignment="1" applyProtection="1">
      <alignment horizontal="centerContinuous"/>
      <protection locked="0"/>
    </xf>
    <xf numFmtId="165" fontId="37" fillId="0" borderId="0" xfId="7" applyNumberFormat="1" applyFont="1" applyAlignment="1" applyProtection="1">
      <alignment horizontal="center"/>
    </xf>
    <xf numFmtId="165" fontId="38" fillId="0" borderId="0" xfId="7" applyNumberFormat="1" applyFont="1" applyAlignment="1" applyProtection="1">
      <alignment horizontal="left"/>
      <protection locked="0"/>
    </xf>
    <xf numFmtId="37" fontId="34" fillId="0" borderId="0" xfId="7" applyNumberFormat="1" applyFont="1" applyProtection="1"/>
    <xf numFmtId="165" fontId="34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0" fontId="34" fillId="0" borderId="0" xfId="7" applyFont="1" applyAlignment="1" applyProtection="1">
      <alignment horizontal="left"/>
      <protection locked="0"/>
    </xf>
    <xf numFmtId="175" fontId="35" fillId="0" borderId="0" xfId="7" applyNumberFormat="1" applyFont="1" applyProtection="1"/>
    <xf numFmtId="0" fontId="35" fillId="0" borderId="0" xfId="7" applyFont="1"/>
    <xf numFmtId="37" fontId="43" fillId="0" borderId="0" xfId="7" applyNumberFormat="1" applyFont="1" applyProtection="1"/>
    <xf numFmtId="168" fontId="38" fillId="0" borderId="0" xfId="7" applyNumberFormat="1" applyFont="1" applyAlignment="1" applyProtection="1">
      <alignment horizontal="left"/>
      <protection locked="0"/>
    </xf>
    <xf numFmtId="168" fontId="38" fillId="0" borderId="0" xfId="7" applyNumberFormat="1" applyFont="1" applyAlignment="1" applyProtection="1">
      <alignment horizontal="centerContinuous"/>
    </xf>
    <xf numFmtId="168" fontId="42" fillId="0" borderId="0" xfId="7" applyNumberFormat="1" applyFont="1" applyAlignment="1" applyProtection="1">
      <alignment horizontal="left"/>
      <protection locked="0"/>
    </xf>
    <xf numFmtId="168" fontId="42" fillId="0" borderId="0" xfId="7" applyNumberFormat="1" applyFont="1" applyProtection="1"/>
    <xf numFmtId="0" fontId="38" fillId="0" borderId="0" xfId="7" applyFont="1" applyAlignment="1">
      <alignment horizontal="center"/>
    </xf>
    <xf numFmtId="0" fontId="38" fillId="0" borderId="0" xfId="7" applyFont="1" applyAlignment="1" applyProtection="1">
      <alignment horizontal="center"/>
      <protection locked="0"/>
    </xf>
    <xf numFmtId="165" fontId="37" fillId="0" borderId="0" xfId="7" applyNumberFormat="1" applyFont="1" applyAlignment="1">
      <alignment horizontal="center"/>
    </xf>
    <xf numFmtId="165" fontId="37" fillId="0" borderId="0" xfId="7" applyNumberFormat="1" applyFont="1" applyProtection="1">
      <protection locked="0"/>
    </xf>
    <xf numFmtId="0" fontId="37" fillId="0" borderId="0" xfId="7" applyFont="1" applyAlignment="1">
      <alignment horizontal="center"/>
    </xf>
    <xf numFmtId="165" fontId="38" fillId="0" borderId="0" xfId="7" applyNumberFormat="1" applyFont="1" applyProtection="1"/>
    <xf numFmtId="165" fontId="34" fillId="0" borderId="0" xfId="7" applyNumberFormat="1" applyFont="1" applyProtection="1"/>
    <xf numFmtId="37" fontId="38" fillId="0" borderId="0" xfId="7" applyNumberFormat="1" applyFont="1" applyProtection="1"/>
    <xf numFmtId="37" fontId="37" fillId="0" borderId="0" xfId="7" applyNumberFormat="1" applyFont="1" applyProtection="1"/>
    <xf numFmtId="171" fontId="34" fillId="0" borderId="0" xfId="7" applyNumberFormat="1" applyFont="1" applyProtection="1"/>
    <xf numFmtId="171" fontId="38" fillId="0" borderId="0" xfId="7" applyNumberFormat="1" applyFont="1" applyProtection="1"/>
    <xf numFmtId="37" fontId="39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41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0" fontId="0" fillId="0" borderId="0" xfId="0" applyAlignment="1">
      <alignment vertical="center"/>
    </xf>
    <xf numFmtId="37" fontId="34" fillId="0" borderId="0" xfId="5" applyNumberFormat="1" applyFont="1" applyAlignment="1" applyProtection="1">
      <alignment vertical="center"/>
    </xf>
    <xf numFmtId="0" fontId="15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172" fontId="21" fillId="0" borderId="0" xfId="5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0" fontId="24" fillId="0" borderId="0" xfId="5" applyFont="1" applyAlignment="1">
      <alignment vertical="center"/>
    </xf>
    <xf numFmtId="37" fontId="27" fillId="0" borderId="0" xfId="5" applyNumberFormat="1" applyFont="1" applyAlignment="1" applyProtection="1">
      <alignment vertical="center"/>
      <protection locked="0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26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4" fillId="0" borderId="0" xfId="5" applyNumberFormat="1" applyFont="1" applyAlignment="1" applyProtection="1">
      <alignment horizontal="left" vertical="center"/>
      <protection locked="0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35" fillId="0" borderId="0" xfId="10" applyNumberFormat="1" applyFont="1" applyProtection="1"/>
    <xf numFmtId="37" fontId="37" fillId="0" borderId="0" xfId="10" applyNumberFormat="1" applyFont="1" applyProtection="1"/>
    <xf numFmtId="49" fontId="16" fillId="0" borderId="0" xfId="12" applyNumberFormat="1" applyFont="1" applyAlignment="1" applyProtection="1">
      <alignment horizontal="centerContinuous"/>
      <protection locked="0"/>
    </xf>
    <xf numFmtId="49" fontId="24" fillId="0" borderId="0" xfId="12" applyNumberFormat="1" applyFont="1" applyAlignment="1" applyProtection="1">
      <alignment horizontal="centerContinuous"/>
      <protection locked="0"/>
    </xf>
    <xf numFmtId="175" fontId="25" fillId="0" borderId="0" xfId="7" applyNumberFormat="1" applyFont="1" applyProtection="1">
      <protection locked="0"/>
    </xf>
    <xf numFmtId="0" fontId="26" fillId="0" borderId="0" xfId="5" quotePrefix="1" applyFont="1" applyAlignment="1" applyProtection="1">
      <alignment horizontal="left" vertical="center"/>
      <protection locked="0"/>
    </xf>
    <xf numFmtId="165" fontId="25" fillId="0" borderId="0" xfId="7" applyNumberFormat="1" applyFont="1" applyProtection="1">
      <protection locked="0"/>
    </xf>
    <xf numFmtId="168" fontId="29" fillId="0" borderId="0" xfId="8" quotePrefix="1" applyNumberFormat="1" applyFont="1" applyAlignment="1" applyProtection="1">
      <alignment horizontal="left"/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>
      <protection locked="0"/>
    </xf>
    <xf numFmtId="0" fontId="33" fillId="0" borderId="0" xfId="2" applyFont="1" applyAlignment="1">
      <alignment horizontal="centerContinuous"/>
    </xf>
    <xf numFmtId="168" fontId="26" fillId="0" borderId="0" xfId="7" applyNumberFormat="1" applyFont="1" applyAlignment="1" applyProtection="1">
      <alignment horizontal="centerContinuous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2" applyNumberFormat="1" applyFont="1" applyProtection="1"/>
    <xf numFmtId="166" fontId="18" fillId="0" borderId="0" xfId="12" applyNumberFormat="1" applyFont="1" applyProtection="1"/>
    <xf numFmtId="168" fontId="24" fillId="0" borderId="0" xfId="14" quotePrefix="1" applyNumberFormat="1" applyFont="1" applyAlignment="1" applyProtection="1">
      <alignment horizontal="left" vertical="center"/>
      <protection locked="0"/>
    </xf>
    <xf numFmtId="0" fontId="26" fillId="0" borderId="0" xfId="7" quotePrefix="1" applyFont="1" applyAlignment="1">
      <alignment horizontal="left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0" fontId="28" fillId="0" borderId="0" xfId="7" quotePrefix="1" applyFont="1" applyAlignment="1" applyProtection="1">
      <alignment horizontal="left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42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0" fontId="15" fillId="0" borderId="0" xfId="7" quotePrefix="1" applyFont="1" applyAlignment="1">
      <alignment horizontal="center"/>
    </xf>
    <xf numFmtId="37" fontId="15" fillId="0" borderId="0" xfId="7" applyNumberFormat="1" applyFont="1"/>
    <xf numFmtId="49" fontId="27" fillId="0" borderId="0" xfId="2" applyNumberFormat="1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49" fontId="27" fillId="0" borderId="0" xfId="1" quotePrefix="1" applyNumberFormat="1" applyFont="1" applyAlignment="1" applyProtection="1">
      <alignment horizontal="center"/>
      <protection locked="0"/>
    </xf>
    <xf numFmtId="49" fontId="28" fillId="0" borderId="0" xfId="7" quotePrefix="1" applyNumberFormat="1" applyFont="1" applyAlignment="1" applyProtection="1">
      <alignment horizontal="left"/>
      <protection locked="0"/>
    </xf>
    <xf numFmtId="0" fontId="42" fillId="0" borderId="0" xfId="7" applyFont="1" applyAlignment="1" applyProtection="1">
      <alignment horizontal="left"/>
      <protection locked="0"/>
    </xf>
    <xf numFmtId="165" fontId="16" fillId="0" borderId="0" xfId="14" applyNumberFormat="1" applyFont="1" applyAlignment="1" applyProtection="1">
      <alignment horizont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37" fontId="24" fillId="0" borderId="0" xfId="14" applyNumberFormat="1" applyFont="1" applyBorder="1" applyAlignment="1" applyProtection="1">
      <alignment vertical="center"/>
      <protection locked="0"/>
    </xf>
    <xf numFmtId="37" fontId="15" fillId="0" borderId="0" xfId="14" applyNumberFormat="1" applyFont="1" applyAlignment="1" applyProtection="1">
      <alignment vertical="center"/>
    </xf>
    <xf numFmtId="37" fontId="33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21" fillId="0" borderId="0" xfId="6" applyFont="1" applyAlignment="1">
      <alignment vertical="center"/>
    </xf>
    <xf numFmtId="37" fontId="15" fillId="0" borderId="0" xfId="6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0" fontId="20" fillId="0" borderId="0" xfId="0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  <protection locked="0"/>
    </xf>
    <xf numFmtId="37" fontId="16" fillId="0" borderId="0" xfId="6" applyNumberFormat="1" applyFont="1" applyAlignment="1" applyProtection="1">
      <alignment vertical="center"/>
    </xf>
    <xf numFmtId="37" fontId="23" fillId="0" borderId="0" xfId="0" applyNumberFormat="1" applyFont="1" applyAlignment="1">
      <alignment vertical="center"/>
    </xf>
    <xf numFmtId="37" fontId="23" fillId="0" borderId="0" xfId="6" applyNumberFormat="1" applyFont="1" applyAlignment="1" applyProtection="1">
      <alignment vertical="center"/>
    </xf>
    <xf numFmtId="37" fontId="14" fillId="0" borderId="0" xfId="6" applyFont="1" applyAlignment="1">
      <alignment vertical="center"/>
    </xf>
    <xf numFmtId="180" fontId="25" fillId="0" borderId="0" xfId="0" applyNumberFormat="1" applyFont="1" applyAlignment="1">
      <alignment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168" fontId="24" fillId="0" borderId="0" xfId="5" quotePrefix="1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0" fontId="24" fillId="0" borderId="0" xfId="0" quotePrefix="1" applyFont="1" applyAlignment="1">
      <alignment vertical="center"/>
    </xf>
    <xf numFmtId="37" fontId="29" fillId="3" borderId="0" xfId="6" applyFont="1" applyFill="1" applyAlignment="1" applyProtection="1">
      <alignment vertical="center"/>
      <protection locked="0"/>
    </xf>
    <xf numFmtId="37" fontId="26" fillId="0" borderId="0" xfId="6" applyFont="1" applyAlignment="1" applyProtection="1">
      <alignment vertical="center"/>
      <protection locked="0"/>
    </xf>
    <xf numFmtId="37" fontId="26" fillId="0" borderId="0" xfId="6" quotePrefix="1" applyFont="1" applyAlignment="1" applyProtection="1">
      <alignment horizontal="left" vertical="center"/>
      <protection locked="0"/>
    </xf>
    <xf numFmtId="0" fontId="26" fillId="0" borderId="0" xfId="0" quotePrefix="1" applyFont="1" applyAlignment="1">
      <alignment horizontal="left"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0" fontId="15" fillId="0" borderId="0" xfId="11" applyFont="1" applyAlignment="1">
      <alignment horizontal="center"/>
    </xf>
    <xf numFmtId="164" fontId="18" fillId="0" borderId="0" xfId="11" applyNumberFormat="1" applyFont="1" applyAlignment="1" applyProtection="1">
      <alignment horizontal="center"/>
    </xf>
    <xf numFmtId="166" fontId="18" fillId="0" borderId="1" xfId="11" applyNumberFormat="1" applyFont="1" applyBorder="1" applyAlignment="1" applyProtection="1">
      <alignment horizontal="center"/>
    </xf>
    <xf numFmtId="0" fontId="16" fillId="0" borderId="0" xfId="11" applyFont="1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16" fillId="0" borderId="0" xfId="5" applyNumberFormat="1" applyFont="1" applyAlignment="1">
      <alignment horizontal="center" vertical="center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0" fontId="3" fillId="0" borderId="0" xfId="11" applyAlignment="1">
      <alignment horizontal="center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0" fillId="0" borderId="0" xfId="0" applyAlignment="1">
      <alignment horizontal="center" vertical="center"/>
    </xf>
    <xf numFmtId="49" fontId="33" fillId="0" borderId="0" xfId="0" quotePrefix="1" applyNumberFormat="1" applyFont="1" applyAlignment="1">
      <alignment horizontal="center" vertical="center"/>
    </xf>
    <xf numFmtId="37" fontId="33" fillId="0" borderId="0" xfId="5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0" borderId="0" xfId="5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6" applyFont="1" applyAlignment="1">
      <alignment horizontal="center" vertical="center"/>
    </xf>
    <xf numFmtId="164" fontId="18" fillId="0" borderId="0" xfId="6" applyNumberFormat="1" applyFont="1" applyAlignment="1" applyProtection="1">
      <alignment horizontal="center" vertical="center"/>
    </xf>
    <xf numFmtId="166" fontId="18" fillId="0" borderId="1" xfId="6" applyNumberFormat="1" applyFont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37" fontId="24" fillId="0" borderId="0" xfId="6" applyFont="1" applyAlignment="1">
      <alignment horizontal="center" vertical="center"/>
    </xf>
    <xf numFmtId="37" fontId="16" fillId="0" borderId="0" xfId="6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7" fontId="30" fillId="0" borderId="0" xfId="6" applyFont="1" applyAlignment="1">
      <alignment horizontal="center" vertical="center"/>
    </xf>
    <xf numFmtId="37" fontId="14" fillId="0" borderId="0" xfId="6" applyFont="1" applyAlignment="1">
      <alignment horizontal="center" vertical="center"/>
    </xf>
    <xf numFmtId="37" fontId="9" fillId="0" borderId="0" xfId="6" applyFont="1" applyAlignment="1">
      <alignment horizontal="center" vertical="center"/>
    </xf>
    <xf numFmtId="37" fontId="3" fillId="0" borderId="0" xfId="6" applyAlignment="1">
      <alignment horizontal="center"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6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3" borderId="0" xfId="1" applyFont="1" applyFill="1" applyAlignment="1">
      <alignment horizontal="center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15" fillId="0" borderId="0" xfId="3" applyFont="1" applyAlignment="1">
      <alignment horizontal="center"/>
    </xf>
    <xf numFmtId="0" fontId="24" fillId="0" borderId="0" xfId="3" applyFont="1" applyAlignment="1" applyProtection="1">
      <alignment horizontal="center"/>
      <protection locked="0"/>
    </xf>
    <xf numFmtId="37" fontId="33" fillId="0" borderId="0" xfId="3" quotePrefix="1" applyNumberFormat="1" applyFont="1" applyAlignment="1" applyProtection="1">
      <alignment horizontal="center"/>
      <protection locked="0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quotePrefix="1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15" fillId="0" borderId="0" xfId="8" quotePrefix="1" applyFont="1" applyAlignment="1" applyProtection="1">
      <alignment horizontal="center"/>
      <protection locked="0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7" applyFont="1" applyAlignment="1">
      <alignment horizontal="center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0" fontId="16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8" fontId="16" fillId="0" borderId="0" xfId="7" applyNumberFormat="1" applyFont="1" applyAlignment="1" applyProtection="1">
      <alignment horizontal="center"/>
      <protection locked="0"/>
    </xf>
    <xf numFmtId="0" fontId="34" fillId="0" borderId="0" xfId="7" applyFont="1" applyAlignment="1">
      <alignment horizontal="center"/>
    </xf>
    <xf numFmtId="0" fontId="34" fillId="0" borderId="0" xfId="0" applyFont="1" applyAlignment="1">
      <alignment horizontal="center"/>
    </xf>
    <xf numFmtId="168" fontId="38" fillId="0" borderId="0" xfId="7" applyNumberFormat="1" applyFont="1" applyAlignment="1" applyProtection="1">
      <alignment horizontal="center"/>
      <protection locked="0"/>
    </xf>
    <xf numFmtId="168" fontId="34" fillId="0" borderId="0" xfId="7" applyNumberFormat="1" applyFont="1" applyAlignment="1" applyProtection="1">
      <alignment horizontal="center"/>
      <protection locked="0"/>
    </xf>
    <xf numFmtId="0" fontId="35" fillId="0" borderId="0" xfId="7" applyFont="1" applyAlignment="1">
      <alignment horizontal="center"/>
    </xf>
    <xf numFmtId="0" fontId="21" fillId="0" borderId="0" xfId="7" applyFont="1" applyAlignment="1">
      <alignment horizontal="center"/>
    </xf>
    <xf numFmtId="168" fontId="38" fillId="0" borderId="0" xfId="7" applyNumberFormat="1" applyFont="1" applyAlignment="1" applyProtection="1">
      <alignment horizontal="center"/>
    </xf>
    <xf numFmtId="164" fontId="15" fillId="0" borderId="0" xfId="7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  <protection locked="0"/>
    </xf>
    <xf numFmtId="164" fontId="18" fillId="0" borderId="0" xfId="2" applyNumberFormat="1" applyFont="1" applyAlignment="1" applyProtection="1">
      <alignment horizontal="center"/>
    </xf>
    <xf numFmtId="166" fontId="18" fillId="0" borderId="0" xfId="2" applyNumberFormat="1" applyFont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</xf>
    <xf numFmtId="168" fontId="21" fillId="0" borderId="0" xfId="2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</xf>
    <xf numFmtId="0" fontId="14" fillId="0" borderId="0" xfId="2" applyFont="1" applyAlignment="1">
      <alignment horizontal="center"/>
    </xf>
    <xf numFmtId="168" fontId="14" fillId="0" borderId="0" xfId="2" applyNumberFormat="1" applyFont="1" applyAlignment="1" applyProtection="1">
      <alignment horizontal="center"/>
      <protection locked="0"/>
    </xf>
    <xf numFmtId="37" fontId="14" fillId="0" borderId="0" xfId="2" applyNumberFormat="1" applyFont="1" applyAlignment="1" applyProtection="1">
      <alignment horizontal="center"/>
    </xf>
    <xf numFmtId="168" fontId="27" fillId="0" borderId="0" xfId="2" applyNumberFormat="1" applyFont="1" applyBorder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  <protection locked="0"/>
    </xf>
    <xf numFmtId="0" fontId="16" fillId="0" borderId="0" xfId="2" applyFont="1" applyAlignment="1" applyProtection="1">
      <alignment horizontal="center"/>
      <protection locked="0"/>
    </xf>
    <xf numFmtId="37" fontId="41" fillId="0" borderId="0" xfId="10" applyNumberFormat="1" applyFont="1" applyAlignment="1" applyProtection="1">
      <alignment horizontal="right"/>
    </xf>
    <xf numFmtId="37" fontId="15" fillId="0" borderId="0" xfId="2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horizontal="center" vertical="center"/>
      <protection locked="0"/>
    </xf>
    <xf numFmtId="37" fontId="26" fillId="0" borderId="0" xfId="6" applyFont="1" applyAlignment="1" applyProtection="1">
      <alignment horizontal="left" vertical="center"/>
      <protection locked="0"/>
    </xf>
    <xf numFmtId="0" fontId="26" fillId="0" borderId="0" xfId="14" quotePrefix="1" applyFont="1" applyAlignment="1">
      <alignment horizontal="left"/>
    </xf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37" fontId="34" fillId="0" borderId="0" xfId="6" applyFont="1" applyAlignment="1">
      <alignment vertical="center"/>
    </xf>
    <xf numFmtId="37" fontId="9" fillId="0" borderId="0" xfId="6" applyFont="1" applyAlignment="1">
      <alignment vertical="center"/>
    </xf>
    <xf numFmtId="37" fontId="9" fillId="0" borderId="0" xfId="6" applyNumberFormat="1" applyFont="1" applyAlignment="1" applyProtection="1">
      <alignment vertical="center"/>
    </xf>
    <xf numFmtId="37" fontId="35" fillId="0" borderId="0" xfId="6" applyFont="1" applyAlignment="1">
      <alignment vertical="center"/>
    </xf>
    <xf numFmtId="37" fontId="37" fillId="0" borderId="0" xfId="6" applyFont="1" applyAlignment="1">
      <alignment vertical="center"/>
    </xf>
    <xf numFmtId="37" fontId="43" fillId="0" borderId="0" xfId="6" applyFont="1" applyAlignment="1">
      <alignment vertical="center"/>
    </xf>
    <xf numFmtId="0" fontId="33" fillId="0" borderId="0" xfId="14" applyFont="1" applyAlignment="1">
      <alignment horizontal="center"/>
    </xf>
    <xf numFmtId="37" fontId="21" fillId="0" borderId="0" xfId="7" applyNumberFormat="1" applyFont="1" applyProtection="1">
      <protection locked="0"/>
    </xf>
    <xf numFmtId="0" fontId="33" fillId="0" borderId="0" xfId="14" applyFont="1" applyAlignment="1">
      <alignment horizontal="center" vertical="center"/>
    </xf>
    <xf numFmtId="0" fontId="33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3" fillId="0" borderId="0" xfId="13" quotePrefix="1" applyFont="1" applyAlignment="1">
      <alignment horizontal="center"/>
    </xf>
    <xf numFmtId="0" fontId="33" fillId="0" borderId="0" xfId="8" applyFont="1" applyAlignment="1" applyProtection="1">
      <alignment horizontal="center"/>
      <protection locked="0"/>
    </xf>
    <xf numFmtId="0" fontId="33" fillId="0" borderId="0" xfId="8" applyFont="1" applyAlignment="1">
      <alignment horizontal="center"/>
    </xf>
    <xf numFmtId="0" fontId="33" fillId="0" borderId="0" xfId="4" applyFont="1" applyAlignment="1" applyProtection="1">
      <alignment horizontal="center"/>
      <protection locked="0"/>
    </xf>
    <xf numFmtId="37" fontId="33" fillId="0" borderId="0" xfId="6" quotePrefix="1" applyFont="1" applyAlignment="1" applyProtection="1">
      <alignment horizontal="left" vertical="center"/>
      <protection locked="0"/>
    </xf>
    <xf numFmtId="37" fontId="33" fillId="0" borderId="0" xfId="6" applyNumberFormat="1" applyFont="1" applyAlignment="1" applyProtection="1">
      <alignment vertical="center"/>
      <protection locked="0"/>
    </xf>
    <xf numFmtId="37" fontId="44" fillId="0" borderId="0" xfId="6" applyFont="1" applyAlignment="1">
      <alignment vertical="center"/>
    </xf>
    <xf numFmtId="37" fontId="25" fillId="0" borderId="0" xfId="6" applyFont="1" applyAlignment="1">
      <alignment vertical="center"/>
    </xf>
    <xf numFmtId="37" fontId="45" fillId="0" borderId="0" xfId="5" applyNumberFormat="1" applyFont="1" applyAlignment="1" applyProtection="1">
      <alignment vertical="center"/>
      <protection locked="0"/>
    </xf>
    <xf numFmtId="37" fontId="33" fillId="0" borderId="0" xfId="3" applyNumberFormat="1" applyFont="1" applyProtection="1">
      <protection locked="0"/>
    </xf>
    <xf numFmtId="37" fontId="33" fillId="0" borderId="0" xfId="8" applyNumberFormat="1" applyFont="1" applyProtection="1">
      <protection locked="0"/>
    </xf>
    <xf numFmtId="168" fontId="33" fillId="0" borderId="0" xfId="8" quotePrefix="1" applyNumberFormat="1" applyFont="1" applyAlignment="1" applyProtection="1">
      <alignment horizontal="left"/>
      <protection locked="0"/>
    </xf>
    <xf numFmtId="180" fontId="45" fillId="0" borderId="0" xfId="6" quotePrefix="1" applyNumberFormat="1" applyFont="1" applyAlignment="1" applyProtection="1">
      <alignment horizontal="left" vertical="center"/>
      <protection locked="0"/>
    </xf>
    <xf numFmtId="37" fontId="33" fillId="0" borderId="0" xfId="6" applyFont="1" applyAlignment="1">
      <alignment horizontal="center" vertical="center"/>
    </xf>
    <xf numFmtId="37" fontId="45" fillId="0" borderId="0" xfId="6" applyNumberFormat="1" applyFont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33" fillId="0" borderId="0" xfId="14" quotePrefix="1" applyFont="1" applyAlignment="1" applyProtection="1">
      <alignment horizontal="left"/>
      <protection locked="0"/>
    </xf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185" fontId="15" fillId="0" borderId="0" xfId="0" applyNumberFormat="1" applyFont="1"/>
    <xf numFmtId="185" fontId="16" fillId="0" borderId="0" xfId="0" applyNumberFormat="1" applyFont="1" applyAlignment="1">
      <alignment horizontal="center"/>
    </xf>
    <xf numFmtId="185" fontId="16" fillId="5" borderId="0" xfId="0" applyNumberFormat="1" applyFont="1" applyFill="1" applyAlignment="1">
      <alignment horizontal="center"/>
    </xf>
    <xf numFmtId="185" fontId="16" fillId="6" borderId="0" xfId="0" applyNumberFormat="1" applyFont="1" applyFill="1" applyAlignment="1">
      <alignment horizontal="center"/>
    </xf>
    <xf numFmtId="0" fontId="28" fillId="0" borderId="0" xfId="14" quotePrefix="1" applyFont="1" applyAlignment="1" applyProtection="1">
      <alignment horizontal="left"/>
      <protection locked="0"/>
    </xf>
    <xf numFmtId="164" fontId="18" fillId="0" borderId="0" xfId="11" applyNumberFormat="1" applyFont="1" applyProtection="1"/>
    <xf numFmtId="165" fontId="38" fillId="0" borderId="0" xfId="14" quotePrefix="1" applyNumberFormat="1" applyFont="1" applyAlignment="1" applyProtection="1">
      <alignment horizontal="center"/>
      <protection locked="0"/>
    </xf>
    <xf numFmtId="185" fontId="17" fillId="5" borderId="0" xfId="0" applyNumberFormat="1" applyFont="1" applyFill="1" applyAlignment="1">
      <alignment horizontal="center"/>
    </xf>
    <xf numFmtId="185" fontId="15" fillId="0" borderId="0" xfId="0" applyNumberFormat="1" applyFont="1" applyAlignment="1">
      <alignment horizontal="center"/>
    </xf>
    <xf numFmtId="185" fontId="16" fillId="0" borderId="2" xfId="0" applyNumberFormat="1" applyFont="1" applyBorder="1" applyAlignment="1">
      <alignment horizontal="centerContinuous"/>
    </xf>
    <xf numFmtId="166" fontId="18" fillId="0" borderId="0" xfId="11" applyNumberFormat="1" applyFont="1" applyBorder="1" applyProtection="1"/>
    <xf numFmtId="185" fontId="17" fillId="0" borderId="0" xfId="0" quotePrefix="1" applyNumberFormat="1" applyFont="1" applyBorder="1" applyAlignment="1">
      <alignment horizontal="center"/>
    </xf>
    <xf numFmtId="185" fontId="21" fillId="0" borderId="0" xfId="0" applyNumberFormat="1" applyFont="1" applyAlignment="1">
      <alignment horizontal="center"/>
    </xf>
    <xf numFmtId="185" fontId="17" fillId="0" borderId="0" xfId="0" applyNumberFormat="1" applyFont="1" applyAlignment="1">
      <alignment horizontal="center"/>
    </xf>
    <xf numFmtId="165" fontId="37" fillId="0" borderId="0" xfId="14" quotePrefix="1" applyNumberFormat="1" applyFont="1" applyAlignment="1" applyProtection="1">
      <alignment horizontal="center"/>
      <protection locked="0"/>
    </xf>
    <xf numFmtId="49" fontId="27" fillId="0" borderId="0" xfId="0" applyNumberFormat="1" applyFont="1"/>
    <xf numFmtId="185" fontId="15" fillId="0" borderId="0" xfId="0" applyNumberFormat="1" applyFont="1" applyBorder="1"/>
    <xf numFmtId="185" fontId="15" fillId="5" borderId="0" xfId="0" applyNumberFormat="1" applyFont="1" applyFill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37" fontId="15" fillId="5" borderId="0" xfId="0" applyNumberFormat="1" applyFont="1" applyFill="1"/>
    <xf numFmtId="37" fontId="15" fillId="0" borderId="0" xfId="0" applyNumberFormat="1" applyFont="1" applyAlignment="1">
      <alignment horizontal="center"/>
    </xf>
    <xf numFmtId="37" fontId="15" fillId="0" borderId="0" xfId="0" applyNumberFormat="1" applyFont="1" applyBorder="1"/>
    <xf numFmtId="37" fontId="15" fillId="0" borderId="0" xfId="0" applyNumberFormat="1" applyFont="1"/>
    <xf numFmtId="49" fontId="24" fillId="0" borderId="0" xfId="0" applyNumberFormat="1" applyFont="1" applyAlignment="1">
      <alignment horizontal="left"/>
    </xf>
    <xf numFmtId="37" fontId="15" fillId="0" borderId="0" xfId="0" quotePrefix="1" applyNumberFormat="1" applyFont="1" applyAlignment="1">
      <alignment horizont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/>
    <xf numFmtId="37" fontId="21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37" fontId="24" fillId="0" borderId="0" xfId="0" applyNumberFormat="1" applyFont="1"/>
    <xf numFmtId="37" fontId="46" fillId="0" borderId="0" xfId="0" applyNumberFormat="1" applyFont="1" applyAlignment="1">
      <alignment vertical="center"/>
    </xf>
    <xf numFmtId="49" fontId="26" fillId="0" borderId="0" xfId="0" quotePrefix="1" applyNumberFormat="1" applyFont="1" applyAlignment="1">
      <alignment horizontal="left" vertical="center"/>
    </xf>
    <xf numFmtId="185" fontId="15" fillId="0" borderId="0" xfId="0" applyNumberFormat="1" applyFont="1" applyAlignment="1">
      <alignment vertical="center"/>
    </xf>
    <xf numFmtId="37" fontId="15" fillId="0" borderId="4" xfId="0" applyNumberFormat="1" applyFont="1" applyBorder="1" applyAlignment="1">
      <alignment vertical="center"/>
    </xf>
    <xf numFmtId="37" fontId="15" fillId="0" borderId="5" xfId="0" applyNumberFormat="1" applyFont="1" applyBorder="1" applyAlignment="1">
      <alignment vertical="center"/>
    </xf>
    <xf numFmtId="37" fontId="15" fillId="0" borderId="6" xfId="0" applyNumberFormat="1" applyFont="1" applyBorder="1" applyAlignment="1">
      <alignment vertical="center"/>
    </xf>
    <xf numFmtId="37" fontId="15" fillId="0" borderId="0" xfId="0" applyNumberFormat="1" applyFont="1" applyBorder="1" applyAlignment="1">
      <alignment vertical="center"/>
    </xf>
    <xf numFmtId="37" fontId="46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vertical="center"/>
    </xf>
    <xf numFmtId="37" fontId="21" fillId="0" borderId="0" xfId="10" applyNumberFormat="1" applyFont="1" applyProtection="1">
      <protection locked="0"/>
    </xf>
    <xf numFmtId="37" fontId="45" fillId="0" borderId="0" xfId="0" applyNumberFormat="1" applyFont="1"/>
    <xf numFmtId="37" fontId="25" fillId="0" borderId="0" xfId="0" applyNumberFormat="1" applyFont="1"/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46" fillId="0" borderId="0" xfId="0" applyNumberFormat="1" applyFont="1" applyBorder="1" applyAlignment="1">
      <alignment vertical="center"/>
    </xf>
    <xf numFmtId="37" fontId="24" fillId="0" borderId="0" xfId="0" applyNumberFormat="1" applyFont="1" applyBorder="1"/>
    <xf numFmtId="37" fontId="15" fillId="5" borderId="0" xfId="0" applyNumberFormat="1" applyFont="1" applyFill="1" applyBorder="1"/>
    <xf numFmtId="49" fontId="24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49" fontId="26" fillId="0" borderId="0" xfId="0" quotePrefix="1" applyNumberFormat="1" applyFont="1" applyAlignment="1">
      <alignment vertical="center"/>
    </xf>
    <xf numFmtId="185" fontId="16" fillId="0" borderId="0" xfId="0" applyNumberFormat="1" applyFont="1" applyAlignment="1">
      <alignment vertical="center"/>
    </xf>
    <xf numFmtId="37" fontId="16" fillId="0" borderId="4" xfId="0" applyNumberFormat="1" applyFont="1" applyBorder="1" applyAlignment="1">
      <alignment vertical="center"/>
    </xf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5" borderId="0" xfId="0" applyNumberFormat="1" applyFont="1" applyFill="1" applyAlignment="1">
      <alignment vertical="center"/>
    </xf>
    <xf numFmtId="49" fontId="24" fillId="0" borderId="0" xfId="0" applyNumberFormat="1" applyFont="1"/>
    <xf numFmtId="37" fontId="15" fillId="0" borderId="4" xfId="0" applyNumberFormat="1" applyFont="1" applyBorder="1"/>
    <xf numFmtId="37" fontId="15" fillId="0" borderId="5" xfId="0" applyNumberFormat="1" applyFont="1" applyBorder="1"/>
    <xf numFmtId="37" fontId="15" fillId="0" borderId="6" xfId="0" applyNumberFormat="1" applyFont="1" applyBorder="1"/>
    <xf numFmtId="37" fontId="15" fillId="0" borderId="0" xfId="0" quotePrefix="1" applyNumberFormat="1" applyFont="1" applyAlignment="1">
      <alignment horizontal="left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49" fontId="24" fillId="0" borderId="0" xfId="0" quotePrefix="1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24" fillId="0" borderId="4" xfId="8" applyNumberFormat="1" applyFont="1" applyBorder="1" applyProtection="1">
      <protection locked="0"/>
    </xf>
    <xf numFmtId="37" fontId="24" fillId="0" borderId="5" xfId="8" applyNumberFormat="1" applyFont="1" applyBorder="1" applyProtection="1">
      <protection locked="0"/>
    </xf>
    <xf numFmtId="37" fontId="15" fillId="0" borderId="6" xfId="8" applyNumberFormat="1" applyFont="1" applyBorder="1" applyProtection="1"/>
    <xf numFmtId="37" fontId="15" fillId="0" borderId="0" xfId="8" applyNumberFormat="1" applyFont="1" applyBorder="1" applyProtection="1"/>
    <xf numFmtId="49" fontId="26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24" fillId="0" borderId="4" xfId="5" applyNumberFormat="1" applyFont="1" applyBorder="1" applyAlignment="1" applyProtection="1">
      <alignment vertical="center"/>
      <protection locked="0"/>
    </xf>
    <xf numFmtId="37" fontId="24" fillId="0" borderId="5" xfId="5" applyNumberFormat="1" applyFont="1" applyBorder="1" applyAlignment="1" applyProtection="1">
      <alignment vertical="center"/>
      <protection locked="0"/>
    </xf>
    <xf numFmtId="37" fontId="34" fillId="0" borderId="6" xfId="5" applyNumberFormat="1" applyFont="1" applyBorder="1" applyAlignment="1" applyProtection="1">
      <alignment vertical="center"/>
    </xf>
    <xf numFmtId="37" fontId="34" fillId="0" borderId="0" xfId="5" applyNumberFormat="1" applyFont="1" applyBorder="1" applyAlignment="1" applyProtection="1">
      <alignment vertical="center"/>
    </xf>
    <xf numFmtId="49" fontId="26" fillId="0" borderId="0" xfId="0" applyNumberFormat="1" applyFont="1" applyAlignment="1">
      <alignment horizontal="left"/>
    </xf>
    <xf numFmtId="49" fontId="24" fillId="0" borderId="0" xfId="0" quotePrefix="1" applyNumberFormat="1" applyFont="1" applyFill="1" applyAlignment="1">
      <alignment horizontal="left"/>
    </xf>
    <xf numFmtId="37" fontId="21" fillId="0" borderId="0" xfId="0" applyNumberFormat="1" applyFont="1" applyBorder="1" applyAlignment="1">
      <alignment vertical="center"/>
    </xf>
    <xf numFmtId="37" fontId="15" fillId="0" borderId="0" xfId="8" applyNumberFormat="1" applyFont="1" applyProtection="1">
      <protection locked="0"/>
    </xf>
    <xf numFmtId="37" fontId="17" fillId="0" borderId="0" xfId="0" applyNumberFormat="1" applyFont="1" applyAlignment="1">
      <alignment vertical="center"/>
    </xf>
    <xf numFmtId="37" fontId="47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24" fillId="0" borderId="4" xfId="3" applyNumberFormat="1" applyFont="1" applyBorder="1" applyProtection="1">
      <protection locked="0"/>
    </xf>
    <xf numFmtId="37" fontId="24" fillId="0" borderId="5" xfId="3" applyNumberFormat="1" applyFont="1" applyBorder="1" applyProtection="1">
      <protection locked="0"/>
    </xf>
    <xf numFmtId="37" fontId="15" fillId="0" borderId="6" xfId="3" applyNumberFormat="1" applyFont="1" applyBorder="1" applyProtection="1"/>
    <xf numFmtId="37" fontId="15" fillId="0" borderId="0" xfId="3" applyNumberFormat="1" applyFont="1" applyBorder="1" applyProtection="1"/>
    <xf numFmtId="185" fontId="21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16" fillId="0" borderId="7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16" fillId="5" borderId="0" xfId="0" applyNumberFormat="1" applyFont="1" applyFill="1" applyBorder="1"/>
    <xf numFmtId="37" fontId="16" fillId="0" borderId="0" xfId="0" applyNumberFormat="1" applyFont="1" applyBorder="1"/>
    <xf numFmtId="37" fontId="16" fillId="0" borderId="10" xfId="0" applyNumberFormat="1" applyFont="1" applyBorder="1"/>
    <xf numFmtId="37" fontId="16" fillId="0" borderId="8" xfId="0" applyNumberFormat="1" applyFont="1" applyBorder="1"/>
    <xf numFmtId="37" fontId="15" fillId="5" borderId="0" xfId="0" applyNumberFormat="1" applyFont="1" applyFill="1" applyBorder="1" applyAlignment="1">
      <alignment vertical="center"/>
    </xf>
    <xf numFmtId="37" fontId="16" fillId="6" borderId="0" xfId="0" applyNumberFormat="1" applyFont="1" applyFill="1" applyBorder="1"/>
    <xf numFmtId="37" fontId="16" fillId="0" borderId="7" xfId="0" applyNumberFormat="1" applyFont="1" applyBorder="1"/>
    <xf numFmtId="37" fontId="16" fillId="0" borderId="9" xfId="0" applyNumberFormat="1" applyFont="1" applyBorder="1"/>
    <xf numFmtId="37" fontId="16" fillId="0" borderId="11" xfId="0" applyNumberFormat="1" applyFont="1" applyBorder="1"/>
    <xf numFmtId="37" fontId="0" fillId="7" borderId="0" xfId="0" applyNumberFormat="1" applyFill="1"/>
    <xf numFmtId="37" fontId="0" fillId="7" borderId="0" xfId="0" applyNumberFormat="1" applyFill="1" applyBorder="1"/>
    <xf numFmtId="37" fontId="15" fillId="6" borderId="0" xfId="0" applyNumberFormat="1" applyFont="1" applyFill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185" fontId="15" fillId="7" borderId="0" xfId="0" applyNumberFormat="1" applyFont="1" applyFill="1"/>
    <xf numFmtId="49" fontId="42" fillId="0" borderId="0" xfId="14" quotePrefix="1" applyNumberFormat="1" applyFont="1" applyAlignment="1" applyProtection="1">
      <alignment horizontal="left"/>
      <protection locked="0"/>
    </xf>
    <xf numFmtId="49" fontId="36" fillId="0" borderId="0" xfId="0" quotePrefix="1" applyNumberFormat="1" applyFont="1" applyAlignment="1">
      <alignment horizontal="left" vertical="center"/>
    </xf>
    <xf numFmtId="49" fontId="36" fillId="0" borderId="0" xfId="0" quotePrefix="1" applyNumberFormat="1" applyFont="1" applyAlignment="1">
      <alignment horizontal="left"/>
    </xf>
    <xf numFmtId="168" fontId="29" fillId="0" borderId="0" xfId="9" quotePrefix="1" applyNumberFormat="1" applyFont="1" applyAlignment="1" applyProtection="1">
      <alignment horizontal="left"/>
      <protection locked="0"/>
    </xf>
    <xf numFmtId="37" fontId="34" fillId="0" borderId="0" xfId="11" applyNumberFormat="1" applyFont="1" applyProtection="1">
      <protection locked="0"/>
    </xf>
    <xf numFmtId="37" fontId="34" fillId="0" borderId="0" xfId="9" applyNumberFormat="1" applyFont="1" applyProtection="1">
      <protection locked="0"/>
    </xf>
    <xf numFmtId="37" fontId="34" fillId="0" borderId="0" xfId="14" applyNumberFormat="1" applyFont="1" applyProtection="1">
      <protection locked="0"/>
    </xf>
    <xf numFmtId="37" fontId="34" fillId="0" borderId="0" xfId="14" applyNumberFormat="1" applyFont="1" applyBorder="1" applyAlignment="1" applyProtection="1">
      <alignment vertical="center"/>
      <protection locked="0"/>
    </xf>
    <xf numFmtId="37" fontId="34" fillId="0" borderId="0" xfId="3" applyNumberFormat="1" applyFont="1" applyProtection="1">
      <protection locked="0"/>
    </xf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10" applyNumberFormat="1" applyFont="1" applyProtection="1">
      <protection locked="0"/>
    </xf>
    <xf numFmtId="37" fontId="34" fillId="0" borderId="0" xfId="13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180" fontId="24" fillId="0" borderId="0" xfId="6" quotePrefix="1" applyNumberFormat="1" applyFont="1" applyAlignment="1" applyProtection="1">
      <alignment horizontal="left" vertical="center"/>
      <protection locked="0"/>
    </xf>
    <xf numFmtId="37" fontId="34" fillId="0" borderId="0" xfId="0" applyNumberFormat="1" applyFont="1" applyAlignment="1">
      <alignment vertical="center"/>
    </xf>
    <xf numFmtId="37" fontId="35" fillId="0" borderId="0" xfId="8" applyNumberFormat="1" applyFont="1" applyProtection="1">
      <protection locked="0"/>
    </xf>
    <xf numFmtId="37" fontId="36" fillId="0" borderId="0" xfId="0" applyNumberFormat="1" applyFont="1" applyBorder="1"/>
    <xf numFmtId="49" fontId="27" fillId="0" borderId="0" xfId="0" quotePrefix="1" applyNumberFormat="1" applyFont="1" applyBorder="1" applyAlignment="1">
      <alignment horizontal="center"/>
    </xf>
    <xf numFmtId="49" fontId="17" fillId="0" borderId="0" xfId="0" quotePrefix="1" applyNumberFormat="1" applyFont="1" applyBorder="1" applyAlignment="1">
      <alignment horizontal="center"/>
    </xf>
    <xf numFmtId="185" fontId="33" fillId="0" borderId="0" xfId="0" applyNumberFormat="1" applyFont="1"/>
    <xf numFmtId="0" fontId="17" fillId="0" borderId="0" xfId="7" applyFont="1" applyAlignment="1">
      <alignment horizontal="center"/>
    </xf>
    <xf numFmtId="165" fontId="27" fillId="0" borderId="0" xfId="6" applyNumberFormat="1" applyFont="1" applyAlignment="1" applyProtection="1">
      <alignment horizontal="center" vertical="center"/>
    </xf>
    <xf numFmtId="165" fontId="37" fillId="0" borderId="0" xfId="6" applyNumberFormat="1" applyFont="1" applyAlignment="1" applyProtection="1">
      <alignment horizontal="center" vertical="center"/>
      <protection locked="0"/>
    </xf>
    <xf numFmtId="37" fontId="15" fillId="0" borderId="0" xfId="3" applyNumberFormat="1" applyFont="1" applyProtection="1">
      <protection locked="0"/>
    </xf>
    <xf numFmtId="37" fontId="33" fillId="0" borderId="0" xfId="14" applyNumberFormat="1" applyFont="1" applyProtection="1">
      <protection locked="0"/>
    </xf>
    <xf numFmtId="37" fontId="33" fillId="0" borderId="0" xfId="4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1314450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59E7032-AB1F-6599-1950-EFDBA09F12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2</xdr:row>
          <xdr:rowOff>95250</xdr:rowOff>
        </xdr:from>
        <xdr:to>
          <xdr:col>1</xdr:col>
          <xdr:colOff>1647825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0AFCEE1-6AFC-1E92-EE59-61DE0E2E89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2001CE/EMNNG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4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45.7109375" style="865" customWidth="1"/>
    <col min="2" max="2" width="7.7109375" style="865" customWidth="1"/>
    <col min="3" max="14" width="8.7109375" style="865" customWidth="1"/>
    <col min="15" max="15" width="9.85546875" style="865" customWidth="1"/>
    <col min="16" max="17" width="2.7109375" style="865" customWidth="1"/>
    <col min="18" max="18" width="20.7109375" style="973" customWidth="1"/>
    <col min="19" max="20" width="2.7109375" style="973" customWidth="1"/>
    <col min="21" max="25" width="9.7109375" style="865" customWidth="1"/>
    <col min="26" max="26" width="15.7109375" style="865" customWidth="1"/>
    <col min="27" max="16384" width="9.140625" style="865"/>
  </cols>
  <sheetData>
    <row r="1" spans="1:25" x14ac:dyDescent="0.2">
      <c r="A1" s="546" t="str">
        <f ca="1">CELL("FILENAME")</f>
        <v>P:\Finance\2002 Plan\[EMTW02PL.XLS]IncomeState</v>
      </c>
      <c r="C1" s="866"/>
      <c r="D1" s="866"/>
      <c r="E1" s="866"/>
      <c r="F1" s="866"/>
      <c r="G1" s="866"/>
      <c r="H1" s="866"/>
      <c r="I1" s="866"/>
      <c r="J1" s="866"/>
      <c r="K1" s="866"/>
      <c r="L1" s="866"/>
      <c r="M1" s="866"/>
      <c r="N1" s="866"/>
      <c r="O1" s="866"/>
      <c r="P1" s="866"/>
      <c r="Q1" s="867"/>
      <c r="R1" s="868"/>
      <c r="S1" s="867"/>
      <c r="T1" s="866"/>
    </row>
    <row r="2" spans="1:25" x14ac:dyDescent="0.2">
      <c r="A2" s="869" t="s">
        <v>38</v>
      </c>
      <c r="B2" s="870">
        <f ca="1">NOW()</f>
        <v>37189.614922222223</v>
      </c>
      <c r="C2" s="507" t="s">
        <v>371</v>
      </c>
      <c r="D2" s="507" t="s">
        <v>371</v>
      </c>
      <c r="E2" s="507" t="s">
        <v>371</v>
      </c>
      <c r="F2" s="507" t="s">
        <v>371</v>
      </c>
      <c r="G2" s="507" t="s">
        <v>371</v>
      </c>
      <c r="H2" s="507" t="s">
        <v>371</v>
      </c>
      <c r="I2" s="507" t="s">
        <v>371</v>
      </c>
      <c r="J2" s="507" t="s">
        <v>371</v>
      </c>
      <c r="K2" s="507" t="s">
        <v>371</v>
      </c>
      <c r="L2" s="507" t="s">
        <v>371</v>
      </c>
      <c r="M2" s="507" t="s">
        <v>371</v>
      </c>
      <c r="N2" s="507" t="s">
        <v>371</v>
      </c>
      <c r="O2" s="402" t="s">
        <v>930</v>
      </c>
      <c r="P2" s="871"/>
      <c r="Q2" s="872"/>
      <c r="R2" s="873" t="s">
        <v>39</v>
      </c>
      <c r="S2" s="872"/>
      <c r="T2" s="871"/>
      <c r="U2" s="874" t="s">
        <v>40</v>
      </c>
      <c r="V2" s="874"/>
      <c r="W2" s="874"/>
      <c r="X2" s="874"/>
      <c r="Y2" s="866" t="s">
        <v>930</v>
      </c>
    </row>
    <row r="3" spans="1:25" x14ac:dyDescent="0.2">
      <c r="A3" s="974" t="str">
        <f>+IncomeState!A3</f>
        <v>2002 OPERATING PLAN</v>
      </c>
      <c r="B3" s="875">
        <f ca="1">NOW()</f>
        <v>37189.614922222223</v>
      </c>
      <c r="C3" s="300" t="s">
        <v>609</v>
      </c>
      <c r="D3" s="300" t="s">
        <v>610</v>
      </c>
      <c r="E3" s="300" t="s">
        <v>611</v>
      </c>
      <c r="F3" s="300" t="s">
        <v>612</v>
      </c>
      <c r="G3" s="300" t="s">
        <v>613</v>
      </c>
      <c r="H3" s="300" t="s">
        <v>614</v>
      </c>
      <c r="I3" s="300" t="s">
        <v>615</v>
      </c>
      <c r="J3" s="300" t="s">
        <v>616</v>
      </c>
      <c r="K3" s="300" t="s">
        <v>617</v>
      </c>
      <c r="L3" s="300" t="s">
        <v>618</v>
      </c>
      <c r="M3" s="300" t="s">
        <v>619</v>
      </c>
      <c r="N3" s="300" t="s">
        <v>620</v>
      </c>
      <c r="O3" s="992">
        <v>2002</v>
      </c>
      <c r="P3" s="876"/>
      <c r="Q3" s="872"/>
      <c r="R3" s="877" t="s">
        <v>41</v>
      </c>
      <c r="S3" s="872"/>
      <c r="T3" s="876"/>
      <c r="U3" s="878" t="s">
        <v>932</v>
      </c>
      <c r="V3" s="878" t="s">
        <v>933</v>
      </c>
      <c r="W3" s="878" t="s">
        <v>934</v>
      </c>
      <c r="X3" s="878" t="s">
        <v>935</v>
      </c>
      <c r="Y3" s="993">
        <f>+O3</f>
        <v>2002</v>
      </c>
    </row>
    <row r="4" spans="1:25" x14ac:dyDescent="0.2">
      <c r="A4" s="551"/>
      <c r="B4" s="875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879"/>
      <c r="P4" s="879"/>
      <c r="Q4" s="872"/>
      <c r="R4" s="877"/>
      <c r="S4" s="872"/>
      <c r="T4" s="879"/>
      <c r="U4" s="878"/>
      <c r="V4" s="878"/>
      <c r="W4" s="878"/>
      <c r="X4" s="878"/>
      <c r="Y4" s="876"/>
    </row>
    <row r="5" spans="1:25" x14ac:dyDescent="0.2">
      <c r="A5" s="880" t="s">
        <v>42</v>
      </c>
      <c r="O5" s="881"/>
      <c r="P5" s="881"/>
      <c r="Q5" s="882"/>
      <c r="R5" s="865"/>
      <c r="S5" s="882"/>
      <c r="T5" s="881"/>
    </row>
    <row r="6" spans="1:25" x14ac:dyDescent="0.2">
      <c r="A6" s="883" t="s">
        <v>43</v>
      </c>
      <c r="O6" s="881"/>
      <c r="P6" s="881"/>
      <c r="Q6" s="882"/>
      <c r="R6" s="865"/>
      <c r="S6" s="882"/>
      <c r="T6" s="881"/>
    </row>
    <row r="7" spans="1:25" x14ac:dyDescent="0.2">
      <c r="A7" s="884" t="s">
        <v>1012</v>
      </c>
      <c r="C7" s="533">
        <v>0</v>
      </c>
      <c r="D7" s="533">
        <v>0</v>
      </c>
      <c r="E7" s="533">
        <v>0</v>
      </c>
      <c r="F7" s="533">
        <v>0</v>
      </c>
      <c r="G7" s="533">
        <v>0</v>
      </c>
      <c r="H7" s="533">
        <v>0</v>
      </c>
      <c r="I7" s="533">
        <v>0</v>
      </c>
      <c r="J7" s="533">
        <v>0</v>
      </c>
      <c r="K7" s="533">
        <v>0</v>
      </c>
      <c r="L7" s="533">
        <v>0</v>
      </c>
      <c r="M7" s="533">
        <v>0</v>
      </c>
      <c r="N7" s="533">
        <v>0</v>
      </c>
      <c r="O7" s="279">
        <f t="shared" ref="O7:O33" si="0">SUM(C7:N7)</f>
        <v>0</v>
      </c>
      <c r="P7" s="279"/>
      <c r="Q7" s="885"/>
      <c r="R7" s="886" t="s">
        <v>44</v>
      </c>
      <c r="S7" s="885"/>
      <c r="T7" s="279"/>
      <c r="U7" s="887">
        <f t="shared" ref="U7:U30" si="1">C7+D7+E7</f>
        <v>0</v>
      </c>
      <c r="V7" s="887">
        <f t="shared" ref="V7:V30" si="2">F7+G7+H7</f>
        <v>0</v>
      </c>
      <c r="W7" s="887">
        <f t="shared" ref="W7:W30" si="3">I7+J7+K7</f>
        <v>0</v>
      </c>
      <c r="X7" s="887">
        <f t="shared" ref="X7:X30" si="4">L7+M7+N7</f>
        <v>0</v>
      </c>
      <c r="Y7" s="888">
        <f t="shared" ref="Y7:Y30" si="5">SUM(U7:X7)</f>
        <v>0</v>
      </c>
    </row>
    <row r="8" spans="1:25" x14ac:dyDescent="0.2">
      <c r="A8" s="884" t="s">
        <v>1010</v>
      </c>
      <c r="C8" s="533">
        <v>0</v>
      </c>
      <c r="D8" s="533">
        <v>0</v>
      </c>
      <c r="E8" s="533">
        <v>0</v>
      </c>
      <c r="F8" s="533">
        <v>0</v>
      </c>
      <c r="G8" s="533">
        <v>0</v>
      </c>
      <c r="H8" s="533">
        <v>0</v>
      </c>
      <c r="I8" s="533">
        <v>0</v>
      </c>
      <c r="J8" s="533">
        <v>0</v>
      </c>
      <c r="K8" s="533">
        <v>0</v>
      </c>
      <c r="L8" s="533">
        <v>0</v>
      </c>
      <c r="M8" s="533">
        <v>0</v>
      </c>
      <c r="N8" s="533">
        <v>0</v>
      </c>
      <c r="O8" s="279">
        <f t="shared" si="0"/>
        <v>0</v>
      </c>
      <c r="P8" s="279"/>
      <c r="Q8" s="885"/>
      <c r="R8" s="886" t="s">
        <v>44</v>
      </c>
      <c r="S8" s="885"/>
      <c r="T8" s="279"/>
      <c r="U8" s="887">
        <f t="shared" si="1"/>
        <v>0</v>
      </c>
      <c r="V8" s="887">
        <f t="shared" si="2"/>
        <v>0</v>
      </c>
      <c r="W8" s="887">
        <f t="shared" si="3"/>
        <v>0</v>
      </c>
      <c r="X8" s="887">
        <f t="shared" si="4"/>
        <v>0</v>
      </c>
      <c r="Y8" s="888">
        <f t="shared" si="5"/>
        <v>0</v>
      </c>
    </row>
    <row r="9" spans="1:25" x14ac:dyDescent="0.2">
      <c r="A9" s="884" t="s">
        <v>1013</v>
      </c>
      <c r="C9" s="533">
        <v>0</v>
      </c>
      <c r="D9" s="533">
        <v>0</v>
      </c>
      <c r="E9" s="533">
        <v>0</v>
      </c>
      <c r="F9" s="533">
        <v>0</v>
      </c>
      <c r="G9" s="533">
        <v>0</v>
      </c>
      <c r="H9" s="533">
        <v>0</v>
      </c>
      <c r="I9" s="533">
        <v>0</v>
      </c>
      <c r="J9" s="533">
        <v>0</v>
      </c>
      <c r="K9" s="533">
        <v>0</v>
      </c>
      <c r="L9" s="533">
        <v>0</v>
      </c>
      <c r="M9" s="533">
        <v>0</v>
      </c>
      <c r="N9" s="533">
        <v>0</v>
      </c>
      <c r="O9" s="53">
        <f t="shared" si="0"/>
        <v>0</v>
      </c>
      <c r="P9" s="53"/>
      <c r="Q9" s="885"/>
      <c r="R9" s="886" t="s">
        <v>46</v>
      </c>
      <c r="S9" s="885"/>
      <c r="T9" s="53"/>
      <c r="U9" s="887">
        <f t="shared" si="1"/>
        <v>0</v>
      </c>
      <c r="V9" s="887">
        <f t="shared" si="2"/>
        <v>0</v>
      </c>
      <c r="W9" s="887">
        <f t="shared" si="3"/>
        <v>0</v>
      </c>
      <c r="X9" s="887">
        <f t="shared" si="4"/>
        <v>0</v>
      </c>
      <c r="Y9" s="888">
        <f t="shared" si="5"/>
        <v>0</v>
      </c>
    </row>
    <row r="10" spans="1:25" x14ac:dyDescent="0.2">
      <c r="A10" s="889" t="s">
        <v>45</v>
      </c>
      <c r="C10" s="533">
        <v>0</v>
      </c>
      <c r="D10" s="533">
        <v>0</v>
      </c>
      <c r="E10" s="533">
        <v>0</v>
      </c>
      <c r="F10" s="533">
        <v>0</v>
      </c>
      <c r="G10" s="533">
        <v>0</v>
      </c>
      <c r="H10" s="533">
        <v>0</v>
      </c>
      <c r="I10" s="533">
        <v>0</v>
      </c>
      <c r="J10" s="533">
        <v>0</v>
      </c>
      <c r="K10" s="533">
        <v>0</v>
      </c>
      <c r="L10" s="533">
        <v>0</v>
      </c>
      <c r="M10" s="533">
        <v>0</v>
      </c>
      <c r="N10" s="533">
        <v>0</v>
      </c>
      <c r="O10" s="279">
        <f t="shared" si="0"/>
        <v>0</v>
      </c>
      <c r="P10" s="279"/>
      <c r="Q10" s="885"/>
      <c r="R10" s="886" t="s">
        <v>46</v>
      </c>
      <c r="S10" s="885"/>
      <c r="T10" s="279"/>
      <c r="U10" s="887">
        <f t="shared" si="1"/>
        <v>0</v>
      </c>
      <c r="V10" s="887">
        <f t="shared" si="2"/>
        <v>0</v>
      </c>
      <c r="W10" s="887">
        <f t="shared" si="3"/>
        <v>0</v>
      </c>
      <c r="X10" s="887">
        <f t="shared" si="4"/>
        <v>0</v>
      </c>
      <c r="Y10" s="888">
        <f t="shared" si="5"/>
        <v>0</v>
      </c>
    </row>
    <row r="11" spans="1:25" ht="6" customHeight="1" x14ac:dyDescent="0.2">
      <c r="A11" s="889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279"/>
      <c r="P11" s="279"/>
      <c r="Q11" s="885"/>
      <c r="R11" s="886"/>
      <c r="S11" s="885"/>
      <c r="T11" s="279"/>
      <c r="U11" s="887"/>
      <c r="V11" s="887"/>
      <c r="W11" s="887"/>
      <c r="X11" s="887"/>
      <c r="Y11" s="888"/>
    </row>
    <row r="12" spans="1:25" x14ac:dyDescent="0.2">
      <c r="A12" s="884" t="s">
        <v>47</v>
      </c>
      <c r="C12" s="533">
        <v>12633</v>
      </c>
      <c r="D12" s="533">
        <v>11271</v>
      </c>
      <c r="E12" s="533">
        <v>12352</v>
      </c>
      <c r="F12" s="533">
        <v>12064</v>
      </c>
      <c r="G12" s="533">
        <v>12428</v>
      </c>
      <c r="H12" s="533">
        <v>12992</v>
      </c>
      <c r="I12" s="533">
        <v>13945</v>
      </c>
      <c r="J12" s="533">
        <v>13936</v>
      </c>
      <c r="K12" s="533">
        <v>13484</v>
      </c>
      <c r="L12" s="533">
        <v>13828</v>
      </c>
      <c r="M12" s="533">
        <v>14099</v>
      </c>
      <c r="N12" s="533">
        <v>14603</v>
      </c>
      <c r="O12" s="887">
        <f t="shared" si="0"/>
        <v>157635</v>
      </c>
      <c r="P12" s="887"/>
      <c r="Q12" s="885"/>
      <c r="R12" s="890" t="s">
        <v>48</v>
      </c>
      <c r="S12" s="885"/>
      <c r="T12" s="887"/>
      <c r="U12" s="887">
        <f t="shared" si="1"/>
        <v>36256</v>
      </c>
      <c r="V12" s="887">
        <f t="shared" si="2"/>
        <v>37484</v>
      </c>
      <c r="W12" s="887">
        <f t="shared" si="3"/>
        <v>41365</v>
      </c>
      <c r="X12" s="887">
        <f t="shared" si="4"/>
        <v>42530</v>
      </c>
      <c r="Y12" s="888">
        <f t="shared" si="5"/>
        <v>157635</v>
      </c>
    </row>
    <row r="13" spans="1:25" x14ac:dyDescent="0.2">
      <c r="A13" s="884" t="s">
        <v>49</v>
      </c>
      <c r="C13" s="533">
        <v>0</v>
      </c>
      <c r="D13" s="533">
        <v>0</v>
      </c>
      <c r="E13" s="533">
        <v>0</v>
      </c>
      <c r="F13" s="533">
        <v>0</v>
      </c>
      <c r="G13" s="533">
        <v>0</v>
      </c>
      <c r="H13" s="533">
        <v>0</v>
      </c>
      <c r="I13" s="533">
        <v>0</v>
      </c>
      <c r="J13" s="533">
        <v>0</v>
      </c>
      <c r="K13" s="533">
        <v>0</v>
      </c>
      <c r="L13" s="533">
        <v>0</v>
      </c>
      <c r="M13" s="533">
        <v>0</v>
      </c>
      <c r="N13" s="533">
        <v>0</v>
      </c>
      <c r="O13" s="887">
        <f t="shared" si="0"/>
        <v>0</v>
      </c>
      <c r="P13" s="887"/>
      <c r="Q13" s="885"/>
      <c r="R13" s="890" t="s">
        <v>48</v>
      </c>
      <c r="S13" s="885"/>
      <c r="T13" s="887"/>
      <c r="U13" s="887">
        <f t="shared" si="1"/>
        <v>0</v>
      </c>
      <c r="V13" s="887">
        <f t="shared" si="2"/>
        <v>0</v>
      </c>
      <c r="W13" s="887">
        <f t="shared" si="3"/>
        <v>0</v>
      </c>
      <c r="X13" s="887">
        <f t="shared" si="4"/>
        <v>0</v>
      </c>
      <c r="Y13" s="888">
        <f t="shared" si="5"/>
        <v>0</v>
      </c>
    </row>
    <row r="14" spans="1:25" x14ac:dyDescent="0.2">
      <c r="A14" s="303" t="s">
        <v>50</v>
      </c>
      <c r="C14" s="533">
        <v>0</v>
      </c>
      <c r="D14" s="533">
        <v>0</v>
      </c>
      <c r="E14" s="533">
        <v>0</v>
      </c>
      <c r="F14" s="533">
        <v>0</v>
      </c>
      <c r="G14" s="533">
        <v>0</v>
      </c>
      <c r="H14" s="533">
        <v>0</v>
      </c>
      <c r="I14" s="533">
        <v>0</v>
      </c>
      <c r="J14" s="533">
        <v>0</v>
      </c>
      <c r="K14" s="533">
        <v>0</v>
      </c>
      <c r="L14" s="533">
        <v>0</v>
      </c>
      <c r="M14" s="533">
        <v>0</v>
      </c>
      <c r="N14" s="533">
        <v>0</v>
      </c>
      <c r="O14" s="887">
        <f t="shared" si="0"/>
        <v>0</v>
      </c>
      <c r="P14" s="887"/>
      <c r="Q14" s="885"/>
      <c r="R14" s="890" t="s">
        <v>48</v>
      </c>
      <c r="S14" s="885"/>
      <c r="T14" s="887"/>
      <c r="U14" s="887">
        <f t="shared" si="1"/>
        <v>0</v>
      </c>
      <c r="V14" s="887">
        <f t="shared" si="2"/>
        <v>0</v>
      </c>
      <c r="W14" s="887">
        <f t="shared" si="3"/>
        <v>0</v>
      </c>
      <c r="X14" s="887">
        <f t="shared" si="4"/>
        <v>0</v>
      </c>
      <c r="Y14" s="888">
        <f t="shared" si="5"/>
        <v>0</v>
      </c>
    </row>
    <row r="15" spans="1:25" x14ac:dyDescent="0.2">
      <c r="A15" s="884" t="s">
        <v>51</v>
      </c>
      <c r="C15" s="533">
        <v>961</v>
      </c>
      <c r="D15" s="533">
        <v>838</v>
      </c>
      <c r="E15" s="533">
        <v>904</v>
      </c>
      <c r="F15" s="533">
        <v>949</v>
      </c>
      <c r="G15" s="533">
        <v>1045</v>
      </c>
      <c r="H15" s="533">
        <v>1188</v>
      </c>
      <c r="I15" s="533">
        <v>1279</v>
      </c>
      <c r="J15" s="533">
        <v>1278</v>
      </c>
      <c r="K15" s="533">
        <v>1203</v>
      </c>
      <c r="L15" s="533">
        <v>1204</v>
      </c>
      <c r="M15" s="533">
        <v>1088</v>
      </c>
      <c r="N15" s="533">
        <v>1147</v>
      </c>
      <c r="O15" s="887">
        <f t="shared" si="0"/>
        <v>13084</v>
      </c>
      <c r="P15" s="887"/>
      <c r="Q15" s="885"/>
      <c r="R15" s="890" t="s">
        <v>48</v>
      </c>
      <c r="S15" s="885"/>
      <c r="T15" s="887"/>
      <c r="U15" s="887">
        <f t="shared" si="1"/>
        <v>2703</v>
      </c>
      <c r="V15" s="887">
        <f t="shared" si="2"/>
        <v>3182</v>
      </c>
      <c r="W15" s="887">
        <f t="shared" si="3"/>
        <v>3760</v>
      </c>
      <c r="X15" s="887">
        <f t="shared" si="4"/>
        <v>3439</v>
      </c>
      <c r="Y15" s="888">
        <f t="shared" si="5"/>
        <v>13084</v>
      </c>
    </row>
    <row r="16" spans="1:25" x14ac:dyDescent="0.2">
      <c r="A16" s="884" t="s">
        <v>49</v>
      </c>
      <c r="C16" s="533">
        <v>0</v>
      </c>
      <c r="D16" s="533">
        <v>0</v>
      </c>
      <c r="E16" s="533">
        <v>0</v>
      </c>
      <c r="F16" s="533">
        <v>0</v>
      </c>
      <c r="G16" s="533">
        <v>0</v>
      </c>
      <c r="H16" s="533">
        <v>0</v>
      </c>
      <c r="I16" s="533">
        <v>0</v>
      </c>
      <c r="J16" s="533">
        <v>0</v>
      </c>
      <c r="K16" s="533">
        <v>0</v>
      </c>
      <c r="L16" s="533">
        <v>0</v>
      </c>
      <c r="M16" s="533">
        <v>0</v>
      </c>
      <c r="N16" s="533">
        <v>0</v>
      </c>
      <c r="O16" s="887">
        <f t="shared" si="0"/>
        <v>0</v>
      </c>
      <c r="P16" s="887"/>
      <c r="Q16" s="885"/>
      <c r="R16" s="890" t="s">
        <v>48</v>
      </c>
      <c r="S16" s="885"/>
      <c r="T16" s="887"/>
      <c r="U16" s="887">
        <f t="shared" si="1"/>
        <v>0</v>
      </c>
      <c r="V16" s="887">
        <f t="shared" si="2"/>
        <v>0</v>
      </c>
      <c r="W16" s="887">
        <f t="shared" si="3"/>
        <v>0</v>
      </c>
      <c r="X16" s="887">
        <f t="shared" si="4"/>
        <v>0</v>
      </c>
      <c r="Y16" s="888">
        <f t="shared" si="5"/>
        <v>0</v>
      </c>
    </row>
    <row r="17" spans="1:25" x14ac:dyDescent="0.2">
      <c r="A17" s="303" t="s">
        <v>50</v>
      </c>
      <c r="C17" s="533">
        <v>0</v>
      </c>
      <c r="D17" s="533">
        <v>0</v>
      </c>
      <c r="E17" s="533">
        <v>0</v>
      </c>
      <c r="F17" s="533">
        <v>0</v>
      </c>
      <c r="G17" s="533">
        <v>0</v>
      </c>
      <c r="H17" s="533">
        <v>0</v>
      </c>
      <c r="I17" s="533">
        <v>0</v>
      </c>
      <c r="J17" s="533">
        <v>0</v>
      </c>
      <c r="K17" s="533">
        <v>0</v>
      </c>
      <c r="L17" s="533">
        <v>0</v>
      </c>
      <c r="M17" s="533">
        <v>0</v>
      </c>
      <c r="N17" s="533">
        <v>0</v>
      </c>
      <c r="O17" s="887">
        <f t="shared" si="0"/>
        <v>0</v>
      </c>
      <c r="P17" s="887"/>
      <c r="Q17" s="885"/>
      <c r="R17" s="890" t="s">
        <v>48</v>
      </c>
      <c r="S17" s="885"/>
      <c r="T17" s="887"/>
      <c r="U17" s="887">
        <f t="shared" si="1"/>
        <v>0</v>
      </c>
      <c r="V17" s="887">
        <f t="shared" si="2"/>
        <v>0</v>
      </c>
      <c r="W17" s="887">
        <f t="shared" si="3"/>
        <v>0</v>
      </c>
      <c r="X17" s="887">
        <f t="shared" si="4"/>
        <v>0</v>
      </c>
      <c r="Y17" s="888">
        <f t="shared" si="5"/>
        <v>0</v>
      </c>
    </row>
    <row r="18" spans="1:25" x14ac:dyDescent="0.2">
      <c r="A18" s="884" t="s">
        <v>1004</v>
      </c>
      <c r="C18" s="293">
        <v>0</v>
      </c>
      <c r="D18" s="293">
        <v>0</v>
      </c>
      <c r="E18" s="293">
        <v>0</v>
      </c>
      <c r="F18" s="293">
        <v>0</v>
      </c>
      <c r="G18" s="293">
        <v>0</v>
      </c>
      <c r="H18" s="293">
        <v>0</v>
      </c>
      <c r="I18" s="293">
        <v>0</v>
      </c>
      <c r="J18" s="293">
        <v>0</v>
      </c>
      <c r="K18" s="293">
        <v>0</v>
      </c>
      <c r="L18" s="293">
        <v>0</v>
      </c>
      <c r="M18" s="293">
        <v>0</v>
      </c>
      <c r="N18" s="293">
        <v>0</v>
      </c>
      <c r="O18" s="292">
        <f t="shared" si="0"/>
        <v>0</v>
      </c>
      <c r="P18" s="292"/>
      <c r="Q18" s="885"/>
      <c r="R18" s="890" t="s">
        <v>48</v>
      </c>
      <c r="S18" s="885"/>
      <c r="T18" s="292"/>
      <c r="U18" s="887">
        <f t="shared" si="1"/>
        <v>0</v>
      </c>
      <c r="V18" s="887">
        <f t="shared" si="2"/>
        <v>0</v>
      </c>
      <c r="W18" s="887">
        <f t="shared" si="3"/>
        <v>0</v>
      </c>
      <c r="X18" s="887">
        <f t="shared" si="4"/>
        <v>0</v>
      </c>
      <c r="Y18" s="888">
        <f t="shared" si="5"/>
        <v>0</v>
      </c>
    </row>
    <row r="19" spans="1:25" x14ac:dyDescent="0.2">
      <c r="A19" s="884" t="s">
        <v>149</v>
      </c>
      <c r="C19" s="293">
        <v>0</v>
      </c>
      <c r="D19" s="293">
        <v>0</v>
      </c>
      <c r="E19" s="293">
        <v>0</v>
      </c>
      <c r="F19" s="293">
        <v>0</v>
      </c>
      <c r="G19" s="293">
        <v>0</v>
      </c>
      <c r="H19" s="293">
        <v>0</v>
      </c>
      <c r="I19" s="293">
        <v>0</v>
      </c>
      <c r="J19" s="293">
        <v>0</v>
      </c>
      <c r="K19" s="293">
        <v>0</v>
      </c>
      <c r="L19" s="293">
        <v>0</v>
      </c>
      <c r="M19" s="293">
        <v>0</v>
      </c>
      <c r="N19" s="293">
        <v>0</v>
      </c>
      <c r="O19" s="292">
        <f t="shared" si="0"/>
        <v>0</v>
      </c>
      <c r="P19" s="292"/>
      <c r="Q19" s="885"/>
      <c r="R19" s="890" t="s">
        <v>48</v>
      </c>
      <c r="S19" s="885"/>
      <c r="T19" s="292"/>
      <c r="U19" s="887">
        <f t="shared" si="1"/>
        <v>0</v>
      </c>
      <c r="V19" s="887">
        <f t="shared" si="2"/>
        <v>0</v>
      </c>
      <c r="W19" s="887">
        <f t="shared" si="3"/>
        <v>0</v>
      </c>
      <c r="X19" s="887">
        <f t="shared" si="4"/>
        <v>0</v>
      </c>
      <c r="Y19" s="888">
        <f t="shared" si="5"/>
        <v>0</v>
      </c>
    </row>
    <row r="20" spans="1:25" x14ac:dyDescent="0.2">
      <c r="A20" s="884" t="s">
        <v>150</v>
      </c>
      <c r="C20" s="999">
        <f>-50+50</f>
        <v>0</v>
      </c>
      <c r="D20" s="999">
        <f t="shared" ref="D20:N20" si="6">-50+50</f>
        <v>0</v>
      </c>
      <c r="E20" s="999">
        <f t="shared" si="6"/>
        <v>0</v>
      </c>
      <c r="F20" s="999">
        <f t="shared" si="6"/>
        <v>0</v>
      </c>
      <c r="G20" s="999">
        <f t="shared" si="6"/>
        <v>0</v>
      </c>
      <c r="H20" s="999">
        <f t="shared" si="6"/>
        <v>0</v>
      </c>
      <c r="I20" s="999">
        <f t="shared" si="6"/>
        <v>0</v>
      </c>
      <c r="J20" s="999">
        <f t="shared" si="6"/>
        <v>0</v>
      </c>
      <c r="K20" s="999">
        <f t="shared" si="6"/>
        <v>0</v>
      </c>
      <c r="L20" s="999">
        <f t="shared" si="6"/>
        <v>0</v>
      </c>
      <c r="M20" s="999">
        <f t="shared" si="6"/>
        <v>0</v>
      </c>
      <c r="N20" s="999">
        <f t="shared" si="6"/>
        <v>0</v>
      </c>
      <c r="O20" s="292">
        <f t="shared" si="0"/>
        <v>0</v>
      </c>
      <c r="P20" s="292"/>
      <c r="Q20" s="885"/>
      <c r="R20" s="890" t="s">
        <v>48</v>
      </c>
      <c r="S20" s="885"/>
      <c r="T20" s="292"/>
      <c r="U20" s="887">
        <f t="shared" si="1"/>
        <v>0</v>
      </c>
      <c r="V20" s="887">
        <f t="shared" si="2"/>
        <v>0</v>
      </c>
      <c r="W20" s="887">
        <f t="shared" si="3"/>
        <v>0</v>
      </c>
      <c r="X20" s="887">
        <f t="shared" si="4"/>
        <v>0</v>
      </c>
      <c r="Y20" s="888">
        <f t="shared" si="5"/>
        <v>0</v>
      </c>
    </row>
    <row r="21" spans="1:25" x14ac:dyDescent="0.2">
      <c r="A21" s="884" t="s">
        <v>52</v>
      </c>
      <c r="C21" s="533">
        <v>0</v>
      </c>
      <c r="D21" s="533">
        <v>0</v>
      </c>
      <c r="E21" s="533">
        <v>0</v>
      </c>
      <c r="F21" s="533">
        <v>0</v>
      </c>
      <c r="G21" s="533">
        <v>0</v>
      </c>
      <c r="H21" s="533">
        <v>0</v>
      </c>
      <c r="I21" s="533">
        <v>0</v>
      </c>
      <c r="J21" s="533">
        <v>0</v>
      </c>
      <c r="K21" s="533">
        <v>0</v>
      </c>
      <c r="L21" s="533">
        <v>0</v>
      </c>
      <c r="M21" s="533">
        <v>0</v>
      </c>
      <c r="N21" s="533">
        <v>0</v>
      </c>
      <c r="O21" s="538">
        <f t="shared" si="0"/>
        <v>0</v>
      </c>
      <c r="P21" s="538"/>
      <c r="Q21" s="885"/>
      <c r="R21" s="890" t="s">
        <v>48</v>
      </c>
      <c r="S21" s="885"/>
      <c r="T21" s="538"/>
      <c r="U21" s="887">
        <f t="shared" si="1"/>
        <v>0</v>
      </c>
      <c r="V21" s="887">
        <f t="shared" si="2"/>
        <v>0</v>
      </c>
      <c r="W21" s="887">
        <f t="shared" si="3"/>
        <v>0</v>
      </c>
      <c r="X21" s="887">
        <f t="shared" si="4"/>
        <v>0</v>
      </c>
      <c r="Y21" s="888">
        <f t="shared" si="5"/>
        <v>0</v>
      </c>
    </row>
    <row r="22" spans="1:25" x14ac:dyDescent="0.2">
      <c r="A22" s="884" t="s">
        <v>53</v>
      </c>
      <c r="C22" s="533">
        <v>0</v>
      </c>
      <c r="D22" s="533">
        <v>0</v>
      </c>
      <c r="E22" s="533">
        <v>0</v>
      </c>
      <c r="F22" s="533">
        <v>0</v>
      </c>
      <c r="G22" s="533">
        <v>0</v>
      </c>
      <c r="H22" s="533">
        <v>0</v>
      </c>
      <c r="I22" s="533">
        <v>0</v>
      </c>
      <c r="J22" s="533">
        <v>0</v>
      </c>
      <c r="K22" s="533">
        <v>0</v>
      </c>
      <c r="L22" s="533">
        <v>0</v>
      </c>
      <c r="M22" s="533">
        <v>0</v>
      </c>
      <c r="N22" s="533">
        <v>0</v>
      </c>
      <c r="O22" s="538">
        <f t="shared" si="0"/>
        <v>0</v>
      </c>
      <c r="P22" s="538"/>
      <c r="Q22" s="885"/>
      <c r="R22" s="890" t="s">
        <v>48</v>
      </c>
      <c r="S22" s="885"/>
      <c r="T22" s="538"/>
      <c r="U22" s="887">
        <f t="shared" si="1"/>
        <v>0</v>
      </c>
      <c r="V22" s="887">
        <f t="shared" si="2"/>
        <v>0</v>
      </c>
      <c r="W22" s="887">
        <f t="shared" si="3"/>
        <v>0</v>
      </c>
      <c r="X22" s="887">
        <f t="shared" si="4"/>
        <v>0</v>
      </c>
      <c r="Y22" s="888">
        <f t="shared" si="5"/>
        <v>0</v>
      </c>
    </row>
    <row r="23" spans="1:25" x14ac:dyDescent="0.2">
      <c r="A23" s="884" t="s">
        <v>54</v>
      </c>
      <c r="C23" s="293">
        <v>0</v>
      </c>
      <c r="D23" s="293">
        <v>0</v>
      </c>
      <c r="E23" s="293">
        <v>0</v>
      </c>
      <c r="F23" s="293">
        <v>0</v>
      </c>
      <c r="G23" s="293">
        <v>0</v>
      </c>
      <c r="H23" s="293">
        <v>0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538">
        <f t="shared" si="0"/>
        <v>0</v>
      </c>
      <c r="P23" s="538"/>
      <c r="Q23" s="885"/>
      <c r="R23" s="890" t="s">
        <v>48</v>
      </c>
      <c r="S23" s="885"/>
      <c r="T23" s="538"/>
      <c r="U23" s="887">
        <f t="shared" si="1"/>
        <v>0</v>
      </c>
      <c r="V23" s="887">
        <f t="shared" si="2"/>
        <v>0</v>
      </c>
      <c r="W23" s="887">
        <f t="shared" si="3"/>
        <v>0</v>
      </c>
      <c r="X23" s="887">
        <f t="shared" si="4"/>
        <v>0</v>
      </c>
      <c r="Y23" s="888">
        <f t="shared" si="5"/>
        <v>0</v>
      </c>
    </row>
    <row r="24" spans="1:25" x14ac:dyDescent="0.2">
      <c r="A24" s="884" t="s">
        <v>151</v>
      </c>
      <c r="C24" s="685">
        <v>-12</v>
      </c>
      <c r="D24" s="685">
        <v>-13</v>
      </c>
      <c r="E24" s="685">
        <v>-12</v>
      </c>
      <c r="F24" s="685">
        <v>-13</v>
      </c>
      <c r="G24" s="685">
        <v>-12</v>
      </c>
      <c r="H24" s="685">
        <v>-13</v>
      </c>
      <c r="I24" s="685">
        <v>-13</v>
      </c>
      <c r="J24" s="685">
        <v>-12</v>
      </c>
      <c r="K24" s="685">
        <v>-13</v>
      </c>
      <c r="L24" s="685">
        <v>-12</v>
      </c>
      <c r="M24" s="685">
        <v>-12</v>
      </c>
      <c r="N24" s="685">
        <v>-13</v>
      </c>
      <c r="O24" s="292">
        <f t="shared" si="0"/>
        <v>-150</v>
      </c>
      <c r="P24" s="292"/>
      <c r="Q24" s="885"/>
      <c r="R24" s="890" t="s">
        <v>48</v>
      </c>
      <c r="S24" s="885"/>
      <c r="T24" s="292"/>
      <c r="U24" s="887">
        <f t="shared" si="1"/>
        <v>-37</v>
      </c>
      <c r="V24" s="887">
        <f t="shared" si="2"/>
        <v>-38</v>
      </c>
      <c r="W24" s="887">
        <f t="shared" si="3"/>
        <v>-38</v>
      </c>
      <c r="X24" s="887">
        <f t="shared" si="4"/>
        <v>-37</v>
      </c>
      <c r="Y24" s="888">
        <f t="shared" si="5"/>
        <v>-150</v>
      </c>
    </row>
    <row r="25" spans="1:25" x14ac:dyDescent="0.2">
      <c r="A25" s="884" t="s">
        <v>152</v>
      </c>
      <c r="C25" s="293">
        <v>-17</v>
      </c>
      <c r="D25" s="293">
        <v>-17</v>
      </c>
      <c r="E25" s="293">
        <v>-15</v>
      </c>
      <c r="F25" s="293">
        <v>-15</v>
      </c>
      <c r="G25" s="293">
        <v>-15</v>
      </c>
      <c r="H25" s="293">
        <v>-15</v>
      </c>
      <c r="I25" s="293">
        <v>-15</v>
      </c>
      <c r="J25" s="293">
        <v>-15</v>
      </c>
      <c r="K25" s="293">
        <v>-15</v>
      </c>
      <c r="L25" s="293">
        <v>-15</v>
      </c>
      <c r="M25" s="293">
        <v>-15</v>
      </c>
      <c r="N25" s="293">
        <v>-15</v>
      </c>
      <c r="O25" s="538">
        <f t="shared" si="0"/>
        <v>-184</v>
      </c>
      <c r="P25" s="538"/>
      <c r="Q25" s="885"/>
      <c r="R25" s="890" t="s">
        <v>48</v>
      </c>
      <c r="S25" s="885"/>
      <c r="T25" s="538"/>
      <c r="U25" s="887">
        <f t="shared" si="1"/>
        <v>-49</v>
      </c>
      <c r="V25" s="887">
        <f t="shared" si="2"/>
        <v>-45</v>
      </c>
      <c r="W25" s="887">
        <f t="shared" si="3"/>
        <v>-45</v>
      </c>
      <c r="X25" s="887">
        <f t="shared" si="4"/>
        <v>-45</v>
      </c>
      <c r="Y25" s="888">
        <f t="shared" si="5"/>
        <v>-184</v>
      </c>
    </row>
    <row r="26" spans="1:25" x14ac:dyDescent="0.2">
      <c r="A26" s="884" t="s">
        <v>55</v>
      </c>
      <c r="C26" s="293">
        <f>0</f>
        <v>0</v>
      </c>
      <c r="D26" s="293">
        <f>0</f>
        <v>0</v>
      </c>
      <c r="E26" s="293">
        <f>0</f>
        <v>0</v>
      </c>
      <c r="F26" s="293">
        <f>0</f>
        <v>0</v>
      </c>
      <c r="G26" s="293">
        <f>0</f>
        <v>0</v>
      </c>
      <c r="H26" s="293">
        <f>0</f>
        <v>0</v>
      </c>
      <c r="I26" s="293">
        <f>0</f>
        <v>0</v>
      </c>
      <c r="J26" s="293">
        <f>0</f>
        <v>0</v>
      </c>
      <c r="K26" s="293">
        <f>0</f>
        <v>0</v>
      </c>
      <c r="L26" s="293">
        <f>0</f>
        <v>0</v>
      </c>
      <c r="M26" s="293">
        <f>0</f>
        <v>0</v>
      </c>
      <c r="N26" s="293">
        <v>-143</v>
      </c>
      <c r="O26" s="292">
        <f t="shared" si="0"/>
        <v>-143</v>
      </c>
      <c r="P26" s="292"/>
      <c r="Q26" s="885"/>
      <c r="R26" s="890" t="s">
        <v>48</v>
      </c>
      <c r="S26" s="885"/>
      <c r="T26" s="292"/>
      <c r="U26" s="887">
        <f t="shared" si="1"/>
        <v>0</v>
      </c>
      <c r="V26" s="887">
        <f t="shared" si="2"/>
        <v>0</v>
      </c>
      <c r="W26" s="887">
        <f t="shared" si="3"/>
        <v>0</v>
      </c>
      <c r="X26" s="887">
        <f t="shared" si="4"/>
        <v>-143</v>
      </c>
      <c r="Y26" s="888">
        <f t="shared" si="5"/>
        <v>-143</v>
      </c>
    </row>
    <row r="27" spans="1:25" x14ac:dyDescent="0.2">
      <c r="A27" s="884" t="s">
        <v>154</v>
      </c>
      <c r="C27" s="293">
        <v>0</v>
      </c>
      <c r="D27" s="293">
        <v>0</v>
      </c>
      <c r="E27" s="293">
        <v>0</v>
      </c>
      <c r="F27" s="293">
        <v>0</v>
      </c>
      <c r="G27" s="293">
        <v>0</v>
      </c>
      <c r="H27" s="293">
        <v>0</v>
      </c>
      <c r="I27" s="293">
        <v>0</v>
      </c>
      <c r="J27" s="293">
        <v>0</v>
      </c>
      <c r="K27" s="293">
        <v>0</v>
      </c>
      <c r="L27" s="293">
        <v>0</v>
      </c>
      <c r="M27" s="293">
        <v>0</v>
      </c>
      <c r="N27" s="293">
        <v>0</v>
      </c>
      <c r="O27" s="538">
        <f t="shared" si="0"/>
        <v>0</v>
      </c>
      <c r="P27" s="538"/>
      <c r="Q27" s="885"/>
      <c r="R27" s="890" t="s">
        <v>48</v>
      </c>
      <c r="S27" s="885"/>
      <c r="T27" s="538"/>
      <c r="U27" s="887">
        <f t="shared" si="1"/>
        <v>0</v>
      </c>
      <c r="V27" s="887">
        <f t="shared" si="2"/>
        <v>0</v>
      </c>
      <c r="W27" s="887">
        <f t="shared" si="3"/>
        <v>0</v>
      </c>
      <c r="X27" s="887">
        <f t="shared" si="4"/>
        <v>0</v>
      </c>
      <c r="Y27" s="888">
        <f t="shared" si="5"/>
        <v>0</v>
      </c>
    </row>
    <row r="28" spans="1:25" x14ac:dyDescent="0.2">
      <c r="A28" s="884" t="s">
        <v>56</v>
      </c>
      <c r="C28" s="293">
        <v>0</v>
      </c>
      <c r="D28" s="293">
        <v>0</v>
      </c>
      <c r="E28" s="293">
        <v>0</v>
      </c>
      <c r="F28" s="293">
        <v>0</v>
      </c>
      <c r="G28" s="293">
        <v>0</v>
      </c>
      <c r="H28" s="293">
        <v>0</v>
      </c>
      <c r="I28" s="293">
        <v>0</v>
      </c>
      <c r="J28" s="293">
        <v>0</v>
      </c>
      <c r="K28" s="293">
        <v>0</v>
      </c>
      <c r="L28" s="293">
        <v>0</v>
      </c>
      <c r="M28" s="293">
        <v>0</v>
      </c>
      <c r="N28" s="293">
        <v>0</v>
      </c>
      <c r="O28" s="538">
        <f t="shared" si="0"/>
        <v>0</v>
      </c>
      <c r="P28" s="538"/>
      <c r="Q28" s="885"/>
      <c r="R28" s="890" t="s">
        <v>48</v>
      </c>
      <c r="S28" s="885"/>
      <c r="T28" s="538"/>
      <c r="U28" s="887">
        <f t="shared" si="1"/>
        <v>0</v>
      </c>
      <c r="V28" s="887">
        <f t="shared" si="2"/>
        <v>0</v>
      </c>
      <c r="W28" s="887">
        <f t="shared" si="3"/>
        <v>0</v>
      </c>
      <c r="X28" s="887">
        <f t="shared" si="4"/>
        <v>0</v>
      </c>
      <c r="Y28" s="888">
        <f t="shared" si="5"/>
        <v>0</v>
      </c>
    </row>
    <row r="29" spans="1:25" ht="6" customHeight="1" x14ac:dyDescent="0.2">
      <c r="A29" s="884"/>
      <c r="C29" s="293"/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538"/>
      <c r="P29" s="538"/>
      <c r="Q29" s="885"/>
      <c r="R29" s="890"/>
      <c r="S29" s="885"/>
      <c r="T29" s="538"/>
      <c r="U29" s="887"/>
      <c r="V29" s="887"/>
      <c r="W29" s="887"/>
      <c r="X29" s="887"/>
      <c r="Y29" s="888"/>
    </row>
    <row r="30" spans="1:25" x14ac:dyDescent="0.2">
      <c r="A30" s="884" t="s">
        <v>58</v>
      </c>
      <c r="C30" s="128">
        <v>2875</v>
      </c>
      <c r="D30" s="128">
        <v>2563</v>
      </c>
      <c r="E30" s="128">
        <v>2739</v>
      </c>
      <c r="F30" s="128">
        <v>2471</v>
      </c>
      <c r="G30" s="128">
        <v>2547</v>
      </c>
      <c r="H30" s="128">
        <v>2403</v>
      </c>
      <c r="I30" s="128">
        <v>2731</v>
      </c>
      <c r="J30" s="128">
        <v>2585</v>
      </c>
      <c r="K30" s="128">
        <v>2649</v>
      </c>
      <c r="L30" s="128">
        <v>2770</v>
      </c>
      <c r="M30" s="128">
        <v>2474</v>
      </c>
      <c r="N30" s="128">
        <v>2393</v>
      </c>
      <c r="O30" s="129">
        <f t="shared" si="0"/>
        <v>31200</v>
      </c>
      <c r="P30" s="129"/>
      <c r="Q30" s="885"/>
      <c r="R30" s="886" t="s">
        <v>59</v>
      </c>
      <c r="S30" s="885"/>
      <c r="T30" s="129"/>
      <c r="U30" s="887">
        <f t="shared" si="1"/>
        <v>8177</v>
      </c>
      <c r="V30" s="887">
        <f t="shared" si="2"/>
        <v>7421</v>
      </c>
      <c r="W30" s="887">
        <f t="shared" si="3"/>
        <v>7965</v>
      </c>
      <c r="X30" s="887">
        <f t="shared" si="4"/>
        <v>7637</v>
      </c>
      <c r="Y30" s="888">
        <f t="shared" si="5"/>
        <v>31200</v>
      </c>
    </row>
    <row r="31" spans="1:25" x14ac:dyDescent="0.2">
      <c r="A31" s="884" t="s">
        <v>60</v>
      </c>
      <c r="C31" s="293">
        <v>0</v>
      </c>
      <c r="D31" s="293">
        <v>0</v>
      </c>
      <c r="E31" s="293">
        <v>0</v>
      </c>
      <c r="F31" s="293">
        <v>0</v>
      </c>
      <c r="G31" s="293">
        <v>0</v>
      </c>
      <c r="H31" s="293">
        <v>0</v>
      </c>
      <c r="I31" s="293">
        <v>0</v>
      </c>
      <c r="J31" s="293">
        <v>0</v>
      </c>
      <c r="K31" s="293">
        <v>0</v>
      </c>
      <c r="L31" s="293">
        <v>0</v>
      </c>
      <c r="M31" s="293">
        <v>0</v>
      </c>
      <c r="N31" s="293">
        <v>0</v>
      </c>
      <c r="O31" s="129">
        <f t="shared" si="0"/>
        <v>0</v>
      </c>
      <c r="P31" s="129"/>
      <c r="Q31" s="885"/>
      <c r="R31" s="886" t="s">
        <v>59</v>
      </c>
      <c r="S31" s="885"/>
      <c r="T31" s="129"/>
      <c r="U31" s="887">
        <f>C31+D31+E31</f>
        <v>0</v>
      </c>
      <c r="V31" s="887">
        <f>F31+G31+H31</f>
        <v>0</v>
      </c>
      <c r="W31" s="887">
        <f>I31+J31+K31</f>
        <v>0</v>
      </c>
      <c r="X31" s="887">
        <f>L31+M31+N31</f>
        <v>0</v>
      </c>
      <c r="Y31" s="888">
        <f>SUM(U31:X31)</f>
        <v>0</v>
      </c>
    </row>
    <row r="32" spans="1:25" x14ac:dyDescent="0.2">
      <c r="A32" s="884" t="s">
        <v>1009</v>
      </c>
      <c r="C32" s="895">
        <v>0</v>
      </c>
      <c r="D32" s="895">
        <v>0</v>
      </c>
      <c r="E32" s="895">
        <v>0</v>
      </c>
      <c r="F32" s="895">
        <v>0</v>
      </c>
      <c r="G32" s="895">
        <v>0</v>
      </c>
      <c r="H32" s="895">
        <v>0</v>
      </c>
      <c r="I32" s="895">
        <v>0</v>
      </c>
      <c r="J32" s="895">
        <v>0</v>
      </c>
      <c r="K32" s="895">
        <v>0</v>
      </c>
      <c r="L32" s="895">
        <v>0</v>
      </c>
      <c r="M32" s="895">
        <v>0</v>
      </c>
      <c r="N32" s="895">
        <v>0</v>
      </c>
      <c r="O32" s="129">
        <f t="shared" si="0"/>
        <v>0</v>
      </c>
      <c r="P32" s="129"/>
      <c r="Q32" s="885"/>
      <c r="R32" s="886" t="s">
        <v>59</v>
      </c>
      <c r="S32" s="885"/>
      <c r="T32" s="129"/>
      <c r="U32" s="887">
        <f>C32+D32+E32</f>
        <v>0</v>
      </c>
      <c r="V32" s="887">
        <f>F32+G32+H32</f>
        <v>0</v>
      </c>
      <c r="W32" s="887">
        <f>I32+J32+K32</f>
        <v>0</v>
      </c>
      <c r="X32" s="887">
        <f>L32+M32+N32</f>
        <v>0</v>
      </c>
      <c r="Y32" s="888">
        <f>SUM(U32:X32)</f>
        <v>0</v>
      </c>
    </row>
    <row r="33" spans="1:25" x14ac:dyDescent="0.2">
      <c r="A33" s="884" t="s">
        <v>56</v>
      </c>
      <c r="C33" s="293">
        <v>0</v>
      </c>
      <c r="D33" s="293">
        <v>0</v>
      </c>
      <c r="E33" s="293">
        <v>0</v>
      </c>
      <c r="F33" s="293">
        <v>0</v>
      </c>
      <c r="G33" s="293">
        <v>0</v>
      </c>
      <c r="H33" s="293">
        <v>0</v>
      </c>
      <c r="I33" s="293">
        <v>0</v>
      </c>
      <c r="J33" s="293">
        <v>0</v>
      </c>
      <c r="K33" s="293">
        <v>0</v>
      </c>
      <c r="L33" s="293">
        <v>0</v>
      </c>
      <c r="M33" s="293">
        <v>0</v>
      </c>
      <c r="N33" s="293">
        <v>0</v>
      </c>
      <c r="O33" s="129">
        <f t="shared" si="0"/>
        <v>0</v>
      </c>
      <c r="P33" s="129"/>
      <c r="Q33" s="885"/>
      <c r="R33" s="886" t="s">
        <v>59</v>
      </c>
      <c r="S33" s="885"/>
      <c r="T33" s="129"/>
      <c r="U33" s="887">
        <f>C33+D33+E33</f>
        <v>0</v>
      </c>
      <c r="V33" s="887">
        <f>F33+G33+H33</f>
        <v>0</v>
      </c>
      <c r="W33" s="887">
        <f>I33+J33+K33</f>
        <v>0</v>
      </c>
      <c r="X33" s="887">
        <f>L33+M33+N33</f>
        <v>0</v>
      </c>
      <c r="Y33" s="888">
        <f>SUM(U33:X33)</f>
        <v>0</v>
      </c>
    </row>
    <row r="34" spans="1:25" ht="6" customHeight="1" x14ac:dyDescent="0.2">
      <c r="A34" s="884"/>
      <c r="C34" s="888"/>
      <c r="D34" s="888"/>
      <c r="E34" s="888"/>
      <c r="F34" s="888"/>
      <c r="G34" s="888"/>
      <c r="H34" s="888"/>
      <c r="I34" s="888"/>
      <c r="J34" s="888"/>
      <c r="K34" s="888"/>
      <c r="L34" s="888"/>
      <c r="M34" s="888"/>
      <c r="N34" s="888"/>
      <c r="O34" s="887"/>
      <c r="P34" s="887"/>
      <c r="Q34" s="885"/>
      <c r="R34" s="886"/>
      <c r="S34" s="885"/>
      <c r="T34" s="887"/>
      <c r="U34" s="887"/>
      <c r="V34" s="887"/>
      <c r="W34" s="887"/>
      <c r="X34" s="887"/>
      <c r="Y34" s="888"/>
    </row>
    <row r="35" spans="1:25" x14ac:dyDescent="0.2">
      <c r="A35" s="884" t="s">
        <v>1014</v>
      </c>
      <c r="C35" s="293">
        <v>0</v>
      </c>
      <c r="D35" s="293">
        <v>0</v>
      </c>
      <c r="E35" s="293">
        <v>0</v>
      </c>
      <c r="F35" s="293">
        <v>0</v>
      </c>
      <c r="G35" s="293">
        <v>0</v>
      </c>
      <c r="H35" s="293">
        <v>0</v>
      </c>
      <c r="I35" s="293">
        <v>0</v>
      </c>
      <c r="J35" s="293">
        <v>0</v>
      </c>
      <c r="K35" s="293">
        <v>0</v>
      </c>
      <c r="L35" s="293">
        <v>0</v>
      </c>
      <c r="M35" s="293">
        <v>0</v>
      </c>
      <c r="N35" s="293">
        <v>0</v>
      </c>
      <c r="O35" s="615">
        <f t="shared" ref="O35:O40" si="7">SUM(C35:N35)</f>
        <v>0</v>
      </c>
      <c r="P35" s="615"/>
      <c r="Q35" s="885"/>
      <c r="R35" s="890" t="s">
        <v>63</v>
      </c>
      <c r="S35" s="885"/>
      <c r="T35" s="615"/>
      <c r="U35" s="887">
        <f t="shared" ref="U35:U40" si="8">C35+D35+E35</f>
        <v>0</v>
      </c>
      <c r="V35" s="887">
        <f t="shared" ref="V35:V40" si="9">F35+G35+H35</f>
        <v>0</v>
      </c>
      <c r="W35" s="887">
        <f t="shared" ref="W35:W40" si="10">I35+J35+K35</f>
        <v>0</v>
      </c>
      <c r="X35" s="887">
        <f t="shared" ref="X35:X40" si="11">L35+M35+N35</f>
        <v>0</v>
      </c>
      <c r="Y35" s="888">
        <f t="shared" ref="Y35:Y40" si="12">SUM(U35:X35)</f>
        <v>0</v>
      </c>
    </row>
    <row r="36" spans="1:25" x14ac:dyDescent="0.2">
      <c r="A36" s="884" t="s">
        <v>1015</v>
      </c>
      <c r="C36" s="293">
        <v>0</v>
      </c>
      <c r="D36" s="293">
        <v>0</v>
      </c>
      <c r="E36" s="293">
        <v>0</v>
      </c>
      <c r="F36" s="293">
        <v>0</v>
      </c>
      <c r="G36" s="293">
        <v>0</v>
      </c>
      <c r="H36" s="293">
        <v>0</v>
      </c>
      <c r="I36" s="293">
        <v>0</v>
      </c>
      <c r="J36" s="293">
        <v>0</v>
      </c>
      <c r="K36" s="293">
        <v>0</v>
      </c>
      <c r="L36" s="293">
        <v>0</v>
      </c>
      <c r="M36" s="293">
        <v>0</v>
      </c>
      <c r="N36" s="293">
        <v>0</v>
      </c>
      <c r="O36" s="615">
        <f t="shared" si="7"/>
        <v>0</v>
      </c>
      <c r="P36" s="615"/>
      <c r="Q36" s="885"/>
      <c r="R36" s="890" t="s">
        <v>63</v>
      </c>
      <c r="S36" s="885"/>
      <c r="T36" s="615"/>
      <c r="U36" s="887">
        <f t="shared" si="8"/>
        <v>0</v>
      </c>
      <c r="V36" s="887">
        <f t="shared" si="9"/>
        <v>0</v>
      </c>
      <c r="W36" s="887">
        <f t="shared" si="10"/>
        <v>0</v>
      </c>
      <c r="X36" s="887">
        <f t="shared" si="11"/>
        <v>0</v>
      </c>
      <c r="Y36" s="888">
        <f t="shared" si="12"/>
        <v>0</v>
      </c>
    </row>
    <row r="37" spans="1:25" x14ac:dyDescent="0.2">
      <c r="A37" s="884" t="s">
        <v>64</v>
      </c>
      <c r="C37" s="293">
        <v>0</v>
      </c>
      <c r="D37" s="293">
        <v>0</v>
      </c>
      <c r="E37" s="293">
        <v>0</v>
      </c>
      <c r="F37" s="293">
        <v>0</v>
      </c>
      <c r="G37" s="293">
        <v>0</v>
      </c>
      <c r="H37" s="293">
        <v>0</v>
      </c>
      <c r="I37" s="293">
        <v>0</v>
      </c>
      <c r="J37" s="293">
        <v>0</v>
      </c>
      <c r="K37" s="293">
        <v>0</v>
      </c>
      <c r="L37" s="293">
        <v>0</v>
      </c>
      <c r="M37" s="293">
        <v>0</v>
      </c>
      <c r="N37" s="293">
        <v>0</v>
      </c>
      <c r="O37" s="615">
        <f t="shared" si="7"/>
        <v>0</v>
      </c>
      <c r="P37" s="615"/>
      <c r="Q37" s="885"/>
      <c r="R37" s="890" t="s">
        <v>63</v>
      </c>
      <c r="S37" s="885"/>
      <c r="T37" s="615"/>
      <c r="U37" s="887">
        <f t="shared" si="8"/>
        <v>0</v>
      </c>
      <c r="V37" s="887">
        <f t="shared" si="9"/>
        <v>0</v>
      </c>
      <c r="W37" s="887">
        <f t="shared" si="10"/>
        <v>0</v>
      </c>
      <c r="X37" s="887">
        <f t="shared" si="11"/>
        <v>0</v>
      </c>
      <c r="Y37" s="888">
        <f t="shared" si="12"/>
        <v>0</v>
      </c>
    </row>
    <row r="38" spans="1:25" x14ac:dyDescent="0.2">
      <c r="A38" s="884" t="s">
        <v>65</v>
      </c>
      <c r="C38" s="293">
        <v>0</v>
      </c>
      <c r="D38" s="293">
        <v>0</v>
      </c>
      <c r="E38" s="293">
        <v>0</v>
      </c>
      <c r="F38" s="293">
        <v>0</v>
      </c>
      <c r="G38" s="293">
        <v>0</v>
      </c>
      <c r="H38" s="293">
        <v>0</v>
      </c>
      <c r="I38" s="293">
        <v>0</v>
      </c>
      <c r="J38" s="293">
        <v>0</v>
      </c>
      <c r="K38" s="293">
        <v>0</v>
      </c>
      <c r="L38" s="293">
        <v>0</v>
      </c>
      <c r="M38" s="293">
        <v>0</v>
      </c>
      <c r="N38" s="293">
        <v>0</v>
      </c>
      <c r="O38" s="615">
        <f t="shared" si="7"/>
        <v>0</v>
      </c>
      <c r="P38" s="615"/>
      <c r="Q38" s="885"/>
      <c r="R38" s="890" t="s">
        <v>63</v>
      </c>
      <c r="S38" s="885"/>
      <c r="T38" s="615"/>
      <c r="U38" s="887">
        <f t="shared" si="8"/>
        <v>0</v>
      </c>
      <c r="V38" s="887">
        <f t="shared" si="9"/>
        <v>0</v>
      </c>
      <c r="W38" s="887">
        <f t="shared" si="10"/>
        <v>0</v>
      </c>
      <c r="X38" s="887">
        <f t="shared" si="11"/>
        <v>0</v>
      </c>
      <c r="Y38" s="888">
        <f t="shared" si="12"/>
        <v>0</v>
      </c>
    </row>
    <row r="39" spans="1:25" x14ac:dyDescent="0.2">
      <c r="A39" s="884" t="s">
        <v>56</v>
      </c>
      <c r="C39" s="293">
        <v>0</v>
      </c>
      <c r="D39" s="293">
        <v>0</v>
      </c>
      <c r="E39" s="293">
        <v>0</v>
      </c>
      <c r="F39" s="293">
        <v>0</v>
      </c>
      <c r="G39" s="293">
        <v>0</v>
      </c>
      <c r="H39" s="293">
        <v>0</v>
      </c>
      <c r="I39" s="293">
        <v>0</v>
      </c>
      <c r="J39" s="293">
        <v>0</v>
      </c>
      <c r="K39" s="293">
        <v>0</v>
      </c>
      <c r="L39" s="293">
        <v>0</v>
      </c>
      <c r="M39" s="293">
        <v>0</v>
      </c>
      <c r="N39" s="293">
        <v>0</v>
      </c>
      <c r="O39" s="607">
        <f t="shared" si="7"/>
        <v>0</v>
      </c>
      <c r="P39" s="607"/>
      <c r="Q39" s="885"/>
      <c r="R39" s="890" t="s">
        <v>63</v>
      </c>
      <c r="S39" s="885"/>
      <c r="T39" s="607"/>
      <c r="U39" s="887">
        <f t="shared" si="8"/>
        <v>0</v>
      </c>
      <c r="V39" s="887">
        <f t="shared" si="9"/>
        <v>0</v>
      </c>
      <c r="W39" s="887">
        <f t="shared" si="10"/>
        <v>0</v>
      </c>
      <c r="X39" s="887">
        <f t="shared" si="11"/>
        <v>0</v>
      </c>
      <c r="Y39" s="888">
        <f t="shared" si="12"/>
        <v>0</v>
      </c>
    </row>
    <row r="40" spans="1:25" x14ac:dyDescent="0.2">
      <c r="A40" s="884" t="s">
        <v>57</v>
      </c>
      <c r="C40" s="293">
        <v>0</v>
      </c>
      <c r="D40" s="293">
        <v>0</v>
      </c>
      <c r="E40" s="293">
        <v>0</v>
      </c>
      <c r="F40" s="293">
        <v>0</v>
      </c>
      <c r="G40" s="293">
        <v>0</v>
      </c>
      <c r="H40" s="293">
        <v>0</v>
      </c>
      <c r="I40" s="293">
        <v>0</v>
      </c>
      <c r="J40" s="293">
        <v>0</v>
      </c>
      <c r="K40" s="293">
        <v>0</v>
      </c>
      <c r="L40" s="293">
        <v>0</v>
      </c>
      <c r="M40" s="293">
        <v>0</v>
      </c>
      <c r="N40" s="293">
        <v>0</v>
      </c>
      <c r="O40" s="607">
        <f t="shared" si="7"/>
        <v>0</v>
      </c>
      <c r="P40" s="607"/>
      <c r="Q40" s="885"/>
      <c r="R40" s="890" t="s">
        <v>63</v>
      </c>
      <c r="S40" s="885"/>
      <c r="T40" s="607"/>
      <c r="U40" s="887">
        <f t="shared" si="8"/>
        <v>0</v>
      </c>
      <c r="V40" s="887">
        <f t="shared" si="9"/>
        <v>0</v>
      </c>
      <c r="W40" s="887">
        <f t="shared" si="10"/>
        <v>0</v>
      </c>
      <c r="X40" s="887">
        <f t="shared" si="11"/>
        <v>0</v>
      </c>
      <c r="Y40" s="888">
        <f t="shared" si="12"/>
        <v>0</v>
      </c>
    </row>
    <row r="41" spans="1:25" ht="6" customHeight="1" x14ac:dyDescent="0.2">
      <c r="A41" s="884"/>
      <c r="C41" s="888"/>
      <c r="D41" s="888"/>
      <c r="E41" s="888"/>
      <c r="F41" s="888"/>
      <c r="G41" s="888"/>
      <c r="H41" s="888"/>
      <c r="I41" s="888"/>
      <c r="J41" s="888"/>
      <c r="K41" s="888"/>
      <c r="L41" s="888"/>
      <c r="M41" s="888"/>
      <c r="N41" s="888"/>
      <c r="O41" s="887"/>
      <c r="P41" s="887"/>
      <c r="Q41" s="885"/>
      <c r="R41" s="890"/>
      <c r="S41" s="885"/>
      <c r="T41" s="887"/>
      <c r="U41" s="887"/>
      <c r="V41" s="887"/>
      <c r="W41" s="887"/>
      <c r="X41" s="887"/>
      <c r="Y41" s="888"/>
    </row>
    <row r="42" spans="1:25" x14ac:dyDescent="0.2">
      <c r="A42" s="884" t="s">
        <v>68</v>
      </c>
      <c r="C42" s="293">
        <v>0</v>
      </c>
      <c r="D42" s="293">
        <v>0</v>
      </c>
      <c r="E42" s="293">
        <v>0</v>
      </c>
      <c r="F42" s="293">
        <v>0</v>
      </c>
      <c r="G42" s="293">
        <v>0</v>
      </c>
      <c r="H42" s="293">
        <v>0</v>
      </c>
      <c r="I42" s="293">
        <v>0</v>
      </c>
      <c r="J42" s="293">
        <v>0</v>
      </c>
      <c r="K42" s="293">
        <v>0</v>
      </c>
      <c r="L42" s="293">
        <v>0</v>
      </c>
      <c r="M42" s="293">
        <v>0</v>
      </c>
      <c r="N42" s="293">
        <v>0</v>
      </c>
      <c r="O42" s="615">
        <f t="shared" ref="O42:O49" si="13">SUM(C42:N42)</f>
        <v>0</v>
      </c>
      <c r="P42" s="615"/>
      <c r="Q42" s="885"/>
      <c r="R42" s="890" t="s">
        <v>63</v>
      </c>
      <c r="S42" s="885"/>
      <c r="T42" s="615"/>
      <c r="U42" s="887">
        <f t="shared" ref="U42:U49" si="14">C42+D42+E42</f>
        <v>0</v>
      </c>
      <c r="V42" s="887">
        <f t="shared" ref="V42:V49" si="15">F42+G42+H42</f>
        <v>0</v>
      </c>
      <c r="W42" s="887">
        <f t="shared" ref="W42:W49" si="16">I42+J42+K42</f>
        <v>0</v>
      </c>
      <c r="X42" s="887">
        <f t="shared" ref="X42:X49" si="17">L42+M42+N42</f>
        <v>0</v>
      </c>
      <c r="Y42" s="888">
        <f t="shared" ref="Y42:Y49" si="18">SUM(U42:X42)</f>
        <v>0</v>
      </c>
    </row>
    <row r="43" spans="1:25" x14ac:dyDescent="0.2">
      <c r="A43" s="884" t="s">
        <v>69</v>
      </c>
      <c r="C43" s="293">
        <v>0</v>
      </c>
      <c r="D43" s="293">
        <v>0</v>
      </c>
      <c r="E43" s="293">
        <v>0</v>
      </c>
      <c r="F43" s="293">
        <v>0</v>
      </c>
      <c r="G43" s="293">
        <v>0</v>
      </c>
      <c r="H43" s="293">
        <v>0</v>
      </c>
      <c r="I43" s="293">
        <v>0</v>
      </c>
      <c r="J43" s="293">
        <v>0</v>
      </c>
      <c r="K43" s="293">
        <v>0</v>
      </c>
      <c r="L43" s="293">
        <v>0</v>
      </c>
      <c r="M43" s="293">
        <v>0</v>
      </c>
      <c r="N43" s="293">
        <v>0</v>
      </c>
      <c r="O43" s="615">
        <f t="shared" si="13"/>
        <v>0</v>
      </c>
      <c r="P43" s="615"/>
      <c r="Q43" s="885"/>
      <c r="R43" s="890" t="s">
        <v>63</v>
      </c>
      <c r="S43" s="885"/>
      <c r="T43" s="615"/>
      <c r="U43" s="887">
        <f t="shared" si="14"/>
        <v>0</v>
      </c>
      <c r="V43" s="887">
        <f t="shared" si="15"/>
        <v>0</v>
      </c>
      <c r="W43" s="887">
        <f t="shared" si="16"/>
        <v>0</v>
      </c>
      <c r="X43" s="887">
        <f t="shared" si="17"/>
        <v>0</v>
      </c>
      <c r="Y43" s="888">
        <f t="shared" si="18"/>
        <v>0</v>
      </c>
    </row>
    <row r="44" spans="1:25" ht="12.75" customHeight="1" x14ac:dyDescent="0.2">
      <c r="A44" s="884" t="s">
        <v>156</v>
      </c>
      <c r="C44" s="608">
        <v>24</v>
      </c>
      <c r="D44" s="608">
        <v>24</v>
      </c>
      <c r="E44" s="608">
        <v>23</v>
      </c>
      <c r="F44" s="608">
        <v>24</v>
      </c>
      <c r="G44" s="608">
        <v>24</v>
      </c>
      <c r="H44" s="608">
        <v>23</v>
      </c>
      <c r="I44" s="608">
        <v>24</v>
      </c>
      <c r="J44" s="608">
        <v>24</v>
      </c>
      <c r="K44" s="608">
        <v>23</v>
      </c>
      <c r="L44" s="608">
        <v>24</v>
      </c>
      <c r="M44" s="608">
        <v>24</v>
      </c>
      <c r="N44" s="608">
        <v>24</v>
      </c>
      <c r="O44" s="615">
        <f t="shared" si="13"/>
        <v>285</v>
      </c>
      <c r="P44" s="615"/>
      <c r="Q44" s="885"/>
      <c r="R44" s="890" t="s">
        <v>63</v>
      </c>
      <c r="S44" s="885"/>
      <c r="T44" s="615"/>
      <c r="U44" s="887">
        <f t="shared" si="14"/>
        <v>71</v>
      </c>
      <c r="V44" s="887">
        <f t="shared" si="15"/>
        <v>71</v>
      </c>
      <c r="W44" s="887">
        <f t="shared" si="16"/>
        <v>71</v>
      </c>
      <c r="X44" s="887">
        <f t="shared" si="17"/>
        <v>72</v>
      </c>
      <c r="Y44" s="888">
        <f t="shared" si="18"/>
        <v>285</v>
      </c>
    </row>
    <row r="45" spans="1:25" x14ac:dyDescent="0.2">
      <c r="A45" s="884" t="s">
        <v>157</v>
      </c>
      <c r="C45" s="608">
        <v>0</v>
      </c>
      <c r="D45" s="608">
        <v>0</v>
      </c>
      <c r="E45" s="608">
        <v>0</v>
      </c>
      <c r="F45" s="608">
        <v>0</v>
      </c>
      <c r="G45" s="608">
        <v>0</v>
      </c>
      <c r="H45" s="608">
        <v>0</v>
      </c>
      <c r="I45" s="608">
        <v>0</v>
      </c>
      <c r="J45" s="608">
        <v>0</v>
      </c>
      <c r="K45" s="608">
        <v>0</v>
      </c>
      <c r="L45" s="608">
        <v>0</v>
      </c>
      <c r="M45" s="608">
        <v>0</v>
      </c>
      <c r="N45" s="608">
        <v>0</v>
      </c>
      <c r="O45" s="615">
        <f t="shared" si="13"/>
        <v>0</v>
      </c>
      <c r="P45" s="615"/>
      <c r="Q45" s="885"/>
      <c r="R45" s="890" t="s">
        <v>63</v>
      </c>
      <c r="S45" s="885"/>
      <c r="T45" s="615"/>
      <c r="U45" s="887">
        <f t="shared" si="14"/>
        <v>0</v>
      </c>
      <c r="V45" s="887">
        <f t="shared" si="15"/>
        <v>0</v>
      </c>
      <c r="W45" s="887">
        <f t="shared" si="16"/>
        <v>0</v>
      </c>
      <c r="X45" s="887">
        <f t="shared" si="17"/>
        <v>0</v>
      </c>
      <c r="Y45" s="888">
        <f t="shared" si="18"/>
        <v>0</v>
      </c>
    </row>
    <row r="46" spans="1:25" x14ac:dyDescent="0.2">
      <c r="A46" s="884" t="s">
        <v>56</v>
      </c>
      <c r="C46" s="293">
        <v>0</v>
      </c>
      <c r="D46" s="293">
        <v>0</v>
      </c>
      <c r="E46" s="293">
        <v>0</v>
      </c>
      <c r="F46" s="293">
        <v>0</v>
      </c>
      <c r="G46" s="293">
        <v>0</v>
      </c>
      <c r="H46" s="293">
        <v>0</v>
      </c>
      <c r="I46" s="293">
        <v>0</v>
      </c>
      <c r="J46" s="293">
        <v>0</v>
      </c>
      <c r="K46" s="293">
        <v>0</v>
      </c>
      <c r="L46" s="293">
        <v>0</v>
      </c>
      <c r="M46" s="293">
        <v>0</v>
      </c>
      <c r="N46" s="293">
        <v>0</v>
      </c>
      <c r="O46" s="607">
        <f t="shared" si="13"/>
        <v>0</v>
      </c>
      <c r="P46" s="607"/>
      <c r="Q46" s="885"/>
      <c r="R46" s="890" t="s">
        <v>63</v>
      </c>
      <c r="S46" s="885"/>
      <c r="T46" s="607"/>
      <c r="U46" s="887">
        <f t="shared" si="14"/>
        <v>0</v>
      </c>
      <c r="V46" s="887">
        <f t="shared" si="15"/>
        <v>0</v>
      </c>
      <c r="W46" s="887">
        <f t="shared" si="16"/>
        <v>0</v>
      </c>
      <c r="X46" s="887">
        <f t="shared" si="17"/>
        <v>0</v>
      </c>
      <c r="Y46" s="888">
        <f t="shared" si="18"/>
        <v>0</v>
      </c>
    </row>
    <row r="47" spans="1:25" x14ac:dyDescent="0.2">
      <c r="A47" s="884" t="s">
        <v>57</v>
      </c>
      <c r="C47" s="293">
        <v>0</v>
      </c>
      <c r="D47" s="293">
        <v>0</v>
      </c>
      <c r="E47" s="293">
        <v>0</v>
      </c>
      <c r="F47" s="293">
        <v>0</v>
      </c>
      <c r="G47" s="293">
        <v>0</v>
      </c>
      <c r="H47" s="293">
        <v>0</v>
      </c>
      <c r="I47" s="293">
        <v>0</v>
      </c>
      <c r="J47" s="293">
        <v>0</v>
      </c>
      <c r="K47" s="293">
        <v>0</v>
      </c>
      <c r="L47" s="293">
        <v>0</v>
      </c>
      <c r="M47" s="293">
        <v>0</v>
      </c>
      <c r="N47" s="293">
        <v>0</v>
      </c>
      <c r="O47" s="607">
        <f t="shared" si="13"/>
        <v>0</v>
      </c>
      <c r="P47" s="607"/>
      <c r="Q47" s="885"/>
      <c r="R47" s="890" t="s">
        <v>63</v>
      </c>
      <c r="S47" s="885"/>
      <c r="T47" s="607"/>
      <c r="U47" s="887">
        <f t="shared" si="14"/>
        <v>0</v>
      </c>
      <c r="V47" s="887">
        <f t="shared" si="15"/>
        <v>0</v>
      </c>
      <c r="W47" s="887">
        <f t="shared" si="16"/>
        <v>0</v>
      </c>
      <c r="X47" s="887">
        <f t="shared" si="17"/>
        <v>0</v>
      </c>
      <c r="Y47" s="888">
        <f t="shared" si="18"/>
        <v>0</v>
      </c>
    </row>
    <row r="48" spans="1:25" x14ac:dyDescent="0.2">
      <c r="A48" s="884" t="s">
        <v>70</v>
      </c>
      <c r="B48" s="994" t="s">
        <v>630</v>
      </c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607">
        <f t="shared" si="13"/>
        <v>0</v>
      </c>
      <c r="P48" s="607"/>
      <c r="Q48" s="885"/>
      <c r="R48" s="890" t="s">
        <v>63</v>
      </c>
      <c r="S48" s="885"/>
      <c r="T48" s="607"/>
      <c r="U48" s="887">
        <f t="shared" si="14"/>
        <v>0</v>
      </c>
      <c r="V48" s="887">
        <f t="shared" si="15"/>
        <v>0</v>
      </c>
      <c r="W48" s="887">
        <f t="shared" si="16"/>
        <v>0</v>
      </c>
      <c r="X48" s="887">
        <f t="shared" si="17"/>
        <v>0</v>
      </c>
      <c r="Y48" s="888">
        <f t="shared" si="18"/>
        <v>0</v>
      </c>
    </row>
    <row r="49" spans="1:25" x14ac:dyDescent="0.2">
      <c r="A49" s="884" t="s">
        <v>155</v>
      </c>
      <c r="B49" s="994" t="s">
        <v>630</v>
      </c>
      <c r="C49" s="888"/>
      <c r="D49" s="888"/>
      <c r="E49" s="888"/>
      <c r="F49" s="888"/>
      <c r="G49" s="888"/>
      <c r="H49" s="888"/>
      <c r="I49" s="888"/>
      <c r="J49" s="888"/>
      <c r="K49" s="888"/>
      <c r="L49" s="888"/>
      <c r="M49" s="888"/>
      <c r="N49" s="888"/>
      <c r="O49" s="607">
        <f t="shared" si="13"/>
        <v>0</v>
      </c>
      <c r="P49" s="607"/>
      <c r="Q49" s="885"/>
      <c r="R49" s="890" t="s">
        <v>63</v>
      </c>
      <c r="S49" s="885"/>
      <c r="T49" s="607"/>
      <c r="U49" s="887">
        <f t="shared" si="14"/>
        <v>0</v>
      </c>
      <c r="V49" s="887">
        <f t="shared" si="15"/>
        <v>0</v>
      </c>
      <c r="W49" s="887">
        <f t="shared" si="16"/>
        <v>0</v>
      </c>
      <c r="X49" s="887">
        <f t="shared" si="17"/>
        <v>0</v>
      </c>
      <c r="Y49" s="888">
        <f t="shared" si="18"/>
        <v>0</v>
      </c>
    </row>
    <row r="50" spans="1:25" ht="6" customHeight="1" x14ac:dyDescent="0.2">
      <c r="A50" s="884"/>
      <c r="C50" s="888"/>
      <c r="D50" s="888"/>
      <c r="E50" s="888"/>
      <c r="F50" s="888"/>
      <c r="G50" s="888"/>
      <c r="H50" s="888"/>
      <c r="I50" s="888"/>
      <c r="J50" s="888"/>
      <c r="K50" s="888"/>
      <c r="L50" s="888"/>
      <c r="M50" s="888"/>
      <c r="N50" s="888"/>
      <c r="O50" s="607"/>
      <c r="P50" s="607"/>
      <c r="Q50" s="885"/>
      <c r="R50" s="890"/>
      <c r="S50" s="885"/>
      <c r="T50" s="607"/>
      <c r="U50" s="887"/>
      <c r="V50" s="887"/>
      <c r="W50" s="887"/>
      <c r="X50" s="887"/>
      <c r="Y50" s="888"/>
    </row>
    <row r="51" spans="1:25" x14ac:dyDescent="0.2">
      <c r="A51" s="884" t="s">
        <v>71</v>
      </c>
      <c r="C51" s="141">
        <v>0</v>
      </c>
      <c r="D51" s="141">
        <v>0</v>
      </c>
      <c r="E51" s="141">
        <v>0</v>
      </c>
      <c r="F51" s="141">
        <v>0</v>
      </c>
      <c r="G51" s="141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2">
        <f>SUM(C51:N51)</f>
        <v>0</v>
      </c>
      <c r="P51" s="142"/>
      <c r="Q51" s="885"/>
      <c r="R51" s="890" t="s">
        <v>72</v>
      </c>
      <c r="S51" s="885"/>
      <c r="T51" s="142"/>
      <c r="U51" s="887">
        <f>C51+D51+E51</f>
        <v>0</v>
      </c>
      <c r="V51" s="887">
        <f>F51+G51+H51</f>
        <v>0</v>
      </c>
      <c r="W51" s="887">
        <f>I51+J51+K51</f>
        <v>0</v>
      </c>
      <c r="X51" s="887">
        <f>L51+M51+N51</f>
        <v>0</v>
      </c>
      <c r="Y51" s="888">
        <f>SUM(U51:X51)</f>
        <v>0</v>
      </c>
    </row>
    <row r="52" spans="1:25" x14ac:dyDescent="0.2">
      <c r="A52" s="884" t="s">
        <v>73</v>
      </c>
      <c r="C52" s="895">
        <v>0</v>
      </c>
      <c r="D52" s="895">
        <v>0</v>
      </c>
      <c r="E52" s="895">
        <v>0</v>
      </c>
      <c r="F52" s="895">
        <v>0</v>
      </c>
      <c r="G52" s="895">
        <v>0</v>
      </c>
      <c r="H52" s="895">
        <v>0</v>
      </c>
      <c r="I52" s="895">
        <v>0</v>
      </c>
      <c r="J52" s="895">
        <v>0</v>
      </c>
      <c r="K52" s="895">
        <v>0</v>
      </c>
      <c r="L52" s="895">
        <v>0</v>
      </c>
      <c r="M52" s="895">
        <v>0</v>
      </c>
      <c r="N52" s="895">
        <v>0</v>
      </c>
      <c r="O52" s="887">
        <f>C52+D52+E52+F52+G52+H52+I52+J52+K52+L52+M52+N52</f>
        <v>0</v>
      </c>
      <c r="P52" s="887"/>
      <c r="Q52" s="885"/>
      <c r="R52" s="890" t="s">
        <v>72</v>
      </c>
      <c r="S52" s="885"/>
      <c r="T52" s="887"/>
      <c r="U52" s="887">
        <f>C52+D52+E52</f>
        <v>0</v>
      </c>
      <c r="V52" s="887">
        <f>F52+G52+H52</f>
        <v>0</v>
      </c>
      <c r="W52" s="887">
        <f>I52+J52+K52</f>
        <v>0</v>
      </c>
      <c r="X52" s="887">
        <f>L52+M52+N52</f>
        <v>0</v>
      </c>
      <c r="Y52" s="888">
        <f>SUM(F52:W52)</f>
        <v>0</v>
      </c>
    </row>
    <row r="53" spans="1:25" x14ac:dyDescent="0.2">
      <c r="A53" s="884" t="s">
        <v>1019</v>
      </c>
      <c r="C53" s="895">
        <v>0</v>
      </c>
      <c r="D53" s="895">
        <v>0</v>
      </c>
      <c r="E53" s="895">
        <v>0</v>
      </c>
      <c r="F53" s="895">
        <v>0</v>
      </c>
      <c r="G53" s="895">
        <v>0</v>
      </c>
      <c r="H53" s="895">
        <v>0</v>
      </c>
      <c r="I53" s="895">
        <v>0</v>
      </c>
      <c r="J53" s="895">
        <v>0</v>
      </c>
      <c r="K53" s="895">
        <v>0</v>
      </c>
      <c r="L53" s="895">
        <v>0</v>
      </c>
      <c r="M53" s="895">
        <v>0</v>
      </c>
      <c r="N53" s="895">
        <v>0</v>
      </c>
      <c r="O53" s="887">
        <f>C53+D53+E53+F53+G53+H53+I53+J53+K53+L53+M53+N53</f>
        <v>0</v>
      </c>
      <c r="P53" s="887"/>
      <c r="Q53" s="885"/>
      <c r="R53" s="890" t="s">
        <v>72</v>
      </c>
      <c r="S53" s="885"/>
      <c r="T53" s="887"/>
      <c r="U53" s="887">
        <f>C53+D53+E53</f>
        <v>0</v>
      </c>
      <c r="V53" s="887">
        <f>F53+G53+H53</f>
        <v>0</v>
      </c>
      <c r="W53" s="887">
        <f>I53+J53+K53</f>
        <v>0</v>
      </c>
      <c r="X53" s="887">
        <f>L53+M53+N53</f>
        <v>0</v>
      </c>
      <c r="Y53" s="888">
        <f>SUM(F53:W53)</f>
        <v>0</v>
      </c>
    </row>
    <row r="54" spans="1:25" ht="6" customHeight="1" x14ac:dyDescent="0.2">
      <c r="A54" s="884"/>
      <c r="C54" s="863"/>
      <c r="D54" s="863"/>
      <c r="E54" s="863"/>
      <c r="F54" s="863"/>
      <c r="G54" s="863"/>
      <c r="H54" s="863"/>
      <c r="I54" s="863"/>
      <c r="J54" s="863"/>
      <c r="K54" s="863"/>
      <c r="L54" s="863"/>
      <c r="M54" s="863"/>
      <c r="N54" s="863"/>
      <c r="O54" s="887"/>
      <c r="P54" s="887"/>
      <c r="Q54" s="885"/>
      <c r="R54" s="890"/>
      <c r="S54" s="885"/>
      <c r="T54" s="887"/>
      <c r="U54" s="887"/>
      <c r="V54" s="887"/>
      <c r="W54" s="887"/>
      <c r="X54" s="887"/>
      <c r="Y54" s="888"/>
    </row>
    <row r="55" spans="1:25" s="898" customFormat="1" ht="12.75" customHeight="1" x14ac:dyDescent="0.2">
      <c r="A55" s="897" t="s">
        <v>74</v>
      </c>
      <c r="C55" s="899">
        <f t="shared" ref="C55:O55" si="19">SUM(C7:C53)</f>
        <v>16464</v>
      </c>
      <c r="D55" s="900">
        <f t="shared" si="19"/>
        <v>14666</v>
      </c>
      <c r="E55" s="900">
        <f t="shared" si="19"/>
        <v>15991</v>
      </c>
      <c r="F55" s="900">
        <f t="shared" si="19"/>
        <v>15480</v>
      </c>
      <c r="G55" s="900">
        <f t="shared" si="19"/>
        <v>16017</v>
      </c>
      <c r="H55" s="900">
        <f t="shared" si="19"/>
        <v>16578</v>
      </c>
      <c r="I55" s="900">
        <f t="shared" si="19"/>
        <v>17951</v>
      </c>
      <c r="J55" s="900">
        <f t="shared" si="19"/>
        <v>17796</v>
      </c>
      <c r="K55" s="900">
        <f t="shared" si="19"/>
        <v>17331</v>
      </c>
      <c r="L55" s="900">
        <f t="shared" si="19"/>
        <v>17799</v>
      </c>
      <c r="M55" s="900">
        <f t="shared" si="19"/>
        <v>17658</v>
      </c>
      <c r="N55" s="900">
        <f t="shared" si="19"/>
        <v>17996</v>
      </c>
      <c r="O55" s="901">
        <f t="shared" si="19"/>
        <v>201727</v>
      </c>
      <c r="P55" s="902"/>
      <c r="Q55" s="903"/>
      <c r="R55" s="904"/>
      <c r="S55" s="903"/>
      <c r="T55" s="902"/>
      <c r="U55" s="899">
        <f>SUM(U7:U53)</f>
        <v>47121</v>
      </c>
      <c r="V55" s="900">
        <f>SUM(V7:V53)</f>
        <v>48075</v>
      </c>
      <c r="W55" s="900">
        <f>SUM(W7:W53)</f>
        <v>53078</v>
      </c>
      <c r="X55" s="900">
        <f>SUM(X7:X53)</f>
        <v>53453</v>
      </c>
      <c r="Y55" s="901">
        <f>SUM(Y7:Y53)</f>
        <v>201727</v>
      </c>
    </row>
    <row r="56" spans="1:25" s="898" customFormat="1" ht="12.75" customHeight="1" x14ac:dyDescent="0.2">
      <c r="A56" s="897"/>
      <c r="C56" s="902"/>
      <c r="D56" s="902"/>
      <c r="E56" s="902"/>
      <c r="F56" s="902"/>
      <c r="G56" s="902"/>
      <c r="H56" s="902"/>
      <c r="I56" s="902"/>
      <c r="J56" s="902"/>
      <c r="K56" s="902"/>
      <c r="L56" s="902"/>
      <c r="M56" s="902"/>
      <c r="N56" s="902"/>
      <c r="O56" s="902"/>
      <c r="P56" s="902"/>
      <c r="Q56" s="903"/>
      <c r="R56" s="904"/>
      <c r="S56" s="903"/>
      <c r="T56" s="902"/>
      <c r="U56" s="902"/>
      <c r="V56" s="902"/>
      <c r="W56" s="902"/>
      <c r="X56" s="902"/>
      <c r="Y56" s="902"/>
    </row>
    <row r="57" spans="1:25" s="898" customFormat="1" ht="12.75" customHeight="1" x14ac:dyDescent="0.2">
      <c r="A57" s="897"/>
      <c r="C57" s="902"/>
      <c r="D57" s="902"/>
      <c r="E57" s="902"/>
      <c r="F57" s="902"/>
      <c r="G57" s="902"/>
      <c r="H57" s="902"/>
      <c r="I57" s="902"/>
      <c r="J57" s="902"/>
      <c r="K57" s="902"/>
      <c r="L57" s="902"/>
      <c r="M57" s="902"/>
      <c r="N57" s="902"/>
      <c r="O57" s="902"/>
      <c r="P57" s="902"/>
      <c r="Q57" s="903"/>
      <c r="R57" s="904"/>
      <c r="S57" s="903"/>
      <c r="T57" s="902"/>
      <c r="U57" s="902"/>
      <c r="V57" s="902"/>
      <c r="W57" s="902"/>
      <c r="X57" s="902"/>
      <c r="Y57" s="902"/>
    </row>
    <row r="58" spans="1:25" x14ac:dyDescent="0.2">
      <c r="A58" s="883" t="s">
        <v>75</v>
      </c>
      <c r="C58" s="888"/>
      <c r="D58" s="888"/>
      <c r="E58" s="888"/>
      <c r="F58" s="888"/>
      <c r="G58" s="888"/>
      <c r="H58" s="888"/>
      <c r="I58" s="888"/>
      <c r="J58" s="888"/>
      <c r="K58" s="888"/>
      <c r="L58" s="888"/>
      <c r="M58" s="888"/>
      <c r="N58" s="888"/>
      <c r="O58" s="887"/>
      <c r="P58" s="887"/>
      <c r="Q58" s="885"/>
      <c r="R58" s="888"/>
      <c r="S58" s="885"/>
      <c r="T58" s="887"/>
      <c r="U58" s="887"/>
      <c r="V58" s="887"/>
      <c r="W58" s="887"/>
      <c r="X58" s="887"/>
      <c r="Y58" s="888"/>
    </row>
    <row r="59" spans="1:25" x14ac:dyDescent="0.2">
      <c r="A59" s="884" t="s">
        <v>80</v>
      </c>
      <c r="C59" s="293">
        <v>-10</v>
      </c>
      <c r="D59" s="293">
        <v>-10</v>
      </c>
      <c r="E59" s="293">
        <v>-10</v>
      </c>
      <c r="F59" s="293">
        <v>-10</v>
      </c>
      <c r="G59" s="293">
        <v>-10</v>
      </c>
      <c r="H59" s="293">
        <v>-10</v>
      </c>
      <c r="I59" s="293">
        <v>-10</v>
      </c>
      <c r="J59" s="293">
        <v>-10</v>
      </c>
      <c r="K59" s="293">
        <v>-10</v>
      </c>
      <c r="L59" s="293">
        <v>-10</v>
      </c>
      <c r="M59" s="293">
        <v>-10</v>
      </c>
      <c r="N59" s="293">
        <v>-10</v>
      </c>
      <c r="O59" s="118">
        <f>SUM(C59:N59)</f>
        <v>-120</v>
      </c>
      <c r="P59" s="118"/>
      <c r="Q59" s="885"/>
      <c r="R59" s="886" t="s">
        <v>77</v>
      </c>
      <c r="S59" s="885"/>
      <c r="T59" s="118"/>
      <c r="U59" s="887">
        <f>C59+D59+E59</f>
        <v>-30</v>
      </c>
      <c r="V59" s="887">
        <f>F59+G59+H59</f>
        <v>-30</v>
      </c>
      <c r="W59" s="887">
        <f>I59+J59+K59</f>
        <v>-30</v>
      </c>
      <c r="X59" s="887">
        <f>L59+M59+N59</f>
        <v>-30</v>
      </c>
      <c r="Y59" s="888">
        <f>SUM(U59:X59)</f>
        <v>-120</v>
      </c>
    </row>
    <row r="60" spans="1:25" x14ac:dyDescent="0.2">
      <c r="A60" s="884" t="s">
        <v>79</v>
      </c>
      <c r="C60" s="293">
        <v>-109</v>
      </c>
      <c r="D60" s="293">
        <v>-109</v>
      </c>
      <c r="E60" s="293">
        <v>-109</v>
      </c>
      <c r="F60" s="293">
        <v>-109</v>
      </c>
      <c r="G60" s="293">
        <v>-109</v>
      </c>
      <c r="H60" s="293">
        <v>-109</v>
      </c>
      <c r="I60" s="293">
        <v>-109</v>
      </c>
      <c r="J60" s="293">
        <v>-109</v>
      </c>
      <c r="K60" s="293">
        <v>-109</v>
      </c>
      <c r="L60" s="293">
        <v>-116</v>
      </c>
      <c r="M60" s="293">
        <v>-117</v>
      </c>
      <c r="N60" s="293">
        <v>-117</v>
      </c>
      <c r="O60" s="118">
        <f t="shared" ref="O60:O77" si="20">SUM(C60:N60)</f>
        <v>-1331</v>
      </c>
      <c r="P60" s="118"/>
      <c r="Q60" s="885"/>
      <c r="R60" s="886" t="s">
        <v>77</v>
      </c>
      <c r="S60" s="885"/>
      <c r="T60" s="118"/>
      <c r="U60" s="887">
        <f t="shared" ref="U60:U77" si="21">C60+D60+E60</f>
        <v>-327</v>
      </c>
      <c r="V60" s="887">
        <f t="shared" ref="V60:V77" si="22">F60+G60+H60</f>
        <v>-327</v>
      </c>
      <c r="W60" s="887">
        <f t="shared" ref="W60:W77" si="23">I60+J60+K60</f>
        <v>-327</v>
      </c>
      <c r="X60" s="887">
        <f t="shared" ref="X60:X77" si="24">L60+M60+N60</f>
        <v>-350</v>
      </c>
      <c r="Y60" s="888">
        <f t="shared" ref="Y60:Y77" si="25">SUM(U60:X60)</f>
        <v>-1331</v>
      </c>
    </row>
    <row r="61" spans="1:25" x14ac:dyDescent="0.2">
      <c r="A61" s="884" t="s">
        <v>76</v>
      </c>
      <c r="C61" s="530">
        <v>-136</v>
      </c>
      <c r="D61" s="530">
        <v>-120</v>
      </c>
      <c r="E61" s="530">
        <v>-133</v>
      </c>
      <c r="F61" s="530">
        <v>-129</v>
      </c>
      <c r="G61" s="530">
        <v>-132</v>
      </c>
      <c r="H61" s="530">
        <v>-130</v>
      </c>
      <c r="I61" s="530">
        <v>-129</v>
      </c>
      <c r="J61" s="530">
        <v>-136</v>
      </c>
      <c r="K61" s="530">
        <v>-137</v>
      </c>
      <c r="L61" s="530">
        <v>-130</v>
      </c>
      <c r="M61" s="530">
        <v>-116</v>
      </c>
      <c r="N61" s="530">
        <v>-126</v>
      </c>
      <c r="O61" s="118">
        <f>SUM(C61:N61)</f>
        <v>-1554</v>
      </c>
      <c r="P61" s="118"/>
      <c r="Q61" s="885"/>
      <c r="R61" s="886" t="s">
        <v>77</v>
      </c>
      <c r="S61" s="885"/>
      <c r="T61" s="118"/>
      <c r="U61" s="887">
        <f>C61+D61+E61</f>
        <v>-389</v>
      </c>
      <c r="V61" s="887">
        <f>F61+G61+H61</f>
        <v>-391</v>
      </c>
      <c r="W61" s="887">
        <f>I61+J61+K61</f>
        <v>-402</v>
      </c>
      <c r="X61" s="887">
        <f>L61+M61+N61</f>
        <v>-372</v>
      </c>
      <c r="Y61" s="888">
        <f>SUM(U61:X61)</f>
        <v>-1554</v>
      </c>
    </row>
    <row r="62" spans="1:25" x14ac:dyDescent="0.2">
      <c r="A62" s="884" t="s">
        <v>78</v>
      </c>
      <c r="C62" s="293">
        <v>0</v>
      </c>
      <c r="D62" s="293">
        <v>0</v>
      </c>
      <c r="E62" s="293">
        <v>0</v>
      </c>
      <c r="F62" s="293">
        <v>0</v>
      </c>
      <c r="G62" s="293">
        <v>0</v>
      </c>
      <c r="H62" s="293">
        <v>0</v>
      </c>
      <c r="I62" s="293">
        <v>0</v>
      </c>
      <c r="J62" s="293">
        <v>0</v>
      </c>
      <c r="K62" s="293">
        <v>0</v>
      </c>
      <c r="L62" s="293">
        <v>0</v>
      </c>
      <c r="M62" s="293">
        <v>0</v>
      </c>
      <c r="N62" s="293">
        <v>0</v>
      </c>
      <c r="O62" s="118">
        <f>SUM(C62:N62)</f>
        <v>0</v>
      </c>
      <c r="P62" s="118"/>
      <c r="Q62" s="885"/>
      <c r="R62" s="886" t="s">
        <v>77</v>
      </c>
      <c r="S62" s="885"/>
      <c r="T62" s="118"/>
      <c r="U62" s="887">
        <f>C62+D62+E62</f>
        <v>0</v>
      </c>
      <c r="V62" s="887">
        <f>F62+G62+H62</f>
        <v>0</v>
      </c>
      <c r="W62" s="887">
        <f>I62+J62+K62</f>
        <v>0</v>
      </c>
      <c r="X62" s="887">
        <f>L62+M62+N62</f>
        <v>0</v>
      </c>
      <c r="Y62" s="888">
        <f>SUM(U62:X62)</f>
        <v>0</v>
      </c>
    </row>
    <row r="63" spans="1:25" x14ac:dyDescent="0.2">
      <c r="A63" s="884" t="s">
        <v>1020</v>
      </c>
      <c r="C63" s="293">
        <v>-107</v>
      </c>
      <c r="D63" s="293">
        <v>-108</v>
      </c>
      <c r="E63" s="293">
        <v>-107</v>
      </c>
      <c r="F63" s="293">
        <v>-107</v>
      </c>
      <c r="G63" s="293">
        <v>-107</v>
      </c>
      <c r="H63" s="293">
        <v>-107</v>
      </c>
      <c r="I63" s="293">
        <v>-107</v>
      </c>
      <c r="J63" s="293">
        <v>-107</v>
      </c>
      <c r="K63" s="293">
        <v>-107</v>
      </c>
      <c r="L63" s="293">
        <v>-107</v>
      </c>
      <c r="M63" s="293">
        <v>-107</v>
      </c>
      <c r="N63" s="293">
        <v>-107</v>
      </c>
      <c r="O63" s="118">
        <f>SUM(C63:N63)</f>
        <v>-1285</v>
      </c>
      <c r="P63" s="118"/>
      <c r="Q63" s="885"/>
      <c r="R63" s="886" t="s">
        <v>77</v>
      </c>
      <c r="S63" s="885"/>
      <c r="T63" s="118"/>
      <c r="U63" s="887">
        <f>C63+D63+E63</f>
        <v>-322</v>
      </c>
      <c r="V63" s="887">
        <f>F63+G63+H63</f>
        <v>-321</v>
      </c>
      <c r="W63" s="887">
        <f>I63+J63+K63</f>
        <v>-321</v>
      </c>
      <c r="X63" s="887">
        <f>L63+M63+N63</f>
        <v>-321</v>
      </c>
      <c r="Y63" s="888">
        <f>SUM(U63:X63)</f>
        <v>-1285</v>
      </c>
    </row>
    <row r="64" spans="1:25" x14ac:dyDescent="0.2">
      <c r="A64" s="884" t="s">
        <v>1021</v>
      </c>
      <c r="C64" s="119">
        <v>-4</v>
      </c>
      <c r="D64" s="119">
        <v>-4</v>
      </c>
      <c r="E64" s="119">
        <v>-4</v>
      </c>
      <c r="F64" s="119">
        <v>-4</v>
      </c>
      <c r="G64" s="119">
        <v>-4</v>
      </c>
      <c r="H64" s="119">
        <v>-4</v>
      </c>
      <c r="I64" s="119">
        <v>-4</v>
      </c>
      <c r="J64" s="119">
        <v>-4</v>
      </c>
      <c r="K64" s="119">
        <v>-4</v>
      </c>
      <c r="L64" s="119">
        <v>-4</v>
      </c>
      <c r="M64" s="119">
        <v>-4</v>
      </c>
      <c r="N64" s="119">
        <v>-4</v>
      </c>
      <c r="O64" s="118">
        <f>SUM(C64:N64)</f>
        <v>-48</v>
      </c>
      <c r="P64" s="118"/>
      <c r="Q64" s="885"/>
      <c r="R64" s="886" t="s">
        <v>77</v>
      </c>
      <c r="S64" s="885"/>
      <c r="T64" s="118"/>
      <c r="U64" s="887">
        <f>C64+D64+E64</f>
        <v>-12</v>
      </c>
      <c r="V64" s="887">
        <f>F64+G64+H64</f>
        <v>-12</v>
      </c>
      <c r="W64" s="887">
        <f>I64+J64+K64</f>
        <v>-12</v>
      </c>
      <c r="X64" s="887">
        <f>L64+M64+N64</f>
        <v>-12</v>
      </c>
      <c r="Y64" s="888">
        <f>SUM(U64:X64)</f>
        <v>-48</v>
      </c>
    </row>
    <row r="65" spans="1:25" x14ac:dyDescent="0.2">
      <c r="A65" s="884" t="s">
        <v>160</v>
      </c>
      <c r="C65" s="293">
        <v>-30</v>
      </c>
      <c r="D65" s="293">
        <v>-30</v>
      </c>
      <c r="E65" s="293">
        <v>-31</v>
      </c>
      <c r="F65" s="293">
        <v>-30</v>
      </c>
      <c r="G65" s="293">
        <v>-30</v>
      </c>
      <c r="H65" s="293">
        <v>-30</v>
      </c>
      <c r="I65" s="293">
        <v>-30</v>
      </c>
      <c r="J65" s="293">
        <v>-30</v>
      </c>
      <c r="K65" s="293">
        <v>-30</v>
      </c>
      <c r="L65" s="293">
        <v>-30</v>
      </c>
      <c r="M65" s="293">
        <v>-30</v>
      </c>
      <c r="N65" s="293">
        <v>-30</v>
      </c>
      <c r="O65" s="118">
        <f t="shared" si="20"/>
        <v>-361</v>
      </c>
      <c r="P65" s="118"/>
      <c r="Q65" s="885"/>
      <c r="R65" s="886" t="s">
        <v>77</v>
      </c>
      <c r="S65" s="885"/>
      <c r="T65" s="118"/>
      <c r="U65" s="887">
        <f t="shared" si="21"/>
        <v>-91</v>
      </c>
      <c r="V65" s="887">
        <f t="shared" si="22"/>
        <v>-90</v>
      </c>
      <c r="W65" s="887">
        <f t="shared" si="23"/>
        <v>-90</v>
      </c>
      <c r="X65" s="887">
        <f t="shared" si="24"/>
        <v>-90</v>
      </c>
      <c r="Y65" s="888">
        <f t="shared" si="25"/>
        <v>-361</v>
      </c>
    </row>
    <row r="66" spans="1:25" x14ac:dyDescent="0.2">
      <c r="A66" s="884" t="s">
        <v>161</v>
      </c>
      <c r="C66" s="293">
        <v>-42</v>
      </c>
      <c r="D66" s="293">
        <v>-42</v>
      </c>
      <c r="E66" s="293">
        <v>-42</v>
      </c>
      <c r="F66" s="293">
        <v>-42</v>
      </c>
      <c r="G66" s="293">
        <v>-42</v>
      </c>
      <c r="H66" s="293">
        <v>-42</v>
      </c>
      <c r="I66" s="293">
        <v>-42</v>
      </c>
      <c r="J66" s="293">
        <v>-43</v>
      </c>
      <c r="K66" s="293">
        <v>-42</v>
      </c>
      <c r="L66" s="293">
        <v>-43</v>
      </c>
      <c r="M66" s="293">
        <v>-43</v>
      </c>
      <c r="N66" s="293">
        <v>-43</v>
      </c>
      <c r="O66" s="118">
        <f t="shared" si="20"/>
        <v>-508</v>
      </c>
      <c r="P66" s="118"/>
      <c r="Q66" s="885"/>
      <c r="R66" s="886" t="s">
        <v>77</v>
      </c>
      <c r="S66" s="885"/>
      <c r="T66" s="118"/>
      <c r="U66" s="887">
        <f t="shared" si="21"/>
        <v>-126</v>
      </c>
      <c r="V66" s="887">
        <f t="shared" si="22"/>
        <v>-126</v>
      </c>
      <c r="W66" s="887">
        <f t="shared" si="23"/>
        <v>-127</v>
      </c>
      <c r="X66" s="887">
        <f t="shared" si="24"/>
        <v>-129</v>
      </c>
      <c r="Y66" s="888">
        <f t="shared" si="25"/>
        <v>-508</v>
      </c>
    </row>
    <row r="67" spans="1:25" x14ac:dyDescent="0.2">
      <c r="A67" s="884" t="s">
        <v>162</v>
      </c>
      <c r="C67" s="293">
        <v>-10</v>
      </c>
      <c r="D67" s="293">
        <v>-10</v>
      </c>
      <c r="E67" s="293">
        <v>-10</v>
      </c>
      <c r="F67" s="293">
        <v>-10</v>
      </c>
      <c r="G67" s="293">
        <v>-10</v>
      </c>
      <c r="H67" s="293">
        <v>-10</v>
      </c>
      <c r="I67" s="293">
        <v>-10</v>
      </c>
      <c r="J67" s="293">
        <v>-10</v>
      </c>
      <c r="K67" s="293">
        <v>-11</v>
      </c>
      <c r="L67" s="293">
        <v>-10</v>
      </c>
      <c r="M67" s="293">
        <v>-11</v>
      </c>
      <c r="N67" s="293">
        <v>-10</v>
      </c>
      <c r="O67" s="118">
        <f t="shared" si="20"/>
        <v>-122</v>
      </c>
      <c r="P67" s="118"/>
      <c r="Q67" s="885"/>
      <c r="R67" s="886" t="s">
        <v>77</v>
      </c>
      <c r="S67" s="885"/>
      <c r="T67" s="118"/>
      <c r="U67" s="887">
        <f t="shared" si="21"/>
        <v>-30</v>
      </c>
      <c r="V67" s="887">
        <f t="shared" si="22"/>
        <v>-30</v>
      </c>
      <c r="W67" s="887">
        <f t="shared" si="23"/>
        <v>-31</v>
      </c>
      <c r="X67" s="887">
        <f t="shared" si="24"/>
        <v>-31</v>
      </c>
      <c r="Y67" s="888">
        <f t="shared" si="25"/>
        <v>-122</v>
      </c>
    </row>
    <row r="68" spans="1:25" x14ac:dyDescent="0.2">
      <c r="A68" s="884" t="s">
        <v>163</v>
      </c>
      <c r="C68" s="293">
        <v>-31</v>
      </c>
      <c r="D68" s="293">
        <v>-31</v>
      </c>
      <c r="E68" s="293">
        <v>-31</v>
      </c>
      <c r="F68" s="293">
        <v>-31</v>
      </c>
      <c r="G68" s="293">
        <v>-31</v>
      </c>
      <c r="H68" s="293">
        <v>-31</v>
      </c>
      <c r="I68" s="293">
        <v>-31</v>
      </c>
      <c r="J68" s="293">
        <v>-32</v>
      </c>
      <c r="K68" s="293">
        <v>-31</v>
      </c>
      <c r="L68" s="293">
        <v>-32</v>
      </c>
      <c r="M68" s="293">
        <v>-31</v>
      </c>
      <c r="N68" s="293">
        <v>-32</v>
      </c>
      <c r="O68" s="118">
        <f t="shared" si="20"/>
        <v>-375</v>
      </c>
      <c r="P68" s="118"/>
      <c r="Q68" s="885"/>
      <c r="R68" s="886" t="s">
        <v>77</v>
      </c>
      <c r="S68" s="885"/>
      <c r="T68" s="118"/>
      <c r="U68" s="887">
        <f t="shared" si="21"/>
        <v>-93</v>
      </c>
      <c r="V68" s="887">
        <f t="shared" si="22"/>
        <v>-93</v>
      </c>
      <c r="W68" s="887">
        <f t="shared" si="23"/>
        <v>-94</v>
      </c>
      <c r="X68" s="887">
        <f t="shared" si="24"/>
        <v>-95</v>
      </c>
      <c r="Y68" s="888">
        <f t="shared" si="25"/>
        <v>-375</v>
      </c>
    </row>
    <row r="69" spans="1:25" x14ac:dyDescent="0.2">
      <c r="A69" s="884" t="s">
        <v>164</v>
      </c>
      <c r="C69" s="293">
        <v>-45</v>
      </c>
      <c r="D69" s="293">
        <v>-45</v>
      </c>
      <c r="E69" s="293">
        <v>-45</v>
      </c>
      <c r="F69" s="293">
        <v>-45</v>
      </c>
      <c r="G69" s="293">
        <v>-45</v>
      </c>
      <c r="H69" s="293">
        <v>-45</v>
      </c>
      <c r="I69" s="293">
        <v>-45</v>
      </c>
      <c r="J69" s="293">
        <v>-45</v>
      </c>
      <c r="K69" s="293">
        <v>-45</v>
      </c>
      <c r="L69" s="293">
        <v>-45</v>
      </c>
      <c r="M69" s="293">
        <v>-44</v>
      </c>
      <c r="N69" s="293">
        <v>-45</v>
      </c>
      <c r="O69" s="118">
        <f t="shared" si="20"/>
        <v>-539</v>
      </c>
      <c r="P69" s="118"/>
      <c r="Q69" s="885"/>
      <c r="R69" s="886" t="s">
        <v>77</v>
      </c>
      <c r="S69" s="885"/>
      <c r="T69" s="118"/>
      <c r="U69" s="887">
        <f t="shared" si="21"/>
        <v>-135</v>
      </c>
      <c r="V69" s="887">
        <f t="shared" si="22"/>
        <v>-135</v>
      </c>
      <c r="W69" s="887">
        <f t="shared" si="23"/>
        <v>-135</v>
      </c>
      <c r="X69" s="887">
        <f t="shared" si="24"/>
        <v>-134</v>
      </c>
      <c r="Y69" s="888">
        <f t="shared" si="25"/>
        <v>-539</v>
      </c>
    </row>
    <row r="70" spans="1:25" x14ac:dyDescent="0.2">
      <c r="A70" s="884" t="s">
        <v>165</v>
      </c>
      <c r="C70" s="293">
        <v>-53</v>
      </c>
      <c r="D70" s="293">
        <v>-53</v>
      </c>
      <c r="E70" s="293">
        <v>-53</v>
      </c>
      <c r="F70" s="293">
        <v>-53</v>
      </c>
      <c r="G70" s="293">
        <v>-53</v>
      </c>
      <c r="H70" s="293">
        <v>-53</v>
      </c>
      <c r="I70" s="293">
        <v>-53</v>
      </c>
      <c r="J70" s="293">
        <v>-52</v>
      </c>
      <c r="K70" s="293">
        <v>-53</v>
      </c>
      <c r="L70" s="293">
        <v>-53</v>
      </c>
      <c r="M70" s="293">
        <v>-52</v>
      </c>
      <c r="N70" s="293">
        <v>-53</v>
      </c>
      <c r="O70" s="118">
        <f t="shared" si="20"/>
        <v>-634</v>
      </c>
      <c r="P70" s="118"/>
      <c r="Q70" s="885"/>
      <c r="R70" s="886" t="s">
        <v>77</v>
      </c>
      <c r="S70" s="885"/>
      <c r="T70" s="118"/>
      <c r="U70" s="887">
        <f t="shared" si="21"/>
        <v>-159</v>
      </c>
      <c r="V70" s="887">
        <f t="shared" si="22"/>
        <v>-159</v>
      </c>
      <c r="W70" s="887">
        <f t="shared" si="23"/>
        <v>-158</v>
      </c>
      <c r="X70" s="887">
        <f t="shared" si="24"/>
        <v>-158</v>
      </c>
      <c r="Y70" s="888">
        <f t="shared" si="25"/>
        <v>-634</v>
      </c>
    </row>
    <row r="71" spans="1:25" x14ac:dyDescent="0.2">
      <c r="A71" s="884" t="s">
        <v>166</v>
      </c>
      <c r="C71" s="293">
        <v>-11</v>
      </c>
      <c r="D71" s="293">
        <v>-11</v>
      </c>
      <c r="E71" s="293">
        <v>-11</v>
      </c>
      <c r="F71" s="293">
        <v>-11</v>
      </c>
      <c r="G71" s="293">
        <v>-11</v>
      </c>
      <c r="H71" s="293">
        <v>-11</v>
      </c>
      <c r="I71" s="293">
        <v>-11</v>
      </c>
      <c r="J71" s="293">
        <v>-11</v>
      </c>
      <c r="K71" s="293">
        <v>-10</v>
      </c>
      <c r="L71" s="293">
        <v>-11</v>
      </c>
      <c r="M71" s="293">
        <v>-11</v>
      </c>
      <c r="N71" s="293">
        <v>-10</v>
      </c>
      <c r="O71" s="118">
        <f t="shared" si="20"/>
        <v>-130</v>
      </c>
      <c r="P71" s="118"/>
      <c r="Q71" s="885"/>
      <c r="R71" s="886" t="s">
        <v>77</v>
      </c>
      <c r="S71" s="885"/>
      <c r="T71" s="118"/>
      <c r="U71" s="887">
        <f t="shared" si="21"/>
        <v>-33</v>
      </c>
      <c r="V71" s="887">
        <f t="shared" si="22"/>
        <v>-33</v>
      </c>
      <c r="W71" s="887">
        <f t="shared" si="23"/>
        <v>-32</v>
      </c>
      <c r="X71" s="887">
        <f t="shared" si="24"/>
        <v>-32</v>
      </c>
      <c r="Y71" s="888">
        <f t="shared" si="25"/>
        <v>-130</v>
      </c>
    </row>
    <row r="72" spans="1:25" x14ac:dyDescent="0.2">
      <c r="A72" s="884" t="s">
        <v>167</v>
      </c>
      <c r="C72" s="293">
        <v>-7</v>
      </c>
      <c r="D72" s="293">
        <v>-7</v>
      </c>
      <c r="E72" s="293">
        <v>-7</v>
      </c>
      <c r="F72" s="293">
        <v>-7</v>
      </c>
      <c r="G72" s="293">
        <v>-7</v>
      </c>
      <c r="H72" s="293">
        <v>-7</v>
      </c>
      <c r="I72" s="293">
        <v>-7</v>
      </c>
      <c r="J72" s="293">
        <v>-7</v>
      </c>
      <c r="K72" s="293">
        <v>-7</v>
      </c>
      <c r="L72" s="293">
        <v>-7</v>
      </c>
      <c r="M72" s="293">
        <v>-7</v>
      </c>
      <c r="N72" s="293">
        <v>-7</v>
      </c>
      <c r="O72" s="118">
        <f t="shared" si="20"/>
        <v>-84</v>
      </c>
      <c r="P72" s="118"/>
      <c r="Q72" s="885"/>
      <c r="R72" s="886" t="s">
        <v>77</v>
      </c>
      <c r="S72" s="885"/>
      <c r="T72" s="118"/>
      <c r="U72" s="887">
        <f t="shared" si="21"/>
        <v>-21</v>
      </c>
      <c r="V72" s="887">
        <f t="shared" si="22"/>
        <v>-21</v>
      </c>
      <c r="W72" s="887">
        <f t="shared" si="23"/>
        <v>-21</v>
      </c>
      <c r="X72" s="887">
        <f t="shared" si="24"/>
        <v>-21</v>
      </c>
      <c r="Y72" s="888">
        <f t="shared" si="25"/>
        <v>-84</v>
      </c>
    </row>
    <row r="73" spans="1:25" x14ac:dyDescent="0.2">
      <c r="A73" s="884" t="s">
        <v>168</v>
      </c>
      <c r="C73" s="293">
        <v>-7</v>
      </c>
      <c r="D73" s="293">
        <v>-7</v>
      </c>
      <c r="E73" s="293">
        <v>-7</v>
      </c>
      <c r="F73" s="293">
        <v>-7</v>
      </c>
      <c r="G73" s="293">
        <v>-7</v>
      </c>
      <c r="H73" s="293">
        <v>-7</v>
      </c>
      <c r="I73" s="293">
        <v>-7</v>
      </c>
      <c r="J73" s="293">
        <v>-8</v>
      </c>
      <c r="K73" s="293">
        <v>-7</v>
      </c>
      <c r="L73" s="293">
        <v>-8</v>
      </c>
      <c r="M73" s="293">
        <v>-7</v>
      </c>
      <c r="N73" s="293">
        <v>-8</v>
      </c>
      <c r="O73" s="118">
        <f>SUM(C73:N73)</f>
        <v>-87</v>
      </c>
      <c r="P73" s="118"/>
      <c r="Q73" s="885"/>
      <c r="R73" s="886" t="s">
        <v>77</v>
      </c>
      <c r="S73" s="885"/>
      <c r="T73" s="118"/>
      <c r="U73" s="887">
        <f>C73+D73+E73</f>
        <v>-21</v>
      </c>
      <c r="V73" s="887">
        <f>F73+G73+H73</f>
        <v>-21</v>
      </c>
      <c r="W73" s="887">
        <f>I73+J73+K73</f>
        <v>-22</v>
      </c>
      <c r="X73" s="887">
        <f>L73+M73+N73</f>
        <v>-23</v>
      </c>
      <c r="Y73" s="888">
        <f>SUM(U73:X73)</f>
        <v>-87</v>
      </c>
    </row>
    <row r="74" spans="1:25" x14ac:dyDescent="0.2">
      <c r="A74" s="884" t="s">
        <v>169</v>
      </c>
      <c r="C74" s="293">
        <v>-38</v>
      </c>
      <c r="D74" s="293">
        <v>-38</v>
      </c>
      <c r="E74" s="293">
        <v>-38</v>
      </c>
      <c r="F74" s="293">
        <v>-38</v>
      </c>
      <c r="G74" s="293">
        <v>-38</v>
      </c>
      <c r="H74" s="293">
        <v>-38</v>
      </c>
      <c r="I74" s="293">
        <v>-38</v>
      </c>
      <c r="J74" s="293">
        <v>-38</v>
      </c>
      <c r="K74" s="293">
        <v>-38</v>
      </c>
      <c r="L74" s="293">
        <v>-38</v>
      </c>
      <c r="M74" s="293">
        <v>-38</v>
      </c>
      <c r="N74" s="293">
        <v>-37</v>
      </c>
      <c r="O74" s="118">
        <f>SUM(C74:N74)</f>
        <v>-455</v>
      </c>
      <c r="P74" s="118"/>
      <c r="Q74" s="885"/>
      <c r="R74" s="886" t="s">
        <v>77</v>
      </c>
      <c r="S74" s="885"/>
      <c r="T74" s="118"/>
      <c r="U74" s="887">
        <f>C74+D74+E74</f>
        <v>-114</v>
      </c>
      <c r="V74" s="887">
        <f>F74+G74+H74</f>
        <v>-114</v>
      </c>
      <c r="W74" s="887">
        <f>I74+J74+K74</f>
        <v>-114</v>
      </c>
      <c r="X74" s="887">
        <f>L74+M74+N74</f>
        <v>-113</v>
      </c>
      <c r="Y74" s="888">
        <f>SUM(U74:X74)</f>
        <v>-455</v>
      </c>
    </row>
    <row r="75" spans="1:25" x14ac:dyDescent="0.2">
      <c r="A75" s="884" t="s">
        <v>81</v>
      </c>
      <c r="C75" s="293">
        <v>0</v>
      </c>
      <c r="D75" s="293">
        <v>0</v>
      </c>
      <c r="E75" s="293">
        <v>0</v>
      </c>
      <c r="F75" s="293">
        <v>0</v>
      </c>
      <c r="G75" s="293">
        <v>0</v>
      </c>
      <c r="H75" s="293">
        <v>0</v>
      </c>
      <c r="I75" s="293">
        <v>0</v>
      </c>
      <c r="J75" s="293">
        <v>0</v>
      </c>
      <c r="K75" s="293">
        <v>0</v>
      </c>
      <c r="L75" s="293">
        <v>0</v>
      </c>
      <c r="M75" s="293">
        <v>0</v>
      </c>
      <c r="N75" s="293">
        <v>0</v>
      </c>
      <c r="O75" s="118">
        <f t="shared" si="20"/>
        <v>0</v>
      </c>
      <c r="P75" s="118"/>
      <c r="Q75" s="885"/>
      <c r="R75" s="886" t="s">
        <v>77</v>
      </c>
      <c r="S75" s="885"/>
      <c r="T75" s="118"/>
      <c r="U75" s="887">
        <f t="shared" si="21"/>
        <v>0</v>
      </c>
      <c r="V75" s="887">
        <f t="shared" si="22"/>
        <v>0</v>
      </c>
      <c r="W75" s="887">
        <f t="shared" si="23"/>
        <v>0</v>
      </c>
      <c r="X75" s="887">
        <f t="shared" si="24"/>
        <v>0</v>
      </c>
      <c r="Y75" s="888">
        <f t="shared" si="25"/>
        <v>0</v>
      </c>
    </row>
    <row r="76" spans="1:25" x14ac:dyDescent="0.2">
      <c r="A76" s="884" t="s">
        <v>56</v>
      </c>
      <c r="C76" s="293">
        <v>0</v>
      </c>
      <c r="D76" s="293">
        <v>0</v>
      </c>
      <c r="E76" s="293">
        <v>0</v>
      </c>
      <c r="F76" s="293">
        <v>0</v>
      </c>
      <c r="G76" s="293">
        <v>0</v>
      </c>
      <c r="H76" s="293">
        <v>0</v>
      </c>
      <c r="I76" s="293">
        <v>0</v>
      </c>
      <c r="J76" s="293">
        <v>0</v>
      </c>
      <c r="K76" s="293">
        <v>0</v>
      </c>
      <c r="L76" s="293">
        <v>0</v>
      </c>
      <c r="M76" s="293">
        <v>0</v>
      </c>
      <c r="N76" s="293">
        <v>0</v>
      </c>
      <c r="O76" s="118">
        <f t="shared" si="20"/>
        <v>0</v>
      </c>
      <c r="P76" s="118"/>
      <c r="Q76" s="885"/>
      <c r="R76" s="886" t="s">
        <v>77</v>
      </c>
      <c r="S76" s="885"/>
      <c r="T76" s="118"/>
      <c r="U76" s="887">
        <f t="shared" si="21"/>
        <v>0</v>
      </c>
      <c r="V76" s="887">
        <f t="shared" si="22"/>
        <v>0</v>
      </c>
      <c r="W76" s="887">
        <f t="shared" si="23"/>
        <v>0</v>
      </c>
      <c r="X76" s="887">
        <f t="shared" si="24"/>
        <v>0</v>
      </c>
      <c r="Y76" s="888">
        <f t="shared" si="25"/>
        <v>0</v>
      </c>
    </row>
    <row r="77" spans="1:25" x14ac:dyDescent="0.2">
      <c r="A77" s="884" t="s">
        <v>57</v>
      </c>
      <c r="C77" s="301">
        <v>0</v>
      </c>
      <c r="D77" s="301">
        <v>0</v>
      </c>
      <c r="E77" s="301">
        <v>0</v>
      </c>
      <c r="F77" s="301">
        <v>0</v>
      </c>
      <c r="G77" s="301">
        <v>0</v>
      </c>
      <c r="H77" s="301">
        <v>0</v>
      </c>
      <c r="I77" s="301">
        <v>0</v>
      </c>
      <c r="J77" s="301">
        <v>0</v>
      </c>
      <c r="K77" s="301">
        <v>0</v>
      </c>
      <c r="L77" s="301">
        <v>0</v>
      </c>
      <c r="M77" s="301">
        <v>0</v>
      </c>
      <c r="N77" s="301">
        <v>0</v>
      </c>
      <c r="O77" s="120">
        <f t="shared" si="20"/>
        <v>0</v>
      </c>
      <c r="P77" s="118"/>
      <c r="Q77" s="885"/>
      <c r="R77" s="886" t="s">
        <v>77</v>
      </c>
      <c r="S77" s="885"/>
      <c r="T77" s="118"/>
      <c r="U77" s="892">
        <f t="shared" si="21"/>
        <v>0</v>
      </c>
      <c r="V77" s="892">
        <f t="shared" si="22"/>
        <v>0</v>
      </c>
      <c r="W77" s="892">
        <f t="shared" si="23"/>
        <v>0</v>
      </c>
      <c r="X77" s="892">
        <f t="shared" si="24"/>
        <v>0</v>
      </c>
      <c r="Y77" s="893">
        <f t="shared" si="25"/>
        <v>0</v>
      </c>
    </row>
    <row r="78" spans="1:25" x14ac:dyDescent="0.2">
      <c r="A78" s="884" t="s">
        <v>82</v>
      </c>
      <c r="C78" s="905">
        <f t="shared" ref="C78:O78" si="26">SUM(C59:C77)</f>
        <v>-640</v>
      </c>
      <c r="D78" s="905">
        <f t="shared" si="26"/>
        <v>-625</v>
      </c>
      <c r="E78" s="905">
        <f t="shared" si="26"/>
        <v>-638</v>
      </c>
      <c r="F78" s="905">
        <f t="shared" si="26"/>
        <v>-633</v>
      </c>
      <c r="G78" s="905">
        <f t="shared" si="26"/>
        <v>-636</v>
      </c>
      <c r="H78" s="905">
        <f t="shared" si="26"/>
        <v>-634</v>
      </c>
      <c r="I78" s="905">
        <f t="shared" si="26"/>
        <v>-633</v>
      </c>
      <c r="J78" s="905">
        <f t="shared" si="26"/>
        <v>-642</v>
      </c>
      <c r="K78" s="905">
        <f t="shared" si="26"/>
        <v>-641</v>
      </c>
      <c r="L78" s="905">
        <f t="shared" si="26"/>
        <v>-644</v>
      </c>
      <c r="M78" s="905">
        <f t="shared" si="26"/>
        <v>-628</v>
      </c>
      <c r="N78" s="905">
        <f t="shared" si="26"/>
        <v>-639</v>
      </c>
      <c r="O78" s="905">
        <f t="shared" si="26"/>
        <v>-7633</v>
      </c>
      <c r="P78" s="118"/>
      <c r="Q78" s="885"/>
      <c r="R78" s="886"/>
      <c r="S78" s="885"/>
      <c r="T78" s="118"/>
      <c r="U78" s="905">
        <f>SUM(U59:U77)</f>
        <v>-1903</v>
      </c>
      <c r="V78" s="905">
        <f>SUM(V59:V77)</f>
        <v>-1903</v>
      </c>
      <c r="W78" s="905">
        <f>SUM(W59:W77)</f>
        <v>-1916</v>
      </c>
      <c r="X78" s="905">
        <f>SUM(X59:X77)</f>
        <v>-1911</v>
      </c>
      <c r="Y78" s="905">
        <f>SUM(Y59:Y77)</f>
        <v>-7633</v>
      </c>
    </row>
    <row r="79" spans="1:25" x14ac:dyDescent="0.2">
      <c r="A79" s="884"/>
      <c r="C79" s="905"/>
      <c r="D79" s="905"/>
      <c r="E79" s="905"/>
      <c r="F79" s="905"/>
      <c r="G79" s="905"/>
      <c r="H79" s="905"/>
      <c r="I79" s="905"/>
      <c r="J79" s="905"/>
      <c r="K79" s="905"/>
      <c r="L79" s="905"/>
      <c r="M79" s="905"/>
      <c r="N79" s="905"/>
      <c r="O79" s="905"/>
      <c r="P79" s="118"/>
      <c r="Q79" s="885"/>
      <c r="R79" s="886"/>
      <c r="S79" s="885"/>
      <c r="T79" s="118"/>
      <c r="U79" s="905"/>
      <c r="V79" s="905"/>
      <c r="W79" s="905"/>
      <c r="X79" s="905"/>
      <c r="Y79" s="905"/>
    </row>
    <row r="80" spans="1:25" x14ac:dyDescent="0.2">
      <c r="A80" s="884"/>
      <c r="C80" s="905"/>
      <c r="D80" s="905"/>
      <c r="E80" s="905"/>
      <c r="F80" s="905"/>
      <c r="G80" s="905"/>
      <c r="H80" s="905"/>
      <c r="I80" s="905"/>
      <c r="J80" s="905"/>
      <c r="K80" s="905"/>
      <c r="L80" s="905"/>
      <c r="M80" s="905"/>
      <c r="N80" s="905"/>
      <c r="O80" s="905"/>
      <c r="P80" s="118"/>
      <c r="Q80" s="885"/>
      <c r="R80" s="886"/>
      <c r="S80" s="885"/>
      <c r="T80" s="118"/>
      <c r="U80" s="905"/>
      <c r="V80" s="905"/>
      <c r="W80" s="905"/>
      <c r="X80" s="905"/>
      <c r="Y80" s="905"/>
    </row>
    <row r="81" spans="1:25" x14ac:dyDescent="0.2">
      <c r="A81" s="884"/>
      <c r="C81" s="905"/>
      <c r="D81" s="905"/>
      <c r="E81" s="905"/>
      <c r="F81" s="905"/>
      <c r="G81" s="905"/>
      <c r="H81" s="905"/>
      <c r="I81" s="905"/>
      <c r="J81" s="905"/>
      <c r="K81" s="905"/>
      <c r="L81" s="905"/>
      <c r="M81" s="905"/>
      <c r="N81" s="905"/>
      <c r="O81" s="905"/>
      <c r="P81" s="118"/>
      <c r="Q81" s="885"/>
      <c r="R81" s="886"/>
      <c r="S81" s="885"/>
      <c r="T81" s="118"/>
      <c r="U81" s="905"/>
      <c r="V81" s="905"/>
      <c r="W81" s="905"/>
      <c r="X81" s="905"/>
      <c r="Y81" s="905"/>
    </row>
    <row r="82" spans="1:25" x14ac:dyDescent="0.2">
      <c r="A82" s="884" t="s">
        <v>1023</v>
      </c>
      <c r="C82" s="293">
        <v>0</v>
      </c>
      <c r="D82" s="293">
        <v>0</v>
      </c>
      <c r="E82" s="293">
        <v>0</v>
      </c>
      <c r="F82" s="293">
        <v>0</v>
      </c>
      <c r="G82" s="293">
        <v>0</v>
      </c>
      <c r="H82" s="293">
        <v>0</v>
      </c>
      <c r="I82" s="293">
        <v>0</v>
      </c>
      <c r="J82" s="293">
        <v>0</v>
      </c>
      <c r="K82" s="293">
        <v>0</v>
      </c>
      <c r="L82" s="293">
        <v>0</v>
      </c>
      <c r="M82" s="293">
        <v>0</v>
      </c>
      <c r="N82" s="293">
        <v>0</v>
      </c>
      <c r="O82" s="357">
        <f t="shared" ref="O82:O92" si="27">SUM(C82:N82)</f>
        <v>0</v>
      </c>
      <c r="P82" s="357"/>
      <c r="Q82" s="885"/>
      <c r="R82" s="890" t="s">
        <v>62</v>
      </c>
      <c r="S82" s="885"/>
      <c r="T82" s="357"/>
      <c r="U82" s="887">
        <f t="shared" ref="U82:U92" si="28">C82+D82+E82</f>
        <v>0</v>
      </c>
      <c r="V82" s="887">
        <f t="shared" ref="V82:V92" si="29">F82+G82+H82</f>
        <v>0</v>
      </c>
      <c r="W82" s="887">
        <f t="shared" ref="W82:W92" si="30">I82+J82+K82</f>
        <v>0</v>
      </c>
      <c r="X82" s="887">
        <f t="shared" ref="X82:X92" si="31">L82+M82+N82</f>
        <v>0</v>
      </c>
      <c r="Y82" s="888">
        <f t="shared" ref="Y82:Y92" si="32">SUM(U82:X82)</f>
        <v>0</v>
      </c>
    </row>
    <row r="83" spans="1:25" x14ac:dyDescent="0.2">
      <c r="A83" s="884" t="s">
        <v>57</v>
      </c>
      <c r="C83" s="293">
        <v>0</v>
      </c>
      <c r="D83" s="293">
        <v>0</v>
      </c>
      <c r="E83" s="293">
        <v>0</v>
      </c>
      <c r="F83" s="293">
        <v>0</v>
      </c>
      <c r="G83" s="293">
        <v>0</v>
      </c>
      <c r="H83" s="293">
        <v>0</v>
      </c>
      <c r="I83" s="293">
        <v>0</v>
      </c>
      <c r="J83" s="293">
        <v>0</v>
      </c>
      <c r="K83" s="293">
        <v>0</v>
      </c>
      <c r="L83" s="293">
        <v>0</v>
      </c>
      <c r="M83" s="293">
        <v>0</v>
      </c>
      <c r="N83" s="293">
        <v>0</v>
      </c>
      <c r="O83" s="357">
        <f t="shared" si="27"/>
        <v>0</v>
      </c>
      <c r="P83" s="357"/>
      <c r="Q83" s="885"/>
      <c r="R83" s="890" t="s">
        <v>62</v>
      </c>
      <c r="S83" s="885"/>
      <c r="T83" s="357"/>
      <c r="U83" s="887">
        <f t="shared" si="28"/>
        <v>0</v>
      </c>
      <c r="V83" s="887">
        <f t="shared" si="29"/>
        <v>0</v>
      </c>
      <c r="W83" s="887">
        <f t="shared" si="30"/>
        <v>0</v>
      </c>
      <c r="X83" s="887">
        <f t="shared" si="31"/>
        <v>0</v>
      </c>
      <c r="Y83" s="888">
        <f t="shared" si="32"/>
        <v>0</v>
      </c>
    </row>
    <row r="84" spans="1:25" x14ac:dyDescent="0.2">
      <c r="A84" s="884" t="s">
        <v>67</v>
      </c>
      <c r="C84" s="293">
        <v>0</v>
      </c>
      <c r="D84" s="293">
        <v>0</v>
      </c>
      <c r="E84" s="293">
        <v>0</v>
      </c>
      <c r="F84" s="293">
        <v>0</v>
      </c>
      <c r="G84" s="293">
        <v>0</v>
      </c>
      <c r="H84" s="293">
        <v>0</v>
      </c>
      <c r="I84" s="293">
        <v>0</v>
      </c>
      <c r="J84" s="293">
        <v>0</v>
      </c>
      <c r="K84" s="293">
        <v>0</v>
      </c>
      <c r="L84" s="293">
        <v>0</v>
      </c>
      <c r="M84" s="293">
        <v>0</v>
      </c>
      <c r="N84" s="293">
        <v>0</v>
      </c>
      <c r="O84" s="357">
        <f t="shared" si="27"/>
        <v>0</v>
      </c>
      <c r="P84" s="357"/>
      <c r="Q84" s="885"/>
      <c r="R84" s="890" t="s">
        <v>62</v>
      </c>
      <c r="S84" s="885"/>
      <c r="T84" s="357"/>
      <c r="U84" s="887">
        <f t="shared" si="28"/>
        <v>0</v>
      </c>
      <c r="V84" s="887">
        <f t="shared" si="29"/>
        <v>0</v>
      </c>
      <c r="W84" s="887">
        <f t="shared" si="30"/>
        <v>0</v>
      </c>
      <c r="X84" s="887">
        <f t="shared" si="31"/>
        <v>0</v>
      </c>
      <c r="Y84" s="888">
        <f t="shared" si="32"/>
        <v>0</v>
      </c>
    </row>
    <row r="85" spans="1:25" ht="6" customHeight="1" x14ac:dyDescent="0.2">
      <c r="A85" s="884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293"/>
      <c r="O85" s="357"/>
      <c r="P85" s="357"/>
      <c r="Q85" s="885"/>
      <c r="R85" s="890"/>
      <c r="S85" s="885"/>
      <c r="T85" s="357"/>
      <c r="U85" s="887"/>
      <c r="V85" s="887"/>
      <c r="W85" s="887"/>
      <c r="X85" s="887"/>
      <c r="Y85" s="888"/>
    </row>
    <row r="86" spans="1:25" ht="12.75" customHeight="1" x14ac:dyDescent="0.2">
      <c r="A86" s="884" t="s">
        <v>83</v>
      </c>
      <c r="C86" s="698">
        <v>-228</v>
      </c>
      <c r="D86" s="698">
        <v>-262</v>
      </c>
      <c r="E86" s="698">
        <v>-223</v>
      </c>
      <c r="F86" s="698">
        <v>-229</v>
      </c>
      <c r="G86" s="698">
        <v>-240</v>
      </c>
      <c r="H86" s="698">
        <v>-245</v>
      </c>
      <c r="I86" s="698">
        <v>-219</v>
      </c>
      <c r="J86" s="698">
        <v>-219</v>
      </c>
      <c r="K86" s="698">
        <v>-261</v>
      </c>
      <c r="L86" s="698">
        <v>-223</v>
      </c>
      <c r="M86" s="698">
        <v>-228</v>
      </c>
      <c r="N86" s="698">
        <v>-243</v>
      </c>
      <c r="O86" s="689">
        <f t="shared" si="27"/>
        <v>-2820</v>
      </c>
      <c r="P86" s="689"/>
      <c r="Q86" s="885"/>
      <c r="R86" s="890" t="s">
        <v>84</v>
      </c>
      <c r="S86" s="885"/>
      <c r="T86" s="689"/>
      <c r="U86" s="887">
        <f t="shared" si="28"/>
        <v>-713</v>
      </c>
      <c r="V86" s="887">
        <f t="shared" si="29"/>
        <v>-714</v>
      </c>
      <c r="W86" s="887">
        <f t="shared" si="30"/>
        <v>-699</v>
      </c>
      <c r="X86" s="887">
        <f t="shared" si="31"/>
        <v>-694</v>
      </c>
      <c r="Y86" s="888">
        <f t="shared" si="32"/>
        <v>-2820</v>
      </c>
    </row>
    <row r="87" spans="1:25" x14ac:dyDescent="0.2">
      <c r="A87" s="884" t="s">
        <v>85</v>
      </c>
      <c r="C87" s="895">
        <v>9</v>
      </c>
      <c r="D87" s="895">
        <v>10</v>
      </c>
      <c r="E87" s="895">
        <v>9</v>
      </c>
      <c r="F87" s="895">
        <v>10</v>
      </c>
      <c r="G87" s="895">
        <v>11</v>
      </c>
      <c r="H87" s="895">
        <v>11</v>
      </c>
      <c r="I87" s="895">
        <v>9</v>
      </c>
      <c r="J87" s="895">
        <v>9</v>
      </c>
      <c r="K87" s="895">
        <v>13</v>
      </c>
      <c r="L87" s="895">
        <v>10</v>
      </c>
      <c r="M87" s="895">
        <v>10</v>
      </c>
      <c r="N87" s="895">
        <v>11</v>
      </c>
      <c r="O87" s="689">
        <f t="shared" si="27"/>
        <v>122</v>
      </c>
      <c r="P87" s="689"/>
      <c r="Q87" s="885"/>
      <c r="R87" s="890" t="s">
        <v>84</v>
      </c>
      <c r="S87" s="885"/>
      <c r="T87" s="689"/>
      <c r="U87" s="887">
        <f t="shared" si="28"/>
        <v>28</v>
      </c>
      <c r="V87" s="887">
        <f t="shared" si="29"/>
        <v>32</v>
      </c>
      <c r="W87" s="887">
        <f t="shared" si="30"/>
        <v>31</v>
      </c>
      <c r="X87" s="887">
        <f t="shared" si="31"/>
        <v>31</v>
      </c>
      <c r="Y87" s="888">
        <f t="shared" si="32"/>
        <v>122</v>
      </c>
    </row>
    <row r="88" spans="1:25" x14ac:dyDescent="0.2">
      <c r="A88" s="884" t="s">
        <v>86</v>
      </c>
      <c r="C88" s="895">
        <v>0</v>
      </c>
      <c r="D88" s="895">
        <v>0</v>
      </c>
      <c r="E88" s="895">
        <v>0</v>
      </c>
      <c r="F88" s="895">
        <v>0</v>
      </c>
      <c r="G88" s="895">
        <v>0</v>
      </c>
      <c r="H88" s="895">
        <v>0</v>
      </c>
      <c r="I88" s="895">
        <v>0</v>
      </c>
      <c r="J88" s="895">
        <v>0</v>
      </c>
      <c r="K88" s="895">
        <v>0</v>
      </c>
      <c r="L88" s="895">
        <v>0</v>
      </c>
      <c r="M88" s="895">
        <v>0</v>
      </c>
      <c r="N88" s="895">
        <v>0</v>
      </c>
      <c r="O88" s="689">
        <f t="shared" si="27"/>
        <v>0</v>
      </c>
      <c r="P88" s="689"/>
      <c r="Q88" s="885"/>
      <c r="R88" s="890" t="s">
        <v>84</v>
      </c>
      <c r="S88" s="885"/>
      <c r="T88" s="689"/>
      <c r="U88" s="887">
        <f t="shared" si="28"/>
        <v>0</v>
      </c>
      <c r="V88" s="887">
        <f t="shared" si="29"/>
        <v>0</v>
      </c>
      <c r="W88" s="887">
        <f t="shared" si="30"/>
        <v>0</v>
      </c>
      <c r="X88" s="887">
        <f t="shared" si="31"/>
        <v>0</v>
      </c>
      <c r="Y88" s="888">
        <f t="shared" si="32"/>
        <v>0</v>
      </c>
    </row>
    <row r="89" spans="1:25" x14ac:dyDescent="0.2">
      <c r="A89" s="884" t="s">
        <v>87</v>
      </c>
      <c r="C89" s="895">
        <v>0</v>
      </c>
      <c r="D89" s="895">
        <v>0</v>
      </c>
      <c r="E89" s="895">
        <v>0</v>
      </c>
      <c r="F89" s="895">
        <v>0</v>
      </c>
      <c r="G89" s="895">
        <v>0</v>
      </c>
      <c r="H89" s="895">
        <v>0</v>
      </c>
      <c r="I89" s="895">
        <v>0</v>
      </c>
      <c r="J89" s="895">
        <v>0</v>
      </c>
      <c r="K89" s="895">
        <v>0</v>
      </c>
      <c r="L89" s="895">
        <v>0</v>
      </c>
      <c r="M89" s="895">
        <v>0</v>
      </c>
      <c r="N89" s="895">
        <v>0</v>
      </c>
      <c r="O89" s="689">
        <f t="shared" si="27"/>
        <v>0</v>
      </c>
      <c r="P89" s="689"/>
      <c r="Q89" s="885"/>
      <c r="R89" s="890" t="s">
        <v>84</v>
      </c>
      <c r="S89" s="885"/>
      <c r="T89" s="689"/>
      <c r="U89" s="887">
        <f t="shared" si="28"/>
        <v>0</v>
      </c>
      <c r="V89" s="887">
        <f t="shared" si="29"/>
        <v>0</v>
      </c>
      <c r="W89" s="887">
        <f t="shared" si="30"/>
        <v>0</v>
      </c>
      <c r="X89" s="887">
        <f t="shared" si="31"/>
        <v>0</v>
      </c>
      <c r="Y89" s="888">
        <f t="shared" si="32"/>
        <v>0</v>
      </c>
    </row>
    <row r="90" spans="1:25" x14ac:dyDescent="0.2">
      <c r="A90" s="884" t="s">
        <v>88</v>
      </c>
      <c r="C90" s="895">
        <v>0</v>
      </c>
      <c r="D90" s="895">
        <v>0</v>
      </c>
      <c r="E90" s="895">
        <v>0</v>
      </c>
      <c r="F90" s="895">
        <v>0</v>
      </c>
      <c r="G90" s="895">
        <v>0</v>
      </c>
      <c r="H90" s="895">
        <v>0</v>
      </c>
      <c r="I90" s="895">
        <v>0</v>
      </c>
      <c r="J90" s="895">
        <v>0</v>
      </c>
      <c r="K90" s="895">
        <v>0</v>
      </c>
      <c r="L90" s="895">
        <v>0</v>
      </c>
      <c r="M90" s="895">
        <v>0</v>
      </c>
      <c r="N90" s="895">
        <v>0</v>
      </c>
      <c r="O90" s="689">
        <f t="shared" si="27"/>
        <v>0</v>
      </c>
      <c r="P90" s="689"/>
      <c r="Q90" s="885"/>
      <c r="R90" s="890" t="s">
        <v>84</v>
      </c>
      <c r="S90" s="885"/>
      <c r="T90" s="689"/>
      <c r="U90" s="887">
        <f t="shared" si="28"/>
        <v>0</v>
      </c>
      <c r="V90" s="887">
        <f t="shared" si="29"/>
        <v>0</v>
      </c>
      <c r="W90" s="887">
        <f t="shared" si="30"/>
        <v>0</v>
      </c>
      <c r="X90" s="887">
        <f t="shared" si="31"/>
        <v>0</v>
      </c>
      <c r="Y90" s="888">
        <f t="shared" si="32"/>
        <v>0</v>
      </c>
    </row>
    <row r="91" spans="1:25" x14ac:dyDescent="0.2">
      <c r="A91" s="884" t="s">
        <v>89</v>
      </c>
      <c r="C91" s="895">
        <v>0</v>
      </c>
      <c r="D91" s="895">
        <v>0</v>
      </c>
      <c r="E91" s="895">
        <v>0</v>
      </c>
      <c r="F91" s="895">
        <v>0</v>
      </c>
      <c r="G91" s="895">
        <v>0</v>
      </c>
      <c r="H91" s="895">
        <v>0</v>
      </c>
      <c r="I91" s="895">
        <v>0</v>
      </c>
      <c r="J91" s="895">
        <v>0</v>
      </c>
      <c r="K91" s="895">
        <v>0</v>
      </c>
      <c r="L91" s="895">
        <v>0</v>
      </c>
      <c r="M91" s="895">
        <v>0</v>
      </c>
      <c r="N91" s="895">
        <v>0</v>
      </c>
      <c r="O91" s="689">
        <f t="shared" si="27"/>
        <v>0</v>
      </c>
      <c r="P91" s="689"/>
      <c r="Q91" s="885"/>
      <c r="R91" s="890" t="s">
        <v>84</v>
      </c>
      <c r="S91" s="885"/>
      <c r="T91" s="689"/>
      <c r="U91" s="887">
        <f t="shared" si="28"/>
        <v>0</v>
      </c>
      <c r="V91" s="887">
        <f t="shared" si="29"/>
        <v>0</v>
      </c>
      <c r="W91" s="887">
        <f t="shared" si="30"/>
        <v>0</v>
      </c>
      <c r="X91" s="887">
        <f t="shared" si="31"/>
        <v>0</v>
      </c>
      <c r="Y91" s="888">
        <f t="shared" si="32"/>
        <v>0</v>
      </c>
    </row>
    <row r="92" spans="1:25" x14ac:dyDescent="0.2">
      <c r="A92" s="884" t="s">
        <v>90</v>
      </c>
      <c r="C92" s="907">
        <v>0</v>
      </c>
      <c r="D92" s="907">
        <v>0</v>
      </c>
      <c r="E92" s="907">
        <v>0</v>
      </c>
      <c r="F92" s="907">
        <v>0</v>
      </c>
      <c r="G92" s="907">
        <v>0</v>
      </c>
      <c r="H92" s="907">
        <v>0</v>
      </c>
      <c r="I92" s="907">
        <v>0</v>
      </c>
      <c r="J92" s="907">
        <v>0</v>
      </c>
      <c r="K92" s="907">
        <v>0</v>
      </c>
      <c r="L92" s="907">
        <v>0</v>
      </c>
      <c r="M92" s="907">
        <v>0</v>
      </c>
      <c r="N92" s="907">
        <v>0</v>
      </c>
      <c r="O92" s="691">
        <f t="shared" si="27"/>
        <v>0</v>
      </c>
      <c r="P92" s="689"/>
      <c r="Q92" s="885"/>
      <c r="R92" s="890" t="s">
        <v>84</v>
      </c>
      <c r="S92" s="885"/>
      <c r="T92" s="689"/>
      <c r="U92" s="892">
        <f t="shared" si="28"/>
        <v>0</v>
      </c>
      <c r="V92" s="892">
        <f t="shared" si="29"/>
        <v>0</v>
      </c>
      <c r="W92" s="892">
        <f t="shared" si="30"/>
        <v>0</v>
      </c>
      <c r="X92" s="892">
        <f t="shared" si="31"/>
        <v>0</v>
      </c>
      <c r="Y92" s="893">
        <f t="shared" si="32"/>
        <v>0</v>
      </c>
    </row>
    <row r="93" spans="1:25" x14ac:dyDescent="0.2">
      <c r="A93" s="884" t="s">
        <v>91</v>
      </c>
      <c r="C93" s="907">
        <f t="shared" ref="C93:O93" si="33">SUM(C86:C92)</f>
        <v>-219</v>
      </c>
      <c r="D93" s="907">
        <f t="shared" si="33"/>
        <v>-252</v>
      </c>
      <c r="E93" s="907">
        <f t="shared" si="33"/>
        <v>-214</v>
      </c>
      <c r="F93" s="907">
        <f t="shared" si="33"/>
        <v>-219</v>
      </c>
      <c r="G93" s="907">
        <f t="shared" si="33"/>
        <v>-229</v>
      </c>
      <c r="H93" s="907">
        <f t="shared" si="33"/>
        <v>-234</v>
      </c>
      <c r="I93" s="907">
        <f t="shared" si="33"/>
        <v>-210</v>
      </c>
      <c r="J93" s="907">
        <f t="shared" si="33"/>
        <v>-210</v>
      </c>
      <c r="K93" s="907">
        <f t="shared" si="33"/>
        <v>-248</v>
      </c>
      <c r="L93" s="907">
        <f t="shared" si="33"/>
        <v>-213</v>
      </c>
      <c r="M93" s="907">
        <f t="shared" si="33"/>
        <v>-218</v>
      </c>
      <c r="N93" s="907">
        <f t="shared" si="33"/>
        <v>-232</v>
      </c>
      <c r="O93" s="893">
        <f t="shared" si="33"/>
        <v>-2698</v>
      </c>
      <c r="P93" s="689"/>
      <c r="Q93" s="885"/>
      <c r="R93" s="890"/>
      <c r="S93" s="885"/>
      <c r="T93" s="689"/>
      <c r="U93" s="893">
        <f>SUM(U86:U92)</f>
        <v>-685</v>
      </c>
      <c r="V93" s="893">
        <f>SUM(V86:V92)</f>
        <v>-682</v>
      </c>
      <c r="W93" s="893">
        <f>SUM(W86:W92)</f>
        <v>-668</v>
      </c>
      <c r="X93" s="893">
        <f>SUM(X86:X92)</f>
        <v>-663</v>
      </c>
      <c r="Y93" s="893">
        <f>SUM(Y86:Y92)</f>
        <v>-2698</v>
      </c>
    </row>
    <row r="94" spans="1:25" ht="6" customHeight="1" x14ac:dyDescent="0.2">
      <c r="A94" s="884"/>
      <c r="C94" s="895"/>
      <c r="D94" s="895"/>
      <c r="E94" s="895"/>
      <c r="F94" s="895"/>
      <c r="G94" s="895"/>
      <c r="H94" s="895"/>
      <c r="I94" s="906"/>
      <c r="J94" s="906"/>
      <c r="K94" s="906"/>
      <c r="L94" s="906"/>
      <c r="M94" s="906"/>
      <c r="N94" s="906"/>
      <c r="O94" s="689"/>
      <c r="P94" s="689"/>
      <c r="Q94" s="885"/>
      <c r="R94" s="890"/>
      <c r="S94" s="885"/>
      <c r="T94" s="689"/>
      <c r="U94" s="887"/>
      <c r="V94" s="887"/>
      <c r="W94" s="887"/>
      <c r="X94" s="887"/>
      <c r="Y94" s="888"/>
    </row>
    <row r="95" spans="1:25" x14ac:dyDescent="0.2">
      <c r="A95" s="884" t="s">
        <v>846</v>
      </c>
      <c r="C95" s="855">
        <f>-141+141</f>
        <v>0</v>
      </c>
      <c r="D95" s="855">
        <f>-142+142</f>
        <v>0</v>
      </c>
      <c r="E95" s="855">
        <f>-141+141</f>
        <v>0</v>
      </c>
      <c r="F95" s="855">
        <f>-142+142</f>
        <v>0</v>
      </c>
      <c r="G95" s="855">
        <f>-141+141</f>
        <v>0</v>
      </c>
      <c r="H95" s="855">
        <f>-142+142</f>
        <v>0</v>
      </c>
      <c r="I95" s="855">
        <f>-141+141</f>
        <v>0</v>
      </c>
      <c r="J95" s="855">
        <f>-142+142</f>
        <v>0</v>
      </c>
      <c r="K95" s="855">
        <f>-141+141</f>
        <v>0</v>
      </c>
      <c r="L95" s="855">
        <f>-142+142</f>
        <v>0</v>
      </c>
      <c r="M95" s="855">
        <f>-141+141</f>
        <v>0</v>
      </c>
      <c r="N95" s="855">
        <f>-142+142</f>
        <v>0</v>
      </c>
      <c r="O95" s="129">
        <f t="shared" ref="O95:O102" si="34">SUM(C95:N95)</f>
        <v>0</v>
      </c>
      <c r="P95" s="129"/>
      <c r="Q95" s="885"/>
      <c r="R95" s="886" t="s">
        <v>92</v>
      </c>
      <c r="S95" s="885"/>
      <c r="T95" s="129"/>
      <c r="U95" s="887">
        <f t="shared" ref="U95:U102" si="35">C95+D95+E95</f>
        <v>0</v>
      </c>
      <c r="V95" s="887">
        <f t="shared" ref="V95:V102" si="36">F95+G95+H95</f>
        <v>0</v>
      </c>
      <c r="W95" s="887">
        <f t="shared" ref="W95:W102" si="37">I95+J95+K95</f>
        <v>0</v>
      </c>
      <c r="X95" s="887">
        <f t="shared" ref="X95:X102" si="38">L95+M95+N95</f>
        <v>0</v>
      </c>
      <c r="Y95" s="888">
        <f t="shared" ref="Y95:Y102" si="39">SUM(U95:X95)</f>
        <v>0</v>
      </c>
    </row>
    <row r="96" spans="1:25" ht="6" customHeight="1" x14ac:dyDescent="0.2">
      <c r="A96" s="884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9"/>
      <c r="P96" s="129"/>
      <c r="Q96" s="885"/>
      <c r="R96" s="886"/>
      <c r="S96" s="885"/>
      <c r="T96" s="129"/>
      <c r="U96" s="887"/>
      <c r="V96" s="887"/>
      <c r="W96" s="887"/>
      <c r="X96" s="887"/>
      <c r="Y96" s="888"/>
    </row>
    <row r="97" spans="1:25" s="898" customFormat="1" ht="12.75" customHeight="1" x14ac:dyDescent="0.2">
      <c r="A97" s="884" t="s">
        <v>170</v>
      </c>
      <c r="C97" s="128">
        <v>-89</v>
      </c>
      <c r="D97" s="128">
        <v>-82</v>
      </c>
      <c r="E97" s="128">
        <v>-87</v>
      </c>
      <c r="F97" s="128">
        <v>-78</v>
      </c>
      <c r="G97" s="128">
        <v>-82</v>
      </c>
      <c r="H97" s="128">
        <v>-91</v>
      </c>
      <c r="I97" s="128">
        <v>-92</v>
      </c>
      <c r="J97" s="128">
        <v>-99</v>
      </c>
      <c r="K97" s="128">
        <v>-90</v>
      </c>
      <c r="L97" s="128">
        <v>-92</v>
      </c>
      <c r="M97" s="128">
        <v>-98</v>
      </c>
      <c r="N97" s="128">
        <v>-113</v>
      </c>
      <c r="O97" s="129">
        <f t="shared" si="34"/>
        <v>-1093</v>
      </c>
      <c r="P97" s="129"/>
      <c r="Q97" s="908"/>
      <c r="R97" s="909" t="s">
        <v>59</v>
      </c>
      <c r="S97" s="908"/>
      <c r="T97" s="129"/>
      <c r="U97" s="887">
        <f t="shared" si="35"/>
        <v>-258</v>
      </c>
      <c r="V97" s="887">
        <f t="shared" si="36"/>
        <v>-251</v>
      </c>
      <c r="W97" s="887">
        <f t="shared" si="37"/>
        <v>-281</v>
      </c>
      <c r="X97" s="887">
        <f t="shared" si="38"/>
        <v>-303</v>
      </c>
      <c r="Y97" s="888">
        <f t="shared" si="39"/>
        <v>-1093</v>
      </c>
    </row>
    <row r="98" spans="1:25" s="898" customFormat="1" ht="12.75" customHeight="1" x14ac:dyDescent="0.2">
      <c r="A98" s="884" t="s">
        <v>171</v>
      </c>
      <c r="C98" s="128">
        <v>0</v>
      </c>
      <c r="D98" s="128">
        <v>0</v>
      </c>
      <c r="E98" s="128">
        <v>0</v>
      </c>
      <c r="F98" s="128">
        <v>0</v>
      </c>
      <c r="G98" s="128">
        <v>0</v>
      </c>
      <c r="H98" s="128">
        <v>0</v>
      </c>
      <c r="I98" s="128">
        <v>0</v>
      </c>
      <c r="J98" s="128">
        <v>0</v>
      </c>
      <c r="K98" s="128">
        <v>0</v>
      </c>
      <c r="L98" s="128">
        <v>0</v>
      </c>
      <c r="M98" s="128">
        <v>0</v>
      </c>
      <c r="N98" s="128">
        <v>0</v>
      </c>
      <c r="O98" s="129">
        <f t="shared" si="34"/>
        <v>0</v>
      </c>
      <c r="P98" s="129"/>
      <c r="Q98" s="908"/>
      <c r="R98" s="909" t="s">
        <v>59</v>
      </c>
      <c r="S98" s="908"/>
      <c r="T98" s="129"/>
      <c r="U98" s="887">
        <f t="shared" si="35"/>
        <v>0</v>
      </c>
      <c r="V98" s="887">
        <f t="shared" si="36"/>
        <v>0</v>
      </c>
      <c r="W98" s="887">
        <f t="shared" si="37"/>
        <v>0</v>
      </c>
      <c r="X98" s="887">
        <f t="shared" si="38"/>
        <v>0</v>
      </c>
      <c r="Y98" s="888">
        <f t="shared" si="39"/>
        <v>0</v>
      </c>
    </row>
    <row r="99" spans="1:25" s="898" customFormat="1" ht="12.75" customHeight="1" x14ac:dyDescent="0.2">
      <c r="A99" s="884" t="s">
        <v>172</v>
      </c>
      <c r="C99" s="863">
        <v>0</v>
      </c>
      <c r="D99" s="863">
        <v>0</v>
      </c>
      <c r="E99" s="863">
        <v>0</v>
      </c>
      <c r="F99" s="863">
        <v>0</v>
      </c>
      <c r="G99" s="863">
        <v>0</v>
      </c>
      <c r="H99" s="863">
        <v>0</v>
      </c>
      <c r="I99" s="863">
        <v>0</v>
      </c>
      <c r="J99" s="863">
        <v>0</v>
      </c>
      <c r="K99" s="863">
        <v>0</v>
      </c>
      <c r="L99" s="863">
        <v>0</v>
      </c>
      <c r="M99" s="863">
        <v>0</v>
      </c>
      <c r="N99" s="863">
        <v>0</v>
      </c>
      <c r="O99" s="129">
        <f t="shared" si="34"/>
        <v>0</v>
      </c>
      <c r="P99" s="129"/>
      <c r="Q99" s="908"/>
      <c r="R99" s="909" t="s">
        <v>59</v>
      </c>
      <c r="S99" s="908"/>
      <c r="T99" s="129"/>
      <c r="U99" s="887">
        <f t="shared" si="35"/>
        <v>0</v>
      </c>
      <c r="V99" s="887">
        <f t="shared" si="36"/>
        <v>0</v>
      </c>
      <c r="W99" s="887">
        <f t="shared" si="37"/>
        <v>0</v>
      </c>
      <c r="X99" s="887">
        <f t="shared" si="38"/>
        <v>0</v>
      </c>
      <c r="Y99" s="888">
        <f t="shared" si="39"/>
        <v>0</v>
      </c>
    </row>
    <row r="100" spans="1:25" s="898" customFormat="1" ht="12.75" customHeight="1" x14ac:dyDescent="0.2">
      <c r="A100" s="884" t="s">
        <v>93</v>
      </c>
      <c r="C100" s="863">
        <v>0</v>
      </c>
      <c r="D100" s="863">
        <v>0</v>
      </c>
      <c r="E100" s="863">
        <v>0</v>
      </c>
      <c r="F100" s="863">
        <v>0</v>
      </c>
      <c r="G100" s="863">
        <v>0</v>
      </c>
      <c r="H100" s="863">
        <v>0</v>
      </c>
      <c r="I100" s="863">
        <v>0</v>
      </c>
      <c r="J100" s="863">
        <v>0</v>
      </c>
      <c r="K100" s="863">
        <v>0</v>
      </c>
      <c r="L100" s="863">
        <v>0</v>
      </c>
      <c r="M100" s="863">
        <v>0</v>
      </c>
      <c r="N100" s="863">
        <v>0</v>
      </c>
      <c r="O100" s="129">
        <f t="shared" si="34"/>
        <v>0</v>
      </c>
      <c r="P100" s="129"/>
      <c r="Q100" s="908"/>
      <c r="R100" s="909" t="s">
        <v>59</v>
      </c>
      <c r="S100" s="908"/>
      <c r="T100" s="129"/>
      <c r="U100" s="887">
        <f t="shared" si="35"/>
        <v>0</v>
      </c>
      <c r="V100" s="887">
        <f t="shared" si="36"/>
        <v>0</v>
      </c>
      <c r="W100" s="887">
        <f t="shared" si="37"/>
        <v>0</v>
      </c>
      <c r="X100" s="887">
        <f t="shared" si="38"/>
        <v>0</v>
      </c>
      <c r="Y100" s="888">
        <f t="shared" si="39"/>
        <v>0</v>
      </c>
    </row>
    <row r="101" spans="1:25" s="898" customFormat="1" ht="6" customHeight="1" x14ac:dyDescent="0.2">
      <c r="A101" s="884"/>
      <c r="C101" s="863"/>
      <c r="D101" s="863"/>
      <c r="E101" s="863"/>
      <c r="F101" s="863"/>
      <c r="G101" s="863"/>
      <c r="H101" s="863"/>
      <c r="I101" s="863"/>
      <c r="J101" s="863"/>
      <c r="K101" s="863"/>
      <c r="L101" s="863"/>
      <c r="M101" s="863"/>
      <c r="N101" s="863"/>
      <c r="O101" s="129"/>
      <c r="P101" s="129"/>
      <c r="Q101" s="908"/>
      <c r="R101" s="909"/>
      <c r="S101" s="908"/>
      <c r="T101" s="129"/>
      <c r="U101" s="887"/>
      <c r="V101" s="887"/>
      <c r="W101" s="887"/>
      <c r="X101" s="887"/>
      <c r="Y101" s="888"/>
    </row>
    <row r="102" spans="1:25" s="898" customFormat="1" ht="12.75" customHeight="1" x14ac:dyDescent="0.2">
      <c r="A102" s="884" t="s">
        <v>94</v>
      </c>
      <c r="B102" s="865"/>
      <c r="C102" s="128">
        <v>-6</v>
      </c>
      <c r="D102" s="128">
        <v>-23</v>
      </c>
      <c r="E102" s="128">
        <v>-6</v>
      </c>
      <c r="F102" s="128">
        <v>-5</v>
      </c>
      <c r="G102" s="128">
        <v>-6</v>
      </c>
      <c r="H102" s="128">
        <v>-5</v>
      </c>
      <c r="I102" s="128">
        <v>-6</v>
      </c>
      <c r="J102" s="128">
        <v>-5</v>
      </c>
      <c r="K102" s="128">
        <v>-6</v>
      </c>
      <c r="L102" s="128">
        <v>-6</v>
      </c>
      <c r="M102" s="128">
        <v>-6</v>
      </c>
      <c r="N102" s="128">
        <v>-6</v>
      </c>
      <c r="O102" s="129">
        <f t="shared" si="34"/>
        <v>-86</v>
      </c>
      <c r="P102" s="129"/>
      <c r="Q102" s="885"/>
      <c r="R102" s="886" t="s">
        <v>95</v>
      </c>
      <c r="S102" s="885"/>
      <c r="T102" s="129"/>
      <c r="U102" s="887">
        <f t="shared" si="35"/>
        <v>-35</v>
      </c>
      <c r="V102" s="887">
        <f t="shared" si="36"/>
        <v>-16</v>
      </c>
      <c r="W102" s="887">
        <f t="shared" si="37"/>
        <v>-17</v>
      </c>
      <c r="X102" s="887">
        <f t="shared" si="38"/>
        <v>-18</v>
      </c>
      <c r="Y102" s="888">
        <f t="shared" si="39"/>
        <v>-86</v>
      </c>
    </row>
    <row r="103" spans="1:25" s="898" customFormat="1" ht="6" customHeight="1" x14ac:dyDescent="0.2">
      <c r="A103" s="884"/>
      <c r="B103" s="865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9"/>
      <c r="P103" s="129"/>
      <c r="Q103" s="885"/>
      <c r="R103" s="886"/>
      <c r="S103" s="885"/>
      <c r="T103" s="129"/>
      <c r="U103" s="887"/>
      <c r="V103" s="887"/>
      <c r="W103" s="887"/>
      <c r="X103" s="887"/>
      <c r="Y103" s="888"/>
    </row>
    <row r="104" spans="1:25" s="898" customFormat="1" ht="12.75" customHeight="1" x14ac:dyDescent="0.2">
      <c r="A104" s="883" t="s">
        <v>96</v>
      </c>
      <c r="C104" s="899">
        <f t="shared" ref="C104:O104" si="40">+C78+SUM(C82:C84)+C93+SUM(C95:C102)</f>
        <v>-954</v>
      </c>
      <c r="D104" s="900">
        <f t="shared" si="40"/>
        <v>-982</v>
      </c>
      <c r="E104" s="900">
        <f t="shared" si="40"/>
        <v>-945</v>
      </c>
      <c r="F104" s="900">
        <f t="shared" si="40"/>
        <v>-935</v>
      </c>
      <c r="G104" s="900">
        <f t="shared" si="40"/>
        <v>-953</v>
      </c>
      <c r="H104" s="900">
        <f t="shared" si="40"/>
        <v>-964</v>
      </c>
      <c r="I104" s="900">
        <f t="shared" si="40"/>
        <v>-941</v>
      </c>
      <c r="J104" s="900">
        <f t="shared" si="40"/>
        <v>-956</v>
      </c>
      <c r="K104" s="900">
        <f t="shared" si="40"/>
        <v>-985</v>
      </c>
      <c r="L104" s="900">
        <f t="shared" si="40"/>
        <v>-955</v>
      </c>
      <c r="M104" s="900">
        <f t="shared" si="40"/>
        <v>-950</v>
      </c>
      <c r="N104" s="900">
        <f t="shared" si="40"/>
        <v>-990</v>
      </c>
      <c r="O104" s="901">
        <f t="shared" si="40"/>
        <v>-11510</v>
      </c>
      <c r="P104" s="902"/>
      <c r="Q104" s="903"/>
      <c r="R104" s="896"/>
      <c r="S104" s="903"/>
      <c r="T104" s="902"/>
      <c r="U104" s="899">
        <f>+U78+SUM(U82:U84)+U93+SUM(U95:U102)</f>
        <v>-2881</v>
      </c>
      <c r="V104" s="900">
        <f>+V78+SUM(V82:V84)+V93+SUM(V95:V102)</f>
        <v>-2852</v>
      </c>
      <c r="W104" s="900">
        <f>+W78+SUM(W82:W84)+W93+SUM(W95:W102)</f>
        <v>-2882</v>
      </c>
      <c r="X104" s="900">
        <f>+X78+SUM(X82:X84)+X93+SUM(X95:X102)</f>
        <v>-2895</v>
      </c>
      <c r="Y104" s="901">
        <f>+Y78+SUM(Y82:Y84)+Y93+SUM(Y95:Y102)</f>
        <v>-11510</v>
      </c>
    </row>
    <row r="105" spans="1:25" s="898" customFormat="1" ht="6" customHeight="1" x14ac:dyDescent="0.2">
      <c r="A105" s="897"/>
      <c r="C105" s="902"/>
      <c r="D105" s="902"/>
      <c r="E105" s="902"/>
      <c r="F105" s="902"/>
      <c r="G105" s="902"/>
      <c r="H105" s="902"/>
      <c r="I105" s="902"/>
      <c r="J105" s="902"/>
      <c r="K105" s="902"/>
      <c r="L105" s="902"/>
      <c r="M105" s="902"/>
      <c r="N105" s="902"/>
      <c r="O105" s="902"/>
      <c r="P105" s="902"/>
      <c r="Q105" s="903"/>
      <c r="R105" s="896"/>
      <c r="S105" s="903"/>
      <c r="T105" s="902"/>
      <c r="U105" s="910"/>
      <c r="V105" s="910"/>
      <c r="W105" s="910"/>
      <c r="X105" s="910"/>
      <c r="Y105" s="896"/>
    </row>
    <row r="106" spans="1:25" ht="12.75" customHeight="1" x14ac:dyDescent="0.2">
      <c r="A106" s="883" t="s">
        <v>97</v>
      </c>
      <c r="C106" s="888"/>
      <c r="D106" s="888"/>
      <c r="E106" s="888"/>
      <c r="F106" s="888"/>
      <c r="G106" s="888"/>
      <c r="H106" s="888"/>
      <c r="I106" s="888"/>
      <c r="J106" s="888"/>
      <c r="K106" s="888"/>
      <c r="L106" s="888"/>
      <c r="M106" s="888"/>
      <c r="N106" s="888"/>
      <c r="O106" s="887"/>
      <c r="P106" s="887"/>
      <c r="Q106" s="885"/>
      <c r="R106" s="888"/>
      <c r="S106" s="885"/>
      <c r="T106" s="887"/>
      <c r="U106" s="887"/>
      <c r="V106" s="887"/>
      <c r="W106" s="887"/>
      <c r="X106" s="887"/>
      <c r="Y106" s="888"/>
    </row>
    <row r="107" spans="1:25" x14ac:dyDescent="0.2">
      <c r="A107" s="884" t="s">
        <v>1012</v>
      </c>
      <c r="C107" s="895">
        <v>0</v>
      </c>
      <c r="D107" s="895">
        <v>0</v>
      </c>
      <c r="E107" s="895">
        <v>0</v>
      </c>
      <c r="F107" s="895">
        <v>0</v>
      </c>
      <c r="G107" s="895">
        <v>0</v>
      </c>
      <c r="H107" s="895">
        <v>0</v>
      </c>
      <c r="I107" s="895">
        <v>0</v>
      </c>
      <c r="J107" s="895">
        <v>0</v>
      </c>
      <c r="K107" s="895">
        <v>0</v>
      </c>
      <c r="L107" s="895">
        <v>0</v>
      </c>
      <c r="M107" s="895">
        <v>0</v>
      </c>
      <c r="N107" s="895">
        <v>0</v>
      </c>
      <c r="O107" s="279">
        <f t="shared" ref="O107:O119" si="41">SUM(C107:N107)</f>
        <v>0</v>
      </c>
      <c r="P107" s="279"/>
      <c r="Q107" s="885"/>
      <c r="R107" s="886" t="s">
        <v>44</v>
      </c>
      <c r="S107" s="885"/>
      <c r="T107" s="279"/>
      <c r="U107" s="887">
        <f t="shared" ref="U107:U119" si="42">C107+D107+E107</f>
        <v>0</v>
      </c>
      <c r="V107" s="887">
        <f t="shared" ref="V107:V119" si="43">F107+G107+H107</f>
        <v>0</v>
      </c>
      <c r="W107" s="887">
        <f t="shared" ref="W107:W119" si="44">I107+J107+K107</f>
        <v>0</v>
      </c>
      <c r="X107" s="887">
        <f t="shared" ref="X107:X119" si="45">L107+M107+N107</f>
        <v>0</v>
      </c>
      <c r="Y107" s="888">
        <f t="shared" ref="Y107:Y119" si="46">SUM(U107:X107)</f>
        <v>0</v>
      </c>
    </row>
    <row r="108" spans="1:25" x14ac:dyDescent="0.2">
      <c r="A108" s="884" t="s">
        <v>1010</v>
      </c>
      <c r="C108" s="158">
        <v>0</v>
      </c>
      <c r="D108" s="158">
        <v>0</v>
      </c>
      <c r="E108" s="158">
        <v>0</v>
      </c>
      <c r="F108" s="158">
        <v>0</v>
      </c>
      <c r="G108" s="158">
        <v>0</v>
      </c>
      <c r="H108" s="895">
        <v>0</v>
      </c>
      <c r="I108" s="895">
        <v>0</v>
      </c>
      <c r="J108" s="895">
        <v>0</v>
      </c>
      <c r="K108" s="895">
        <v>0</v>
      </c>
      <c r="L108" s="895">
        <v>0</v>
      </c>
      <c r="M108" s="895">
        <v>0</v>
      </c>
      <c r="N108" s="895">
        <v>0</v>
      </c>
      <c r="O108" s="279">
        <f t="shared" si="41"/>
        <v>0</v>
      </c>
      <c r="P108" s="279"/>
      <c r="Q108" s="885"/>
      <c r="R108" s="886" t="s">
        <v>44</v>
      </c>
      <c r="S108" s="885"/>
      <c r="T108" s="279"/>
      <c r="U108" s="887">
        <f t="shared" si="42"/>
        <v>0</v>
      </c>
      <c r="V108" s="887">
        <f t="shared" si="43"/>
        <v>0</v>
      </c>
      <c r="W108" s="887">
        <f t="shared" si="44"/>
        <v>0</v>
      </c>
      <c r="X108" s="887">
        <f t="shared" si="45"/>
        <v>0</v>
      </c>
      <c r="Y108" s="888">
        <f t="shared" si="46"/>
        <v>0</v>
      </c>
    </row>
    <row r="109" spans="1:25" x14ac:dyDescent="0.2">
      <c r="A109" s="884" t="s">
        <v>1013</v>
      </c>
      <c r="C109" s="895">
        <v>0</v>
      </c>
      <c r="D109" s="895">
        <v>0</v>
      </c>
      <c r="E109" s="895">
        <v>0</v>
      </c>
      <c r="F109" s="895">
        <v>0</v>
      </c>
      <c r="G109" s="895">
        <v>0</v>
      </c>
      <c r="H109" s="895">
        <v>0</v>
      </c>
      <c r="I109" s="895">
        <v>0</v>
      </c>
      <c r="J109" s="895">
        <v>0</v>
      </c>
      <c r="K109" s="895">
        <v>0</v>
      </c>
      <c r="L109" s="895">
        <v>0</v>
      </c>
      <c r="M109" s="895">
        <v>0</v>
      </c>
      <c r="N109" s="895">
        <v>0</v>
      </c>
      <c r="O109" s="53">
        <f t="shared" si="41"/>
        <v>0</v>
      </c>
      <c r="P109" s="53"/>
      <c r="Q109" s="885"/>
      <c r="R109" s="886" t="s">
        <v>46</v>
      </c>
      <c r="S109" s="885"/>
      <c r="T109" s="53"/>
      <c r="U109" s="887">
        <f t="shared" si="42"/>
        <v>0</v>
      </c>
      <c r="V109" s="887">
        <f t="shared" si="43"/>
        <v>0</v>
      </c>
      <c r="W109" s="887">
        <f t="shared" si="44"/>
        <v>0</v>
      </c>
      <c r="X109" s="887">
        <f t="shared" si="45"/>
        <v>0</v>
      </c>
      <c r="Y109" s="888">
        <f t="shared" si="46"/>
        <v>0</v>
      </c>
    </row>
    <row r="110" spans="1:25" x14ac:dyDescent="0.2">
      <c r="A110" s="889" t="s">
        <v>45</v>
      </c>
      <c r="C110" s="158">
        <v>0</v>
      </c>
      <c r="D110" s="158">
        <v>0</v>
      </c>
      <c r="E110" s="158">
        <v>0</v>
      </c>
      <c r="F110" s="158">
        <v>0</v>
      </c>
      <c r="G110" s="895">
        <v>0</v>
      </c>
      <c r="H110" s="895">
        <v>0</v>
      </c>
      <c r="I110" s="895">
        <v>0</v>
      </c>
      <c r="J110" s="895">
        <v>0</v>
      </c>
      <c r="K110" s="895">
        <v>0</v>
      </c>
      <c r="L110" s="895">
        <v>0</v>
      </c>
      <c r="M110" s="895">
        <v>0</v>
      </c>
      <c r="N110" s="895">
        <v>0</v>
      </c>
      <c r="O110" s="279">
        <f t="shared" si="41"/>
        <v>0</v>
      </c>
      <c r="P110" s="279"/>
      <c r="Q110" s="885"/>
      <c r="R110" s="886" t="s">
        <v>46</v>
      </c>
      <c r="S110" s="885"/>
      <c r="T110" s="279"/>
      <c r="U110" s="887">
        <f t="shared" si="42"/>
        <v>0</v>
      </c>
      <c r="V110" s="887">
        <f t="shared" si="43"/>
        <v>0</v>
      </c>
      <c r="W110" s="887">
        <f t="shared" si="44"/>
        <v>0</v>
      </c>
      <c r="X110" s="887">
        <f t="shared" si="45"/>
        <v>0</v>
      </c>
      <c r="Y110" s="888">
        <f t="shared" si="46"/>
        <v>0</v>
      </c>
    </row>
    <row r="111" spans="1:25" ht="6" customHeight="1" x14ac:dyDescent="0.2">
      <c r="A111" s="889"/>
      <c r="C111" s="158"/>
      <c r="D111" s="158"/>
      <c r="E111" s="158"/>
      <c r="F111" s="158"/>
      <c r="G111" s="895"/>
      <c r="H111" s="895"/>
      <c r="I111" s="895"/>
      <c r="J111" s="895"/>
      <c r="K111" s="895"/>
      <c r="L111" s="895"/>
      <c r="M111" s="895"/>
      <c r="N111" s="895"/>
      <c r="O111" s="279"/>
      <c r="P111" s="279"/>
      <c r="Q111" s="885"/>
      <c r="R111" s="886"/>
      <c r="S111" s="885"/>
      <c r="T111" s="279"/>
      <c r="U111" s="887"/>
      <c r="V111" s="887"/>
      <c r="W111" s="887"/>
      <c r="X111" s="887"/>
      <c r="Y111" s="888"/>
    </row>
    <row r="112" spans="1:25" x14ac:dyDescent="0.2">
      <c r="A112" s="884" t="s">
        <v>383</v>
      </c>
      <c r="C112" s="158">
        <v>0</v>
      </c>
      <c r="D112" s="158">
        <v>0</v>
      </c>
      <c r="E112" s="158">
        <v>0</v>
      </c>
      <c r="F112" s="158">
        <v>0</v>
      </c>
      <c r="G112" s="158">
        <v>0</v>
      </c>
      <c r="H112" s="158">
        <f>1796-1796</f>
        <v>0</v>
      </c>
      <c r="I112" s="158">
        <f>1796-1796</f>
        <v>0</v>
      </c>
      <c r="J112" s="158">
        <f>1796-1796</f>
        <v>0</v>
      </c>
      <c r="K112" s="158">
        <f>1796-1796</f>
        <v>0</v>
      </c>
      <c r="L112" s="158">
        <v>0</v>
      </c>
      <c r="M112" s="541">
        <f>2000-2000</f>
        <v>0</v>
      </c>
      <c r="N112" s="541">
        <f>2000-2000</f>
        <v>0</v>
      </c>
      <c r="O112" s="142">
        <f t="shared" si="41"/>
        <v>0</v>
      </c>
      <c r="P112" s="142"/>
      <c r="Q112" s="885"/>
      <c r="R112" s="890" t="s">
        <v>72</v>
      </c>
      <c r="S112" s="885"/>
      <c r="T112" s="142"/>
      <c r="U112" s="887">
        <f t="shared" si="42"/>
        <v>0</v>
      </c>
      <c r="V112" s="887">
        <f t="shared" si="43"/>
        <v>0</v>
      </c>
      <c r="W112" s="887">
        <f t="shared" si="44"/>
        <v>0</v>
      </c>
      <c r="X112" s="887">
        <f t="shared" si="45"/>
        <v>0</v>
      </c>
      <c r="Y112" s="888">
        <f t="shared" si="46"/>
        <v>0</v>
      </c>
    </row>
    <row r="113" spans="1:25" x14ac:dyDescent="0.2">
      <c r="A113" s="884" t="s">
        <v>384</v>
      </c>
      <c r="C113" s="895">
        <v>0</v>
      </c>
      <c r="D113" s="895">
        <v>0</v>
      </c>
      <c r="E113" s="895">
        <v>0</v>
      </c>
      <c r="F113" s="895">
        <v>0</v>
      </c>
      <c r="G113" s="895">
        <v>0</v>
      </c>
      <c r="H113" s="895">
        <v>0</v>
      </c>
      <c r="I113" s="895">
        <v>0</v>
      </c>
      <c r="J113" s="895">
        <v>0</v>
      </c>
      <c r="K113" s="895">
        <v>0</v>
      </c>
      <c r="L113" s="895">
        <v>0</v>
      </c>
      <c r="M113" s="895">
        <v>0</v>
      </c>
      <c r="N113" s="895">
        <v>0</v>
      </c>
      <c r="O113" s="142">
        <f t="shared" si="41"/>
        <v>0</v>
      </c>
      <c r="P113" s="142"/>
      <c r="Q113" s="885"/>
      <c r="R113" s="890" t="s">
        <v>72</v>
      </c>
      <c r="S113" s="885"/>
      <c r="T113" s="142"/>
      <c r="U113" s="887">
        <f t="shared" si="42"/>
        <v>0</v>
      </c>
      <c r="V113" s="887">
        <f t="shared" si="43"/>
        <v>0</v>
      </c>
      <c r="W113" s="887">
        <f t="shared" si="44"/>
        <v>0</v>
      </c>
      <c r="X113" s="887">
        <f t="shared" si="45"/>
        <v>0</v>
      </c>
      <c r="Y113" s="888">
        <f t="shared" si="46"/>
        <v>0</v>
      </c>
    </row>
    <row r="114" spans="1:25" x14ac:dyDescent="0.2">
      <c r="A114" s="884" t="s">
        <v>98</v>
      </c>
      <c r="C114" s="141">
        <v>0</v>
      </c>
      <c r="D114" s="141">
        <v>0</v>
      </c>
      <c r="E114" s="141">
        <v>0</v>
      </c>
      <c r="F114" s="141">
        <v>0</v>
      </c>
      <c r="G114" s="141">
        <v>0</v>
      </c>
      <c r="H114" s="141">
        <v>0</v>
      </c>
      <c r="I114" s="141">
        <v>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2">
        <f t="shared" si="41"/>
        <v>0</v>
      </c>
      <c r="P114" s="142"/>
      <c r="Q114" s="885"/>
      <c r="R114" s="890" t="s">
        <v>72</v>
      </c>
      <c r="S114" s="885"/>
      <c r="T114" s="142"/>
      <c r="U114" s="887">
        <f t="shared" si="42"/>
        <v>0</v>
      </c>
      <c r="V114" s="887">
        <f t="shared" si="43"/>
        <v>0</v>
      </c>
      <c r="W114" s="887">
        <f t="shared" si="44"/>
        <v>0</v>
      </c>
      <c r="X114" s="887">
        <f t="shared" si="45"/>
        <v>0</v>
      </c>
      <c r="Y114" s="888">
        <f t="shared" si="46"/>
        <v>0</v>
      </c>
    </row>
    <row r="115" spans="1:25" x14ac:dyDescent="0.2">
      <c r="A115" s="884" t="s">
        <v>99</v>
      </c>
      <c r="C115" s="895">
        <v>0</v>
      </c>
      <c r="D115" s="895">
        <v>0</v>
      </c>
      <c r="E115" s="895">
        <v>0</v>
      </c>
      <c r="F115" s="895">
        <v>0</v>
      </c>
      <c r="G115" s="895">
        <v>0</v>
      </c>
      <c r="H115" s="895">
        <v>0</v>
      </c>
      <c r="I115" s="895">
        <v>0</v>
      </c>
      <c r="J115" s="895">
        <v>0</v>
      </c>
      <c r="K115" s="895">
        <v>0</v>
      </c>
      <c r="L115" s="895">
        <v>0</v>
      </c>
      <c r="M115" s="895">
        <v>0</v>
      </c>
      <c r="N115" s="895">
        <v>0</v>
      </c>
      <c r="O115" s="142">
        <f t="shared" si="41"/>
        <v>0</v>
      </c>
      <c r="P115" s="142"/>
      <c r="Q115" s="885"/>
      <c r="R115" s="890" t="s">
        <v>72</v>
      </c>
      <c r="S115" s="885"/>
      <c r="T115" s="142"/>
      <c r="U115" s="887">
        <f t="shared" si="42"/>
        <v>0</v>
      </c>
      <c r="V115" s="887">
        <f t="shared" si="43"/>
        <v>0</v>
      </c>
      <c r="W115" s="887">
        <f t="shared" si="44"/>
        <v>0</v>
      </c>
      <c r="X115" s="887">
        <f t="shared" si="45"/>
        <v>0</v>
      </c>
      <c r="Y115" s="888">
        <f t="shared" si="46"/>
        <v>0</v>
      </c>
    </row>
    <row r="116" spans="1:25" x14ac:dyDescent="0.2">
      <c r="A116" s="884" t="s">
        <v>871</v>
      </c>
      <c r="C116" s="141">
        <v>0</v>
      </c>
      <c r="D116" s="141">
        <v>0</v>
      </c>
      <c r="E116" s="141">
        <v>0</v>
      </c>
      <c r="F116" s="141">
        <v>0</v>
      </c>
      <c r="G116" s="141">
        <v>0</v>
      </c>
      <c r="H116" s="141">
        <v>0</v>
      </c>
      <c r="I116" s="141">
        <v>0</v>
      </c>
      <c r="J116" s="141">
        <v>0</v>
      </c>
      <c r="K116" s="141">
        <v>0</v>
      </c>
      <c r="L116" s="141">
        <v>0</v>
      </c>
      <c r="M116" s="141">
        <v>0</v>
      </c>
      <c r="N116" s="141">
        <v>0</v>
      </c>
      <c r="O116" s="142">
        <f t="shared" si="41"/>
        <v>0</v>
      </c>
      <c r="P116" s="142"/>
      <c r="Q116" s="885"/>
      <c r="R116" s="890" t="s">
        <v>72</v>
      </c>
      <c r="S116" s="885"/>
      <c r="T116" s="142"/>
      <c r="U116" s="887">
        <f t="shared" si="42"/>
        <v>0</v>
      </c>
      <c r="V116" s="887">
        <f t="shared" si="43"/>
        <v>0</v>
      </c>
      <c r="W116" s="887">
        <f t="shared" si="44"/>
        <v>0</v>
      </c>
      <c r="X116" s="887">
        <f t="shared" si="45"/>
        <v>0</v>
      </c>
      <c r="Y116" s="888">
        <f t="shared" si="46"/>
        <v>0</v>
      </c>
    </row>
    <row r="117" spans="1:25" x14ac:dyDescent="0.2">
      <c r="A117" s="884" t="s">
        <v>100</v>
      </c>
      <c r="C117" s="895">
        <v>0</v>
      </c>
      <c r="D117" s="895">
        <v>0</v>
      </c>
      <c r="E117" s="895">
        <v>0</v>
      </c>
      <c r="F117" s="895">
        <v>0</v>
      </c>
      <c r="G117" s="895">
        <v>0</v>
      </c>
      <c r="H117" s="895">
        <v>0</v>
      </c>
      <c r="I117" s="895">
        <v>0</v>
      </c>
      <c r="J117" s="895">
        <v>0</v>
      </c>
      <c r="K117" s="895">
        <v>0</v>
      </c>
      <c r="L117" s="895">
        <v>0</v>
      </c>
      <c r="M117" s="895">
        <v>0</v>
      </c>
      <c r="N117" s="895">
        <v>0</v>
      </c>
      <c r="O117" s="142">
        <f t="shared" si="41"/>
        <v>0</v>
      </c>
      <c r="P117" s="142"/>
      <c r="Q117" s="912"/>
      <c r="R117" s="890" t="s">
        <v>72</v>
      </c>
      <c r="S117" s="912"/>
      <c r="T117" s="142"/>
      <c r="U117" s="887">
        <f t="shared" si="42"/>
        <v>0</v>
      </c>
      <c r="V117" s="887">
        <f t="shared" si="43"/>
        <v>0</v>
      </c>
      <c r="W117" s="887">
        <f t="shared" si="44"/>
        <v>0</v>
      </c>
      <c r="X117" s="887">
        <f t="shared" si="45"/>
        <v>0</v>
      </c>
      <c r="Y117" s="888">
        <f t="shared" si="46"/>
        <v>0</v>
      </c>
    </row>
    <row r="118" spans="1:25" x14ac:dyDescent="0.2">
      <c r="A118" s="884" t="s">
        <v>101</v>
      </c>
      <c r="C118" s="895">
        <v>0</v>
      </c>
      <c r="D118" s="895">
        <v>0</v>
      </c>
      <c r="E118" s="895">
        <v>0</v>
      </c>
      <c r="F118" s="895">
        <v>0</v>
      </c>
      <c r="G118" s="895">
        <v>0</v>
      </c>
      <c r="H118" s="895">
        <v>0</v>
      </c>
      <c r="I118" s="895">
        <v>0</v>
      </c>
      <c r="J118" s="895">
        <v>0</v>
      </c>
      <c r="K118" s="895">
        <v>0</v>
      </c>
      <c r="L118" s="895">
        <v>0</v>
      </c>
      <c r="M118" s="895">
        <v>0</v>
      </c>
      <c r="N118" s="895">
        <v>0</v>
      </c>
      <c r="O118" s="142">
        <f t="shared" si="41"/>
        <v>0</v>
      </c>
      <c r="P118" s="142"/>
      <c r="Q118" s="912"/>
      <c r="R118" s="890" t="s">
        <v>72</v>
      </c>
      <c r="S118" s="912"/>
      <c r="T118" s="142"/>
      <c r="U118" s="887">
        <f t="shared" si="42"/>
        <v>0</v>
      </c>
      <c r="V118" s="887">
        <f t="shared" si="43"/>
        <v>0</v>
      </c>
      <c r="W118" s="887">
        <f t="shared" si="44"/>
        <v>0</v>
      </c>
      <c r="X118" s="887">
        <f t="shared" si="45"/>
        <v>0</v>
      </c>
      <c r="Y118" s="888">
        <f t="shared" si="46"/>
        <v>0</v>
      </c>
    </row>
    <row r="119" spans="1:25" s="898" customFormat="1" ht="12.75" customHeight="1" x14ac:dyDescent="0.2">
      <c r="A119" s="884" t="s">
        <v>102</v>
      </c>
      <c r="C119" s="895">
        <v>0</v>
      </c>
      <c r="D119" s="895">
        <v>0</v>
      </c>
      <c r="E119" s="895">
        <v>0</v>
      </c>
      <c r="F119" s="895">
        <v>0</v>
      </c>
      <c r="G119" s="895">
        <v>0</v>
      </c>
      <c r="H119" s="895">
        <v>0</v>
      </c>
      <c r="I119" s="895">
        <v>0</v>
      </c>
      <c r="J119" s="895">
        <v>0</v>
      </c>
      <c r="K119" s="895">
        <v>0</v>
      </c>
      <c r="L119" s="895">
        <v>0</v>
      </c>
      <c r="M119" s="895">
        <v>0</v>
      </c>
      <c r="N119" s="895">
        <v>0</v>
      </c>
      <c r="O119" s="142">
        <f t="shared" si="41"/>
        <v>0</v>
      </c>
      <c r="P119" s="142"/>
      <c r="Q119" s="903"/>
      <c r="R119" s="890" t="s">
        <v>72</v>
      </c>
      <c r="S119" s="903"/>
      <c r="T119" s="142"/>
      <c r="U119" s="887">
        <f t="shared" si="42"/>
        <v>0</v>
      </c>
      <c r="V119" s="887">
        <f t="shared" si="43"/>
        <v>0</v>
      </c>
      <c r="W119" s="887">
        <f t="shared" si="44"/>
        <v>0</v>
      </c>
      <c r="X119" s="887">
        <f t="shared" si="45"/>
        <v>0</v>
      </c>
      <c r="Y119" s="888">
        <f t="shared" si="46"/>
        <v>0</v>
      </c>
    </row>
    <row r="120" spans="1:25" s="898" customFormat="1" ht="6" customHeight="1" x14ac:dyDescent="0.2">
      <c r="A120" s="913"/>
      <c r="C120" s="863"/>
      <c r="D120" s="863"/>
      <c r="E120" s="863"/>
      <c r="F120" s="863"/>
      <c r="G120" s="863"/>
      <c r="H120" s="863"/>
      <c r="I120" s="863"/>
      <c r="J120" s="863"/>
      <c r="K120" s="863"/>
      <c r="L120" s="863"/>
      <c r="M120" s="863"/>
      <c r="N120" s="863"/>
      <c r="O120" s="902"/>
      <c r="P120" s="902"/>
      <c r="Q120" s="903"/>
      <c r="R120" s="914"/>
      <c r="S120" s="903"/>
      <c r="T120" s="902"/>
      <c r="U120" s="902"/>
      <c r="V120" s="902"/>
      <c r="W120" s="902"/>
      <c r="X120" s="902"/>
      <c r="Y120" s="904"/>
    </row>
    <row r="121" spans="1:25" s="898" customFormat="1" ht="12.75" customHeight="1" x14ac:dyDescent="0.2">
      <c r="A121" s="884" t="s">
        <v>103</v>
      </c>
      <c r="B121" s="865"/>
      <c r="C121" s="895">
        <v>0</v>
      </c>
      <c r="D121" s="895">
        <v>0</v>
      </c>
      <c r="E121" s="895">
        <v>0</v>
      </c>
      <c r="F121" s="895">
        <v>0</v>
      </c>
      <c r="G121" s="895">
        <v>0</v>
      </c>
      <c r="H121" s="895">
        <v>0</v>
      </c>
      <c r="I121" s="895">
        <v>0</v>
      </c>
      <c r="J121" s="895">
        <v>0</v>
      </c>
      <c r="K121" s="895">
        <v>0</v>
      </c>
      <c r="L121" s="895">
        <v>0</v>
      </c>
      <c r="M121" s="895">
        <v>0</v>
      </c>
      <c r="N121" s="895">
        <v>0</v>
      </c>
      <c r="O121" s="142">
        <f>SUM(C121:N121)</f>
        <v>0</v>
      </c>
      <c r="P121" s="142"/>
      <c r="Q121" s="885"/>
      <c r="R121" s="886" t="s">
        <v>104</v>
      </c>
      <c r="S121" s="885"/>
      <c r="T121" s="142"/>
      <c r="U121" s="887">
        <f>C121+D121+E121</f>
        <v>0</v>
      </c>
      <c r="V121" s="887">
        <f>F121+G121+H121</f>
        <v>0</v>
      </c>
      <c r="W121" s="887">
        <f>I121+J121+K121</f>
        <v>0</v>
      </c>
      <c r="X121" s="887">
        <f>L121+M121+N121</f>
        <v>0</v>
      </c>
      <c r="Y121" s="888">
        <f>SUM(U121:X121)</f>
        <v>0</v>
      </c>
    </row>
    <row r="122" spans="1:25" s="898" customFormat="1" ht="12.75" customHeight="1" x14ac:dyDescent="0.2">
      <c r="A122" s="889" t="s">
        <v>45</v>
      </c>
      <c r="B122" s="865"/>
      <c r="C122" s="895">
        <v>0</v>
      </c>
      <c r="D122" s="895">
        <v>0</v>
      </c>
      <c r="E122" s="895">
        <v>0</v>
      </c>
      <c r="F122" s="895">
        <v>0</v>
      </c>
      <c r="G122" s="895">
        <v>0</v>
      </c>
      <c r="H122" s="895">
        <v>0</v>
      </c>
      <c r="I122" s="895">
        <v>0</v>
      </c>
      <c r="J122" s="895">
        <v>0</v>
      </c>
      <c r="K122" s="895">
        <v>0</v>
      </c>
      <c r="L122" s="895">
        <v>0</v>
      </c>
      <c r="M122" s="895">
        <v>0</v>
      </c>
      <c r="N122" s="895">
        <v>0</v>
      </c>
      <c r="O122" s="142">
        <f>SUM(C122:N122)</f>
        <v>0</v>
      </c>
      <c r="P122" s="142"/>
      <c r="Q122" s="885"/>
      <c r="R122" s="886" t="s">
        <v>104</v>
      </c>
      <c r="S122" s="885"/>
      <c r="T122" s="142"/>
      <c r="U122" s="887">
        <f>C122+D122+E122</f>
        <v>0</v>
      </c>
      <c r="V122" s="887">
        <f>F122+G122+H122</f>
        <v>0</v>
      </c>
      <c r="W122" s="887">
        <f>I122+J122+K122</f>
        <v>0</v>
      </c>
      <c r="X122" s="887">
        <f>L122+M122+N122</f>
        <v>0</v>
      </c>
      <c r="Y122" s="888">
        <f>SUM(U122:X122)</f>
        <v>0</v>
      </c>
    </row>
    <row r="123" spans="1:25" s="898" customFormat="1" ht="12.75" customHeight="1" x14ac:dyDescent="0.2">
      <c r="A123" s="884" t="s">
        <v>105</v>
      </c>
      <c r="B123" s="865"/>
      <c r="C123" s="895">
        <v>0</v>
      </c>
      <c r="D123" s="895">
        <v>0</v>
      </c>
      <c r="E123" s="895">
        <v>0</v>
      </c>
      <c r="F123" s="895">
        <v>0</v>
      </c>
      <c r="G123" s="895">
        <v>0</v>
      </c>
      <c r="H123" s="895">
        <v>0</v>
      </c>
      <c r="I123" s="895">
        <v>0</v>
      </c>
      <c r="J123" s="895">
        <v>0</v>
      </c>
      <c r="K123" s="895">
        <v>0</v>
      </c>
      <c r="L123" s="895">
        <v>0</v>
      </c>
      <c r="M123" s="895">
        <v>0</v>
      </c>
      <c r="N123" s="895">
        <v>0</v>
      </c>
      <c r="O123" s="142">
        <f>SUM(C123:N123)</f>
        <v>0</v>
      </c>
      <c r="P123" s="142"/>
      <c r="Q123" s="885"/>
      <c r="R123" s="886" t="s">
        <v>104</v>
      </c>
      <c r="S123" s="885"/>
      <c r="T123" s="142"/>
      <c r="U123" s="887">
        <f>C123+D123+E123</f>
        <v>0</v>
      </c>
      <c r="V123" s="887">
        <f>F123+G123+H123</f>
        <v>0</v>
      </c>
      <c r="W123" s="887">
        <f>I123+J123+K123</f>
        <v>0</v>
      </c>
      <c r="X123" s="887">
        <f>L123+M123+N123</f>
        <v>0</v>
      </c>
      <c r="Y123" s="888">
        <f>SUM(U123:X123)</f>
        <v>0</v>
      </c>
    </row>
    <row r="124" spans="1:25" s="898" customFormat="1" ht="12.75" customHeight="1" x14ac:dyDescent="0.2">
      <c r="A124" s="884" t="s">
        <v>841</v>
      </c>
      <c r="B124" s="865"/>
      <c r="C124" s="895">
        <v>0</v>
      </c>
      <c r="D124" s="895">
        <v>0</v>
      </c>
      <c r="E124" s="895">
        <v>0</v>
      </c>
      <c r="F124" s="895">
        <v>0</v>
      </c>
      <c r="G124" s="895">
        <v>0</v>
      </c>
      <c r="H124" s="895">
        <v>0</v>
      </c>
      <c r="I124" s="895">
        <v>0</v>
      </c>
      <c r="J124" s="895">
        <v>0</v>
      </c>
      <c r="K124" s="895">
        <v>0</v>
      </c>
      <c r="L124" s="895">
        <v>0</v>
      </c>
      <c r="M124" s="895">
        <v>0</v>
      </c>
      <c r="N124" s="895">
        <v>0</v>
      </c>
      <c r="O124" s="142">
        <f>SUM(C124:N124)</f>
        <v>0</v>
      </c>
      <c r="P124" s="142"/>
      <c r="Q124" s="885"/>
      <c r="R124" s="886" t="s">
        <v>104</v>
      </c>
      <c r="S124" s="885"/>
      <c r="T124" s="142"/>
      <c r="U124" s="887">
        <f>C124+D124+E124</f>
        <v>0</v>
      </c>
      <c r="V124" s="887">
        <f>F124+G124+H124</f>
        <v>0</v>
      </c>
      <c r="W124" s="887">
        <f>I124+J124+K124</f>
        <v>0</v>
      </c>
      <c r="X124" s="887">
        <f>L124+M124+N124</f>
        <v>0</v>
      </c>
      <c r="Y124" s="888">
        <f>SUM(U124:X124)</f>
        <v>0</v>
      </c>
    </row>
    <row r="125" spans="1:25" s="898" customFormat="1" ht="6" customHeight="1" x14ac:dyDescent="0.2">
      <c r="A125" s="884"/>
      <c r="B125" s="865"/>
      <c r="C125" s="895"/>
      <c r="D125" s="895"/>
      <c r="E125" s="895"/>
      <c r="F125" s="895"/>
      <c r="G125" s="895"/>
      <c r="H125" s="895"/>
      <c r="I125" s="895"/>
      <c r="J125" s="895"/>
      <c r="K125" s="895"/>
      <c r="L125" s="895"/>
      <c r="M125" s="895"/>
      <c r="N125" s="895"/>
      <c r="O125" s="142"/>
      <c r="P125" s="142"/>
      <c r="Q125" s="885"/>
      <c r="R125" s="886"/>
      <c r="S125" s="885"/>
      <c r="T125" s="142"/>
      <c r="U125" s="887"/>
      <c r="V125" s="887"/>
      <c r="W125" s="887"/>
      <c r="X125" s="887"/>
      <c r="Y125" s="888"/>
    </row>
    <row r="126" spans="1:25" s="898" customFormat="1" ht="12.75" customHeight="1" x14ac:dyDescent="0.2">
      <c r="A126" s="915" t="s">
        <v>106</v>
      </c>
      <c r="C126" s="899">
        <f>SUM(C107:C124)</f>
        <v>0</v>
      </c>
      <c r="D126" s="900">
        <f>SUM(D107:D124)</f>
        <v>0</v>
      </c>
      <c r="E126" s="900">
        <f>SUM(E107:E124)</f>
        <v>0</v>
      </c>
      <c r="F126" s="900">
        <f t="shared" ref="F126:N126" si="47">SUM(F107:F124)</f>
        <v>0</v>
      </c>
      <c r="G126" s="900">
        <f t="shared" si="47"/>
        <v>0</v>
      </c>
      <c r="H126" s="900">
        <f t="shared" si="47"/>
        <v>0</v>
      </c>
      <c r="I126" s="900">
        <f t="shared" si="47"/>
        <v>0</v>
      </c>
      <c r="J126" s="900">
        <f t="shared" si="47"/>
        <v>0</v>
      </c>
      <c r="K126" s="900">
        <f t="shared" si="47"/>
        <v>0</v>
      </c>
      <c r="L126" s="900">
        <f t="shared" si="47"/>
        <v>0</v>
      </c>
      <c r="M126" s="900">
        <f t="shared" si="47"/>
        <v>0</v>
      </c>
      <c r="N126" s="900">
        <f t="shared" si="47"/>
        <v>0</v>
      </c>
      <c r="O126" s="901">
        <f>SUM(O107:O124)</f>
        <v>0</v>
      </c>
      <c r="P126" s="902"/>
      <c r="Q126" s="903"/>
      <c r="R126" s="896"/>
      <c r="S126" s="903"/>
      <c r="T126" s="902"/>
      <c r="U126" s="899">
        <f>SUM(U107:U124)</f>
        <v>0</v>
      </c>
      <c r="V126" s="900">
        <f>SUM(V107:V124)</f>
        <v>0</v>
      </c>
      <c r="W126" s="900">
        <f>SUM(W107:W124)</f>
        <v>0</v>
      </c>
      <c r="X126" s="900">
        <f>SUM(X107:X124)</f>
        <v>0</v>
      </c>
      <c r="Y126" s="901">
        <f>SUM(Y107:Y124)</f>
        <v>0</v>
      </c>
    </row>
    <row r="127" spans="1:25" s="898" customFormat="1" ht="12.75" customHeight="1" x14ac:dyDescent="0.2">
      <c r="A127" s="915"/>
      <c r="C127" s="896"/>
      <c r="D127" s="896"/>
      <c r="E127" s="896"/>
      <c r="F127" s="896"/>
      <c r="G127" s="896"/>
      <c r="H127" s="896"/>
      <c r="I127" s="896"/>
      <c r="J127" s="896"/>
      <c r="K127" s="896"/>
      <c r="L127" s="896"/>
      <c r="M127" s="896"/>
      <c r="N127" s="896"/>
      <c r="O127" s="910"/>
      <c r="P127" s="910"/>
      <c r="Q127" s="903"/>
      <c r="R127" s="896"/>
      <c r="S127" s="903"/>
      <c r="T127" s="910"/>
      <c r="U127" s="910"/>
      <c r="V127" s="910"/>
      <c r="W127" s="910"/>
      <c r="X127" s="910"/>
      <c r="Y127" s="896"/>
    </row>
    <row r="128" spans="1:25" s="898" customFormat="1" ht="12.75" customHeight="1" x14ac:dyDescent="0.2">
      <c r="A128" s="897" t="s">
        <v>173</v>
      </c>
      <c r="B128" s="916"/>
      <c r="C128" s="917">
        <f t="shared" ref="C128:O128" si="48">C55+C104+C126</f>
        <v>15510</v>
      </c>
      <c r="D128" s="918">
        <f t="shared" si="48"/>
        <v>13684</v>
      </c>
      <c r="E128" s="918">
        <f t="shared" si="48"/>
        <v>15046</v>
      </c>
      <c r="F128" s="918">
        <f t="shared" si="48"/>
        <v>14545</v>
      </c>
      <c r="G128" s="918">
        <f t="shared" si="48"/>
        <v>15064</v>
      </c>
      <c r="H128" s="918">
        <f t="shared" si="48"/>
        <v>15614</v>
      </c>
      <c r="I128" s="918">
        <f t="shared" si="48"/>
        <v>17010</v>
      </c>
      <c r="J128" s="918">
        <f t="shared" si="48"/>
        <v>16840</v>
      </c>
      <c r="K128" s="918">
        <f t="shared" si="48"/>
        <v>16346</v>
      </c>
      <c r="L128" s="918">
        <f t="shared" si="48"/>
        <v>16844</v>
      </c>
      <c r="M128" s="918">
        <f t="shared" si="48"/>
        <v>16708</v>
      </c>
      <c r="N128" s="918">
        <f t="shared" si="48"/>
        <v>17006</v>
      </c>
      <c r="O128" s="919">
        <f t="shared" si="48"/>
        <v>190217</v>
      </c>
      <c r="P128" s="920"/>
      <c r="Q128" s="921"/>
      <c r="R128" s="904"/>
      <c r="S128" s="921"/>
      <c r="T128" s="920"/>
      <c r="U128" s="917">
        <f>U55+U104+U126</f>
        <v>44240</v>
      </c>
      <c r="V128" s="918">
        <f>V55+V104+V126</f>
        <v>45223</v>
      </c>
      <c r="W128" s="918">
        <f>W55+W104+W126</f>
        <v>50196</v>
      </c>
      <c r="X128" s="918">
        <f>X55+X104+X126</f>
        <v>50558</v>
      </c>
      <c r="Y128" s="919">
        <f>Y55+Y104+Y126</f>
        <v>190217</v>
      </c>
    </row>
    <row r="129" spans="1:25" s="898" customFormat="1" ht="12.75" customHeight="1" x14ac:dyDescent="0.2">
      <c r="A129" s="884"/>
      <c r="B129" s="916"/>
      <c r="C129" s="904"/>
      <c r="D129" s="904"/>
      <c r="E129" s="904"/>
      <c r="F129" s="904"/>
      <c r="G129" s="904"/>
      <c r="H129" s="904"/>
      <c r="I129" s="904"/>
      <c r="J129" s="904"/>
      <c r="K129" s="904"/>
      <c r="L129" s="904"/>
      <c r="M129" s="904"/>
      <c r="N129" s="904"/>
      <c r="O129" s="142"/>
      <c r="P129" s="920"/>
      <c r="Q129" s="921"/>
      <c r="R129" s="904"/>
      <c r="S129" s="921"/>
      <c r="T129" s="920"/>
      <c r="U129" s="887"/>
      <c r="V129" s="887"/>
      <c r="W129" s="887"/>
      <c r="X129" s="887"/>
      <c r="Y129" s="888"/>
    </row>
    <row r="130" spans="1:25" s="898" customFormat="1" ht="12.75" customHeight="1" x14ac:dyDescent="0.2">
      <c r="A130" s="884"/>
      <c r="B130" s="916"/>
      <c r="C130" s="904"/>
      <c r="D130" s="904"/>
      <c r="E130" s="904"/>
      <c r="F130" s="904"/>
      <c r="G130" s="904"/>
      <c r="H130" s="904"/>
      <c r="I130" s="904"/>
      <c r="J130" s="904"/>
      <c r="K130" s="904"/>
      <c r="L130" s="904"/>
      <c r="M130" s="904"/>
      <c r="N130" s="904"/>
      <c r="O130" s="142"/>
      <c r="P130" s="920"/>
      <c r="Q130" s="921"/>
      <c r="R130" s="904"/>
      <c r="S130" s="921"/>
      <c r="T130" s="920"/>
      <c r="U130" s="887"/>
      <c r="V130" s="887"/>
      <c r="W130" s="887"/>
      <c r="X130" s="887"/>
      <c r="Y130" s="888"/>
    </row>
    <row r="131" spans="1:25" x14ac:dyDescent="0.2">
      <c r="A131" s="922"/>
      <c r="C131" s="888"/>
      <c r="D131" s="888"/>
      <c r="E131" s="888"/>
      <c r="F131" s="888"/>
      <c r="G131" s="888"/>
      <c r="H131" s="888"/>
      <c r="I131" s="888"/>
      <c r="J131" s="888"/>
      <c r="K131" s="888"/>
      <c r="L131" s="888"/>
      <c r="M131" s="888"/>
      <c r="N131" s="888"/>
      <c r="O131" s="887"/>
      <c r="P131" s="887"/>
      <c r="Q131" s="885"/>
      <c r="R131" s="888"/>
      <c r="S131" s="885"/>
      <c r="T131" s="887"/>
      <c r="U131" s="887"/>
      <c r="V131" s="887"/>
      <c r="W131" s="887"/>
      <c r="X131" s="887"/>
      <c r="Y131" s="888"/>
    </row>
    <row r="132" spans="1:25" x14ac:dyDescent="0.2">
      <c r="C132" s="888"/>
      <c r="D132" s="888"/>
      <c r="E132" s="888"/>
      <c r="F132" s="888"/>
      <c r="G132" s="888"/>
      <c r="H132" s="888"/>
      <c r="I132" s="888"/>
      <c r="J132" s="888"/>
      <c r="K132" s="888"/>
      <c r="L132" s="888"/>
      <c r="M132" s="888"/>
      <c r="N132" s="888"/>
      <c r="O132" s="887"/>
      <c r="P132" s="887"/>
      <c r="Q132" s="885"/>
      <c r="R132" s="888"/>
      <c r="S132" s="885"/>
      <c r="T132" s="887"/>
      <c r="U132" s="887"/>
      <c r="V132" s="887"/>
      <c r="W132" s="887"/>
      <c r="X132" s="887"/>
      <c r="Y132" s="888"/>
    </row>
    <row r="133" spans="1:25" x14ac:dyDescent="0.2">
      <c r="A133" s="880" t="s">
        <v>547</v>
      </c>
      <c r="C133" s="888"/>
      <c r="D133" s="888"/>
      <c r="E133" s="888"/>
      <c r="F133" s="888"/>
      <c r="G133" s="888"/>
      <c r="H133" s="888"/>
      <c r="I133" s="888"/>
      <c r="J133" s="888"/>
      <c r="K133" s="888"/>
      <c r="L133" s="888"/>
      <c r="M133" s="888"/>
      <c r="N133" s="888"/>
      <c r="O133" s="887"/>
      <c r="P133" s="887"/>
      <c r="Q133" s="885"/>
      <c r="R133" s="888"/>
      <c r="S133" s="885"/>
      <c r="T133" s="887"/>
      <c r="U133" s="887"/>
      <c r="V133" s="887"/>
      <c r="W133" s="887"/>
      <c r="X133" s="887"/>
      <c r="Y133" s="888"/>
    </row>
    <row r="134" spans="1:25" x14ac:dyDescent="0.2">
      <c r="A134" s="883" t="s">
        <v>107</v>
      </c>
      <c r="C134" s="923"/>
      <c r="D134" s="924"/>
      <c r="E134" s="924"/>
      <c r="F134" s="924"/>
      <c r="G134" s="924"/>
      <c r="H134" s="924"/>
      <c r="I134" s="924"/>
      <c r="J134" s="924"/>
      <c r="K134" s="924"/>
      <c r="L134" s="924"/>
      <c r="M134" s="924"/>
      <c r="N134" s="924"/>
      <c r="O134" s="925">
        <f>C134+D134+E134+F134+G134+H134+I134+J134+K134+L134+M134+N134</f>
        <v>0</v>
      </c>
      <c r="P134" s="887"/>
      <c r="Q134" s="885"/>
      <c r="R134" s="909" t="s">
        <v>72</v>
      </c>
      <c r="S134" s="885"/>
      <c r="T134" s="887"/>
      <c r="U134" s="923">
        <f>C134+D134+E134</f>
        <v>0</v>
      </c>
      <c r="V134" s="924">
        <f>F134+G134+H134</f>
        <v>0</v>
      </c>
      <c r="W134" s="924">
        <f>I134+J134+K134</f>
        <v>0</v>
      </c>
      <c r="X134" s="924">
        <f>L134+M134+N134</f>
        <v>0</v>
      </c>
      <c r="Y134" s="925">
        <f>SUM(U134:X134)</f>
        <v>0</v>
      </c>
    </row>
    <row r="135" spans="1:25" ht="6" customHeight="1" x14ac:dyDescent="0.2">
      <c r="A135" s="883"/>
      <c r="C135" s="888"/>
      <c r="D135" s="888"/>
      <c r="E135" s="888"/>
      <c r="F135" s="888"/>
      <c r="G135" s="888"/>
      <c r="H135" s="888"/>
      <c r="I135" s="888"/>
      <c r="J135" s="888"/>
      <c r="K135" s="888"/>
      <c r="L135" s="888"/>
      <c r="M135" s="888"/>
      <c r="N135" s="888"/>
      <c r="O135" s="887"/>
      <c r="P135" s="887"/>
      <c r="Q135" s="885"/>
      <c r="R135" s="926"/>
      <c r="S135" s="885"/>
      <c r="T135" s="887"/>
      <c r="U135" s="887"/>
      <c r="V135" s="887"/>
      <c r="W135" s="887"/>
      <c r="X135" s="887"/>
      <c r="Y135" s="888"/>
    </row>
    <row r="136" spans="1:25" x14ac:dyDescent="0.2">
      <c r="A136" s="883" t="s">
        <v>75</v>
      </c>
      <c r="C136" s="888"/>
      <c r="D136" s="888"/>
      <c r="E136" s="888"/>
      <c r="F136" s="888"/>
      <c r="G136" s="888"/>
      <c r="H136" s="888"/>
      <c r="I136" s="888"/>
      <c r="J136" s="888"/>
      <c r="K136" s="888"/>
      <c r="L136" s="888"/>
      <c r="M136" s="888"/>
      <c r="N136" s="888"/>
      <c r="O136" s="887"/>
      <c r="P136" s="887"/>
      <c r="Q136" s="885"/>
      <c r="R136" s="888"/>
      <c r="S136" s="885"/>
      <c r="T136" s="887"/>
      <c r="U136" s="887"/>
      <c r="V136" s="887"/>
      <c r="W136" s="887"/>
      <c r="X136" s="887"/>
      <c r="Y136" s="888"/>
    </row>
    <row r="137" spans="1:25" x14ac:dyDescent="0.2">
      <c r="A137" s="884" t="s">
        <v>83</v>
      </c>
      <c r="C137" s="895">
        <v>-174</v>
      </c>
      <c r="D137" s="895">
        <v>-148</v>
      </c>
      <c r="E137" s="895">
        <v>-149</v>
      </c>
      <c r="F137" s="895">
        <v>-149</v>
      </c>
      <c r="G137" s="895">
        <v>-149</v>
      </c>
      <c r="H137" s="895">
        <v>-149</v>
      </c>
      <c r="I137" s="895">
        <v>-148</v>
      </c>
      <c r="J137" s="895">
        <v>-152</v>
      </c>
      <c r="K137" s="895">
        <v>-149</v>
      </c>
      <c r="L137" s="895">
        <v>-149</v>
      </c>
      <c r="M137" s="895">
        <v>-149</v>
      </c>
      <c r="N137" s="895">
        <v>-149</v>
      </c>
      <c r="O137" s="689">
        <f>SUM(C137:N137)</f>
        <v>-1814</v>
      </c>
      <c r="P137" s="689"/>
      <c r="Q137" s="885"/>
      <c r="R137" s="890" t="s">
        <v>84</v>
      </c>
      <c r="S137" s="885"/>
      <c r="T137" s="689"/>
      <c r="U137" s="887">
        <f>C137+D137+E137</f>
        <v>-471</v>
      </c>
      <c r="V137" s="887">
        <f>F137+G137+H137</f>
        <v>-447</v>
      </c>
      <c r="W137" s="887">
        <f>I137+J137+K137</f>
        <v>-449</v>
      </c>
      <c r="X137" s="887">
        <f>L137+M137+N137</f>
        <v>-447</v>
      </c>
      <c r="Y137" s="888">
        <f>SUM(U137:X137)</f>
        <v>-1814</v>
      </c>
    </row>
    <row r="138" spans="1:25" x14ac:dyDescent="0.2">
      <c r="A138" s="884" t="s">
        <v>85</v>
      </c>
      <c r="C138" s="895">
        <v>8</v>
      </c>
      <c r="D138" s="895">
        <v>8</v>
      </c>
      <c r="E138" s="895">
        <v>8</v>
      </c>
      <c r="F138" s="895">
        <v>9</v>
      </c>
      <c r="G138" s="895">
        <v>8</v>
      </c>
      <c r="H138" s="895">
        <v>8</v>
      </c>
      <c r="I138" s="895">
        <v>8</v>
      </c>
      <c r="J138" s="895">
        <v>9</v>
      </c>
      <c r="K138" s="895">
        <v>8</v>
      </c>
      <c r="L138" s="895">
        <v>8</v>
      </c>
      <c r="M138" s="895">
        <v>9</v>
      </c>
      <c r="N138" s="895">
        <v>8</v>
      </c>
      <c r="O138" s="689">
        <f>SUM(C138:N138)</f>
        <v>99</v>
      </c>
      <c r="P138" s="689"/>
      <c r="Q138" s="885"/>
      <c r="R138" s="890" t="s">
        <v>84</v>
      </c>
      <c r="S138" s="885"/>
      <c r="T138" s="689"/>
      <c r="U138" s="887">
        <f>C138+D138+E138</f>
        <v>24</v>
      </c>
      <c r="V138" s="887">
        <f>F138+G138+H138</f>
        <v>25</v>
      </c>
      <c r="W138" s="887">
        <f>I138+J138+K138</f>
        <v>25</v>
      </c>
      <c r="X138" s="887">
        <f>L138+M138+N138</f>
        <v>25</v>
      </c>
      <c r="Y138" s="888">
        <f>SUM(U138:X138)</f>
        <v>99</v>
      </c>
    </row>
    <row r="139" spans="1:25" x14ac:dyDescent="0.2">
      <c r="A139" s="884" t="s">
        <v>108</v>
      </c>
      <c r="C139" s="698">
        <v>0</v>
      </c>
      <c r="D139" s="698">
        <v>0</v>
      </c>
      <c r="E139" s="698">
        <v>0</v>
      </c>
      <c r="F139" s="698">
        <v>0</v>
      </c>
      <c r="G139" s="698">
        <v>0</v>
      </c>
      <c r="H139" s="698">
        <v>0</v>
      </c>
      <c r="I139" s="698">
        <v>0</v>
      </c>
      <c r="J139" s="698">
        <v>0</v>
      </c>
      <c r="K139" s="698">
        <v>0</v>
      </c>
      <c r="L139" s="698">
        <v>0</v>
      </c>
      <c r="M139" s="698">
        <v>0</v>
      </c>
      <c r="N139" s="698">
        <v>0</v>
      </c>
      <c r="O139" s="689">
        <f>SUM(C139:N139)</f>
        <v>0</v>
      </c>
      <c r="P139" s="689"/>
      <c r="Q139" s="885"/>
      <c r="R139" s="890" t="s">
        <v>84</v>
      </c>
      <c r="S139" s="885"/>
      <c r="T139" s="689"/>
      <c r="U139" s="887">
        <f>C139+D139+E139</f>
        <v>0</v>
      </c>
      <c r="V139" s="887">
        <f>F139+G139+H139</f>
        <v>0</v>
      </c>
      <c r="W139" s="887">
        <f>I139+J139+K139</f>
        <v>0</v>
      </c>
      <c r="X139" s="887">
        <f>L139+M139+N139</f>
        <v>0</v>
      </c>
      <c r="Y139" s="888">
        <f>SUM(U139:X139)</f>
        <v>0</v>
      </c>
    </row>
    <row r="140" spans="1:25" x14ac:dyDescent="0.2">
      <c r="A140" s="884" t="s">
        <v>109</v>
      </c>
      <c r="C140" s="888"/>
      <c r="D140" s="888"/>
      <c r="E140" s="888"/>
      <c r="F140" s="888"/>
      <c r="G140" s="888"/>
      <c r="H140" s="888"/>
      <c r="I140" s="888"/>
      <c r="J140" s="888"/>
      <c r="K140" s="888"/>
      <c r="L140" s="888"/>
      <c r="M140" s="888"/>
      <c r="N140" s="888"/>
      <c r="O140" s="689">
        <f>SUM(C140:N140)</f>
        <v>0</v>
      </c>
      <c r="P140" s="689"/>
      <c r="Q140" s="885"/>
      <c r="R140" s="890" t="s">
        <v>84</v>
      </c>
      <c r="S140" s="885"/>
      <c r="T140" s="689"/>
      <c r="U140" s="887">
        <f>C140+D140+E140</f>
        <v>0</v>
      </c>
      <c r="V140" s="887">
        <f>F140+G140+H140</f>
        <v>0</v>
      </c>
      <c r="W140" s="887">
        <f>I140+J140+K140</f>
        <v>0</v>
      </c>
      <c r="X140" s="887">
        <f>L140+M140+N140</f>
        <v>0</v>
      </c>
      <c r="Y140" s="888">
        <f>SUM(U140:X140)</f>
        <v>0</v>
      </c>
    </row>
    <row r="141" spans="1:25" x14ac:dyDescent="0.2">
      <c r="A141" s="884" t="s">
        <v>110</v>
      </c>
      <c r="C141" s="927">
        <v>-7</v>
      </c>
      <c r="D141" s="927">
        <v>-7</v>
      </c>
      <c r="E141" s="927">
        <v>-7</v>
      </c>
      <c r="F141" s="927">
        <v>-7</v>
      </c>
      <c r="G141" s="927">
        <v>-7</v>
      </c>
      <c r="H141" s="927">
        <v>-7</v>
      </c>
      <c r="I141" s="927">
        <v>-7</v>
      </c>
      <c r="J141" s="927">
        <v>-7</v>
      </c>
      <c r="K141" s="927">
        <v>-7</v>
      </c>
      <c r="L141" s="927">
        <v>-7</v>
      </c>
      <c r="M141" s="927">
        <v>-7</v>
      </c>
      <c r="N141" s="927">
        <v>-7</v>
      </c>
      <c r="O141" s="691">
        <f>SUM(C141:N141)</f>
        <v>-84</v>
      </c>
      <c r="P141" s="689"/>
      <c r="Q141" s="885"/>
      <c r="R141" s="890" t="s">
        <v>84</v>
      </c>
      <c r="S141" s="885"/>
      <c r="T141" s="689"/>
      <c r="U141" s="892">
        <f>C141+D141+E141</f>
        <v>-21</v>
      </c>
      <c r="V141" s="892">
        <f>F141+G141+H141</f>
        <v>-21</v>
      </c>
      <c r="W141" s="892">
        <f>I141+J141+K141</f>
        <v>-21</v>
      </c>
      <c r="X141" s="892">
        <f>L141+M141+N141</f>
        <v>-21</v>
      </c>
      <c r="Y141" s="893">
        <f>SUM(U141:X141)</f>
        <v>-84</v>
      </c>
    </row>
    <row r="142" spans="1:25" x14ac:dyDescent="0.2">
      <c r="A142" s="884" t="s">
        <v>91</v>
      </c>
      <c r="C142" s="928">
        <f t="shared" ref="C142:O142" si="49">SUM(C137:C141)</f>
        <v>-173</v>
      </c>
      <c r="D142" s="928">
        <f t="shared" si="49"/>
        <v>-147</v>
      </c>
      <c r="E142" s="928">
        <f t="shared" si="49"/>
        <v>-148</v>
      </c>
      <c r="F142" s="928">
        <f t="shared" si="49"/>
        <v>-147</v>
      </c>
      <c r="G142" s="928">
        <f t="shared" si="49"/>
        <v>-148</v>
      </c>
      <c r="H142" s="928">
        <f t="shared" si="49"/>
        <v>-148</v>
      </c>
      <c r="I142" s="928">
        <f t="shared" si="49"/>
        <v>-147</v>
      </c>
      <c r="J142" s="928">
        <f t="shared" si="49"/>
        <v>-150</v>
      </c>
      <c r="K142" s="928">
        <f t="shared" si="49"/>
        <v>-148</v>
      </c>
      <c r="L142" s="928">
        <f t="shared" si="49"/>
        <v>-148</v>
      </c>
      <c r="M142" s="928">
        <f t="shared" si="49"/>
        <v>-147</v>
      </c>
      <c r="N142" s="928">
        <f t="shared" si="49"/>
        <v>-148</v>
      </c>
      <c r="O142" s="928">
        <f t="shared" si="49"/>
        <v>-1799</v>
      </c>
      <c r="P142" s="689"/>
      <c r="Q142" s="885"/>
      <c r="R142" s="890"/>
      <c r="S142" s="885"/>
      <c r="T142" s="689"/>
      <c r="U142" s="928">
        <f>SUM(U137:U141)</f>
        <v>-468</v>
      </c>
      <c r="V142" s="928">
        <f>SUM(V137:V141)</f>
        <v>-443</v>
      </c>
      <c r="W142" s="928">
        <f>SUM(W137:W141)</f>
        <v>-445</v>
      </c>
      <c r="X142" s="928">
        <f>SUM(X137:X141)</f>
        <v>-443</v>
      </c>
      <c r="Y142" s="928">
        <f>SUM(Y137:Y141)</f>
        <v>-1799</v>
      </c>
    </row>
    <row r="143" spans="1:25" ht="3.95" customHeight="1" x14ac:dyDescent="0.2">
      <c r="A143" s="884"/>
      <c r="C143" s="698"/>
      <c r="D143" s="698"/>
      <c r="E143" s="698"/>
      <c r="F143" s="698"/>
      <c r="G143" s="698"/>
      <c r="H143" s="698"/>
      <c r="I143" s="698"/>
      <c r="J143" s="698"/>
      <c r="K143" s="698"/>
      <c r="L143" s="698"/>
      <c r="M143" s="698"/>
      <c r="N143" s="698"/>
      <c r="O143" s="689"/>
      <c r="P143" s="689"/>
      <c r="Q143" s="885"/>
      <c r="R143" s="890"/>
      <c r="S143" s="885"/>
      <c r="T143" s="689"/>
      <c r="U143" s="887"/>
      <c r="V143" s="887"/>
      <c r="W143" s="887"/>
      <c r="X143" s="887"/>
      <c r="Y143" s="888"/>
    </row>
    <row r="144" spans="1:25" ht="12.75" customHeight="1" x14ac:dyDescent="0.2">
      <c r="A144" s="884" t="s">
        <v>846</v>
      </c>
      <c r="C144" s="855">
        <f>-15+15</f>
        <v>0</v>
      </c>
      <c r="D144" s="855">
        <f>-16+16</f>
        <v>0</v>
      </c>
      <c r="E144" s="855">
        <f>-15+15</f>
        <v>0</v>
      </c>
      <c r="F144" s="855">
        <f>-16+16</f>
        <v>0</v>
      </c>
      <c r="G144" s="855">
        <f>-15+15</f>
        <v>0</v>
      </c>
      <c r="H144" s="855">
        <f>-16+16</f>
        <v>0</v>
      </c>
      <c r="I144" s="855">
        <f>-15+15</f>
        <v>0</v>
      </c>
      <c r="J144" s="855">
        <f>-16+16</f>
        <v>0</v>
      </c>
      <c r="K144" s="855">
        <f>-15+15</f>
        <v>0</v>
      </c>
      <c r="L144" s="855">
        <f>-16+16</f>
        <v>0</v>
      </c>
      <c r="M144" s="855">
        <f>-15+15</f>
        <v>0</v>
      </c>
      <c r="N144" s="855">
        <f>-16+16</f>
        <v>0</v>
      </c>
      <c r="O144" s="129">
        <f>SUM(C144:N144)</f>
        <v>0</v>
      </c>
      <c r="P144" s="129"/>
      <c r="Q144" s="885"/>
      <c r="R144" s="886" t="s">
        <v>92</v>
      </c>
      <c r="S144" s="885"/>
      <c r="T144" s="129"/>
      <c r="U144" s="887">
        <f>C144+D144+E144</f>
        <v>0</v>
      </c>
      <c r="V144" s="887">
        <f>F144+G144+H144</f>
        <v>0</v>
      </c>
      <c r="W144" s="887">
        <f>I144+J144+K144</f>
        <v>0</v>
      </c>
      <c r="X144" s="887">
        <f>L144+M144+N144</f>
        <v>0</v>
      </c>
      <c r="Y144" s="888">
        <f>SUM(U144:X144)</f>
        <v>0</v>
      </c>
    </row>
    <row r="145" spans="1:25" ht="3.95" customHeight="1" x14ac:dyDescent="0.2">
      <c r="A145" s="884"/>
      <c r="C145" s="698"/>
      <c r="D145" s="698"/>
      <c r="E145" s="698"/>
      <c r="F145" s="698"/>
      <c r="G145" s="698"/>
      <c r="H145" s="698"/>
      <c r="I145" s="698"/>
      <c r="J145" s="698"/>
      <c r="K145" s="698"/>
      <c r="L145" s="698"/>
      <c r="M145" s="698"/>
      <c r="N145" s="698"/>
      <c r="O145" s="689"/>
      <c r="P145" s="689"/>
      <c r="Q145" s="885"/>
      <c r="R145" s="890"/>
      <c r="S145" s="885"/>
      <c r="T145" s="689"/>
      <c r="U145" s="887"/>
      <c r="V145" s="887"/>
      <c r="W145" s="887"/>
      <c r="X145" s="887"/>
      <c r="Y145" s="888"/>
    </row>
    <row r="146" spans="1:25" s="898" customFormat="1" ht="12.75" customHeight="1" x14ac:dyDescent="0.2">
      <c r="A146" s="929" t="s">
        <v>94</v>
      </c>
      <c r="C146" s="128">
        <v>-9</v>
      </c>
      <c r="D146" s="128">
        <v>-14</v>
      </c>
      <c r="E146" s="128">
        <v>-9</v>
      </c>
      <c r="F146" s="128">
        <v>-8</v>
      </c>
      <c r="G146" s="128">
        <v>-9</v>
      </c>
      <c r="H146" s="128">
        <v>-8</v>
      </c>
      <c r="I146" s="128">
        <v>-9</v>
      </c>
      <c r="J146" s="128">
        <v>-8</v>
      </c>
      <c r="K146" s="128">
        <v>-9</v>
      </c>
      <c r="L146" s="128">
        <v>-8</v>
      </c>
      <c r="M146" s="128">
        <v>-9</v>
      </c>
      <c r="N146" s="128">
        <v>-8</v>
      </c>
      <c r="O146" s="689">
        <f>SUM(C146:N146)</f>
        <v>-108</v>
      </c>
      <c r="P146" s="689"/>
      <c r="Q146" s="908"/>
      <c r="R146" s="886" t="s">
        <v>95</v>
      </c>
      <c r="S146" s="908"/>
      <c r="T146" s="689"/>
      <c r="U146" s="902">
        <f>C146+D146+E146</f>
        <v>-32</v>
      </c>
      <c r="V146" s="902">
        <f>F146+G146+H146</f>
        <v>-25</v>
      </c>
      <c r="W146" s="902">
        <f>I146+J146+K146</f>
        <v>-26</v>
      </c>
      <c r="X146" s="902">
        <f>L146+M146+N146</f>
        <v>-25</v>
      </c>
      <c r="Y146" s="904">
        <f>SUM(U146:X146)</f>
        <v>-108</v>
      </c>
    </row>
    <row r="147" spans="1:25" s="898" customFormat="1" ht="3.95" customHeight="1" x14ac:dyDescent="0.2">
      <c r="A147" s="929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689"/>
      <c r="P147" s="689"/>
      <c r="Q147" s="908"/>
      <c r="R147" s="886"/>
      <c r="S147" s="908"/>
      <c r="T147" s="689"/>
      <c r="U147" s="902"/>
      <c r="V147" s="902"/>
      <c r="W147" s="902"/>
      <c r="X147" s="902"/>
      <c r="Y147" s="904"/>
    </row>
    <row r="148" spans="1:25" s="898" customFormat="1" ht="12.75" customHeight="1" x14ac:dyDescent="0.2">
      <c r="A148" s="915" t="s">
        <v>96</v>
      </c>
      <c r="C148" s="899">
        <f>SUM(C142:C146)</f>
        <v>-182</v>
      </c>
      <c r="D148" s="900">
        <f>SUM(D142:D146)</f>
        <v>-161</v>
      </c>
      <c r="E148" s="900">
        <f t="shared" ref="E148:O148" si="50">SUM(E142:E146)</f>
        <v>-157</v>
      </c>
      <c r="F148" s="900">
        <f t="shared" si="50"/>
        <v>-155</v>
      </c>
      <c r="G148" s="900">
        <f t="shared" si="50"/>
        <v>-157</v>
      </c>
      <c r="H148" s="900">
        <f t="shared" si="50"/>
        <v>-156</v>
      </c>
      <c r="I148" s="900">
        <f t="shared" si="50"/>
        <v>-156</v>
      </c>
      <c r="J148" s="900">
        <f t="shared" si="50"/>
        <v>-158</v>
      </c>
      <c r="K148" s="900">
        <f t="shared" si="50"/>
        <v>-157</v>
      </c>
      <c r="L148" s="900">
        <f t="shared" si="50"/>
        <v>-156</v>
      </c>
      <c r="M148" s="900">
        <f t="shared" si="50"/>
        <v>-156</v>
      </c>
      <c r="N148" s="900">
        <f t="shared" si="50"/>
        <v>-156</v>
      </c>
      <c r="O148" s="901">
        <f t="shared" si="50"/>
        <v>-1907</v>
      </c>
      <c r="P148" s="902"/>
      <c r="Q148" s="908"/>
      <c r="R148" s="904"/>
      <c r="S148" s="908"/>
      <c r="T148" s="902"/>
      <c r="U148" s="899">
        <f>SUM(U142:U146)</f>
        <v>-500</v>
      </c>
      <c r="V148" s="900">
        <f>SUM(V142:V146)</f>
        <v>-468</v>
      </c>
      <c r="W148" s="900">
        <f>SUM(W142:W146)</f>
        <v>-471</v>
      </c>
      <c r="X148" s="900">
        <f>SUM(X142:X146)</f>
        <v>-468</v>
      </c>
      <c r="Y148" s="901">
        <f>SUM(Y142:Y146)</f>
        <v>-1907</v>
      </c>
    </row>
    <row r="149" spans="1:25" s="898" customFormat="1" ht="12.75" customHeight="1" x14ac:dyDescent="0.2">
      <c r="A149" s="915"/>
      <c r="C149" s="904"/>
      <c r="D149" s="904"/>
      <c r="E149" s="904"/>
      <c r="F149" s="904"/>
      <c r="G149" s="904"/>
      <c r="H149" s="904"/>
      <c r="I149" s="904"/>
      <c r="J149" s="904"/>
      <c r="K149" s="904"/>
      <c r="L149" s="904"/>
      <c r="M149" s="904"/>
      <c r="N149" s="904"/>
      <c r="O149" s="902"/>
      <c r="P149" s="902"/>
      <c r="Q149" s="908"/>
      <c r="R149" s="904"/>
      <c r="S149" s="908"/>
      <c r="T149" s="902"/>
      <c r="U149" s="902"/>
      <c r="V149" s="902"/>
      <c r="W149" s="902"/>
      <c r="X149" s="902"/>
      <c r="Y149" s="904"/>
    </row>
    <row r="150" spans="1:25" s="898" customFormat="1" ht="12.75" customHeight="1" x14ac:dyDescent="0.2">
      <c r="A150" s="897" t="s">
        <v>548</v>
      </c>
      <c r="C150" s="917">
        <f t="shared" ref="C150:O150" si="51">+C134+C148</f>
        <v>-182</v>
      </c>
      <c r="D150" s="918">
        <f t="shared" si="51"/>
        <v>-161</v>
      </c>
      <c r="E150" s="918">
        <f t="shared" si="51"/>
        <v>-157</v>
      </c>
      <c r="F150" s="918">
        <f t="shared" si="51"/>
        <v>-155</v>
      </c>
      <c r="G150" s="918">
        <f t="shared" si="51"/>
        <v>-157</v>
      </c>
      <c r="H150" s="918">
        <f t="shared" si="51"/>
        <v>-156</v>
      </c>
      <c r="I150" s="918">
        <f t="shared" si="51"/>
        <v>-156</v>
      </c>
      <c r="J150" s="918">
        <f t="shared" si="51"/>
        <v>-158</v>
      </c>
      <c r="K150" s="918">
        <f t="shared" si="51"/>
        <v>-157</v>
      </c>
      <c r="L150" s="918">
        <f t="shared" si="51"/>
        <v>-156</v>
      </c>
      <c r="M150" s="918">
        <f t="shared" si="51"/>
        <v>-156</v>
      </c>
      <c r="N150" s="918">
        <f t="shared" si="51"/>
        <v>-156</v>
      </c>
      <c r="O150" s="919">
        <f t="shared" si="51"/>
        <v>-1907</v>
      </c>
      <c r="P150" s="920"/>
      <c r="Q150" s="921"/>
      <c r="R150" s="904"/>
      <c r="S150" s="921"/>
      <c r="T150" s="920"/>
      <c r="U150" s="917">
        <f>+U134+U148</f>
        <v>-500</v>
      </c>
      <c r="V150" s="918">
        <f>+V134+V148</f>
        <v>-468</v>
      </c>
      <c r="W150" s="918">
        <f>+W134+W148</f>
        <v>-471</v>
      </c>
      <c r="X150" s="918">
        <f>+X134+X148</f>
        <v>-468</v>
      </c>
      <c r="Y150" s="919">
        <f>+Y134+Y148</f>
        <v>-1907</v>
      </c>
    </row>
    <row r="151" spans="1:25" s="898" customFormat="1" ht="12.75" customHeight="1" x14ac:dyDescent="0.2">
      <c r="A151" s="930"/>
      <c r="C151" s="896"/>
      <c r="D151" s="896"/>
      <c r="E151" s="896"/>
      <c r="F151" s="896"/>
      <c r="G151" s="896"/>
      <c r="H151" s="896"/>
      <c r="I151" s="896"/>
      <c r="J151" s="896"/>
      <c r="K151" s="896"/>
      <c r="L151" s="896"/>
      <c r="M151" s="896"/>
      <c r="N151" s="896"/>
      <c r="O151" s="910"/>
      <c r="P151" s="910"/>
      <c r="Q151" s="903"/>
      <c r="R151" s="896"/>
      <c r="S151" s="903"/>
      <c r="T151" s="910"/>
      <c r="U151" s="910"/>
      <c r="V151" s="910"/>
      <c r="W151" s="910"/>
      <c r="X151" s="910"/>
      <c r="Y151" s="896"/>
    </row>
    <row r="152" spans="1:25" x14ac:dyDescent="0.2">
      <c r="A152" s="880" t="s">
        <v>111</v>
      </c>
      <c r="C152" s="888"/>
      <c r="D152" s="888"/>
      <c r="E152" s="888"/>
      <c r="F152" s="888"/>
      <c r="G152" s="888"/>
      <c r="H152" s="888"/>
      <c r="I152" s="888"/>
      <c r="J152" s="888"/>
      <c r="K152" s="888"/>
      <c r="L152" s="888"/>
      <c r="M152" s="888"/>
      <c r="N152" s="888"/>
      <c r="O152" s="887"/>
      <c r="P152" s="887"/>
      <c r="Q152" s="885"/>
      <c r="R152" s="888"/>
      <c r="S152" s="885"/>
      <c r="T152" s="887"/>
      <c r="U152" s="887"/>
      <c r="V152" s="887"/>
      <c r="W152" s="887"/>
      <c r="X152" s="887"/>
      <c r="Y152" s="888"/>
    </row>
    <row r="153" spans="1:25" x14ac:dyDescent="0.2">
      <c r="A153" s="883" t="s">
        <v>112</v>
      </c>
      <c r="C153" s="931">
        <v>0</v>
      </c>
      <c r="D153" s="932">
        <v>0</v>
      </c>
      <c r="E153" s="932">
        <v>0</v>
      </c>
      <c r="F153" s="932">
        <v>0</v>
      </c>
      <c r="G153" s="932">
        <v>0</v>
      </c>
      <c r="H153" s="932">
        <v>0</v>
      </c>
      <c r="I153" s="932">
        <v>0</v>
      </c>
      <c r="J153" s="932">
        <v>0</v>
      </c>
      <c r="K153" s="932">
        <v>0</v>
      </c>
      <c r="L153" s="932">
        <v>0</v>
      </c>
      <c r="M153" s="932">
        <v>0</v>
      </c>
      <c r="N153" s="932">
        <v>0</v>
      </c>
      <c r="O153" s="933">
        <f>SUM(C153:N153)</f>
        <v>0</v>
      </c>
      <c r="P153" s="934"/>
      <c r="Q153" s="885"/>
      <c r="R153" s="909" t="s">
        <v>72</v>
      </c>
      <c r="S153" s="885"/>
      <c r="T153" s="934"/>
      <c r="U153" s="923">
        <f>C153+D153+E153</f>
        <v>0</v>
      </c>
      <c r="V153" s="924">
        <f>F153+G153+H153</f>
        <v>0</v>
      </c>
      <c r="W153" s="924">
        <f>I153+J153+K153</f>
        <v>0</v>
      </c>
      <c r="X153" s="924">
        <f>L153+M153+N153</f>
        <v>0</v>
      </c>
      <c r="Y153" s="925">
        <f>SUM(U153:X153)</f>
        <v>0</v>
      </c>
    </row>
    <row r="154" spans="1:25" ht="6" customHeight="1" x14ac:dyDescent="0.2">
      <c r="A154" s="935"/>
      <c r="C154" s="888"/>
      <c r="D154" s="888"/>
      <c r="E154" s="888"/>
      <c r="F154" s="888"/>
      <c r="G154" s="888"/>
      <c r="H154" s="888"/>
      <c r="I154" s="888"/>
      <c r="J154" s="888"/>
      <c r="K154" s="888"/>
      <c r="L154" s="888"/>
      <c r="M154" s="888"/>
      <c r="N154" s="888"/>
      <c r="O154" s="887"/>
      <c r="P154" s="887"/>
      <c r="Q154" s="885"/>
      <c r="R154" s="888"/>
      <c r="S154" s="885"/>
      <c r="T154" s="887"/>
      <c r="U154" s="887"/>
      <c r="V154" s="887"/>
      <c r="W154" s="887"/>
      <c r="X154" s="887"/>
      <c r="Y154" s="888"/>
    </row>
    <row r="155" spans="1:25" x14ac:dyDescent="0.2">
      <c r="A155" s="883" t="s">
        <v>75</v>
      </c>
      <c r="C155" s="888"/>
      <c r="D155" s="888"/>
      <c r="E155" s="888"/>
      <c r="F155" s="888"/>
      <c r="G155" s="888"/>
      <c r="H155" s="888"/>
      <c r="I155" s="888"/>
      <c r="J155" s="888"/>
      <c r="K155" s="888"/>
      <c r="L155" s="888"/>
      <c r="M155" s="888"/>
      <c r="N155" s="888"/>
      <c r="O155" s="887"/>
      <c r="P155" s="887"/>
      <c r="Q155" s="885"/>
      <c r="R155" s="888"/>
      <c r="S155" s="885"/>
      <c r="T155" s="887"/>
      <c r="U155" s="887"/>
      <c r="V155" s="887"/>
      <c r="W155" s="887"/>
      <c r="X155" s="887"/>
      <c r="Y155" s="888"/>
    </row>
    <row r="156" spans="1:25" x14ac:dyDescent="0.2">
      <c r="A156" s="884" t="s">
        <v>113</v>
      </c>
      <c r="C156" s="895">
        <v>-2095</v>
      </c>
      <c r="D156" s="895">
        <v>-2115</v>
      </c>
      <c r="E156" s="895">
        <v>-2075</v>
      </c>
      <c r="F156" s="895">
        <v>-2050</v>
      </c>
      <c r="G156" s="895">
        <v>-2080</v>
      </c>
      <c r="H156" s="895">
        <v>-2105</v>
      </c>
      <c r="I156" s="895">
        <v>-2060</v>
      </c>
      <c r="J156" s="895">
        <v>-2093</v>
      </c>
      <c r="K156" s="895">
        <v>-2087</v>
      </c>
      <c r="L156" s="895">
        <v>-2076</v>
      </c>
      <c r="M156" s="895">
        <v>-2048</v>
      </c>
      <c r="N156" s="895">
        <v>-2135</v>
      </c>
      <c r="O156" s="689">
        <f t="shared" ref="O156:O169" si="52">SUM(C156:N156)</f>
        <v>-25019</v>
      </c>
      <c r="P156" s="689"/>
      <c r="Q156" s="885"/>
      <c r="R156" s="890" t="s">
        <v>84</v>
      </c>
      <c r="S156" s="885"/>
      <c r="T156" s="689"/>
      <c r="U156" s="887">
        <f t="shared" ref="U156:U169" si="53">C156+D156+E156</f>
        <v>-6285</v>
      </c>
      <c r="V156" s="887">
        <f t="shared" ref="V156:V169" si="54">F156+G156+H156</f>
        <v>-6235</v>
      </c>
      <c r="W156" s="887">
        <f t="shared" ref="W156:W169" si="55">I156+J156+K156</f>
        <v>-6240</v>
      </c>
      <c r="X156" s="887">
        <f t="shared" ref="X156:X169" si="56">L156+M156+N156</f>
        <v>-6259</v>
      </c>
      <c r="Y156" s="888">
        <f t="shared" ref="Y156:Y169" si="57">SUM(U156:X156)</f>
        <v>-25019</v>
      </c>
    </row>
    <row r="157" spans="1:25" x14ac:dyDescent="0.2">
      <c r="A157" s="884" t="s">
        <v>114</v>
      </c>
      <c r="C157" s="895"/>
      <c r="D157" s="895"/>
      <c r="E157" s="895"/>
      <c r="F157" s="895"/>
      <c r="G157" s="895"/>
      <c r="H157" s="895"/>
      <c r="I157" s="895"/>
      <c r="J157" s="895"/>
      <c r="K157" s="895"/>
      <c r="L157" s="895"/>
      <c r="M157" s="895"/>
      <c r="N157" s="895"/>
      <c r="O157" s="689">
        <f t="shared" si="52"/>
        <v>0</v>
      </c>
      <c r="P157" s="689"/>
      <c r="Q157" s="885"/>
      <c r="R157" s="890" t="s">
        <v>84</v>
      </c>
      <c r="S157" s="885"/>
      <c r="T157" s="689"/>
      <c r="U157" s="887">
        <f t="shared" si="53"/>
        <v>0</v>
      </c>
      <c r="V157" s="887">
        <f t="shared" si="54"/>
        <v>0</v>
      </c>
      <c r="W157" s="887">
        <f t="shared" si="55"/>
        <v>0</v>
      </c>
      <c r="X157" s="887">
        <f t="shared" si="56"/>
        <v>0</v>
      </c>
      <c r="Y157" s="888">
        <f t="shared" si="57"/>
        <v>0</v>
      </c>
    </row>
    <row r="158" spans="1:25" x14ac:dyDescent="0.2">
      <c r="A158" s="884" t="s">
        <v>85</v>
      </c>
      <c r="C158" s="895">
        <v>100</v>
      </c>
      <c r="D158" s="895">
        <v>125</v>
      </c>
      <c r="E158" s="895">
        <v>101</v>
      </c>
      <c r="F158" s="895">
        <v>102</v>
      </c>
      <c r="G158" s="895">
        <v>101</v>
      </c>
      <c r="H158" s="895">
        <v>102</v>
      </c>
      <c r="I158" s="895">
        <v>101</v>
      </c>
      <c r="J158" s="895">
        <v>101</v>
      </c>
      <c r="K158" s="895">
        <v>102</v>
      </c>
      <c r="L158" s="895">
        <v>101</v>
      </c>
      <c r="M158" s="895">
        <v>101</v>
      </c>
      <c r="N158" s="895">
        <v>101</v>
      </c>
      <c r="O158" s="689">
        <f t="shared" si="52"/>
        <v>1238</v>
      </c>
      <c r="P158" s="689"/>
      <c r="Q158" s="885"/>
      <c r="R158" s="890" t="s">
        <v>84</v>
      </c>
      <c r="S158" s="885"/>
      <c r="T158" s="689"/>
      <c r="U158" s="887">
        <f t="shared" si="53"/>
        <v>326</v>
      </c>
      <c r="V158" s="887">
        <f t="shared" si="54"/>
        <v>305</v>
      </c>
      <c r="W158" s="887">
        <f t="shared" si="55"/>
        <v>304</v>
      </c>
      <c r="X158" s="887">
        <f t="shared" si="56"/>
        <v>303</v>
      </c>
      <c r="Y158" s="888">
        <f t="shared" si="57"/>
        <v>1238</v>
      </c>
    </row>
    <row r="159" spans="1:25" x14ac:dyDescent="0.2">
      <c r="A159" s="884" t="s">
        <v>115</v>
      </c>
      <c r="C159" s="895">
        <v>-122</v>
      </c>
      <c r="D159" s="895">
        <v>-138</v>
      </c>
      <c r="E159" s="895">
        <v>-120</v>
      </c>
      <c r="F159" s="895">
        <v>-124</v>
      </c>
      <c r="G159" s="895">
        <v>-122</v>
      </c>
      <c r="H159" s="895">
        <v>-121</v>
      </c>
      <c r="I159" s="895">
        <v>-139</v>
      </c>
      <c r="J159" s="895">
        <v>-123</v>
      </c>
      <c r="K159" s="895">
        <v>-121</v>
      </c>
      <c r="L159" s="895">
        <v>-128</v>
      </c>
      <c r="M159" s="895">
        <v>-126</v>
      </c>
      <c r="N159" s="895">
        <v>-120</v>
      </c>
      <c r="O159" s="689">
        <f t="shared" si="52"/>
        <v>-1504</v>
      </c>
      <c r="P159" s="689"/>
      <c r="Q159" s="885"/>
      <c r="R159" s="890" t="s">
        <v>84</v>
      </c>
      <c r="S159" s="885"/>
      <c r="T159" s="689"/>
      <c r="U159" s="887">
        <f t="shared" si="53"/>
        <v>-380</v>
      </c>
      <c r="V159" s="887">
        <f t="shared" si="54"/>
        <v>-367</v>
      </c>
      <c r="W159" s="887">
        <f t="shared" si="55"/>
        <v>-383</v>
      </c>
      <c r="X159" s="887">
        <f t="shared" si="56"/>
        <v>-374</v>
      </c>
      <c r="Y159" s="888">
        <f t="shared" si="57"/>
        <v>-1504</v>
      </c>
    </row>
    <row r="160" spans="1:25" x14ac:dyDescent="0.2">
      <c r="A160" s="884" t="s">
        <v>116</v>
      </c>
      <c r="C160" s="895"/>
      <c r="D160" s="895"/>
      <c r="E160" s="895"/>
      <c r="F160" s="895"/>
      <c r="G160" s="895"/>
      <c r="H160" s="895"/>
      <c r="I160" s="895"/>
      <c r="J160" s="895"/>
      <c r="K160" s="895"/>
      <c r="L160" s="895"/>
      <c r="M160" s="895"/>
      <c r="N160" s="895"/>
      <c r="O160" s="689">
        <f t="shared" si="52"/>
        <v>0</v>
      </c>
      <c r="P160" s="689"/>
      <c r="Q160" s="885"/>
      <c r="R160" s="890" t="s">
        <v>84</v>
      </c>
      <c r="S160" s="885"/>
      <c r="T160" s="689"/>
      <c r="U160" s="887">
        <f t="shared" si="53"/>
        <v>0</v>
      </c>
      <c r="V160" s="887">
        <f t="shared" si="54"/>
        <v>0</v>
      </c>
      <c r="W160" s="887">
        <f t="shared" si="55"/>
        <v>0</v>
      </c>
      <c r="X160" s="887">
        <f t="shared" si="56"/>
        <v>0</v>
      </c>
      <c r="Y160" s="888">
        <f t="shared" si="57"/>
        <v>0</v>
      </c>
    </row>
    <row r="161" spans="1:25" x14ac:dyDescent="0.2">
      <c r="A161" s="884" t="s">
        <v>117</v>
      </c>
      <c r="C161" s="895"/>
      <c r="D161" s="895"/>
      <c r="E161" s="895"/>
      <c r="F161" s="895"/>
      <c r="G161" s="895"/>
      <c r="H161" s="895"/>
      <c r="I161" s="895"/>
      <c r="J161" s="895"/>
      <c r="K161" s="895"/>
      <c r="L161" s="895"/>
      <c r="M161" s="895"/>
      <c r="N161" s="895"/>
      <c r="O161" s="689">
        <f t="shared" si="52"/>
        <v>0</v>
      </c>
      <c r="P161" s="689"/>
      <c r="Q161" s="885"/>
      <c r="R161" s="890" t="s">
        <v>84</v>
      </c>
      <c r="S161" s="885"/>
      <c r="T161" s="689"/>
      <c r="U161" s="887">
        <f t="shared" si="53"/>
        <v>0</v>
      </c>
      <c r="V161" s="887">
        <f t="shared" si="54"/>
        <v>0</v>
      </c>
      <c r="W161" s="887">
        <f t="shared" si="55"/>
        <v>0</v>
      </c>
      <c r="X161" s="887">
        <f t="shared" si="56"/>
        <v>0</v>
      </c>
      <c r="Y161" s="888">
        <f t="shared" si="57"/>
        <v>0</v>
      </c>
    </row>
    <row r="162" spans="1:25" x14ac:dyDescent="0.2">
      <c r="A162" s="884" t="s">
        <v>118</v>
      </c>
      <c r="C162" s="895"/>
      <c r="D162" s="895"/>
      <c r="E162" s="895"/>
      <c r="F162" s="895"/>
      <c r="G162" s="895"/>
      <c r="H162" s="895"/>
      <c r="I162" s="895"/>
      <c r="J162" s="895"/>
      <c r="K162" s="895"/>
      <c r="L162" s="895"/>
      <c r="M162" s="895"/>
      <c r="N162" s="895"/>
      <c r="O162" s="689">
        <f t="shared" si="52"/>
        <v>0</v>
      </c>
      <c r="P162" s="689"/>
      <c r="Q162" s="885"/>
      <c r="R162" s="890" t="s">
        <v>84</v>
      </c>
      <c r="S162" s="885"/>
      <c r="T162" s="689"/>
      <c r="U162" s="887">
        <f t="shared" si="53"/>
        <v>0</v>
      </c>
      <c r="V162" s="887">
        <f t="shared" si="54"/>
        <v>0</v>
      </c>
      <c r="W162" s="887">
        <f t="shared" si="55"/>
        <v>0</v>
      </c>
      <c r="X162" s="887">
        <f t="shared" si="56"/>
        <v>0</v>
      </c>
      <c r="Y162" s="888">
        <f t="shared" si="57"/>
        <v>0</v>
      </c>
    </row>
    <row r="163" spans="1:25" x14ac:dyDescent="0.2">
      <c r="A163" s="884" t="s">
        <v>119</v>
      </c>
      <c r="C163" s="895"/>
      <c r="D163" s="895"/>
      <c r="E163" s="895"/>
      <c r="F163" s="895"/>
      <c r="G163" s="895"/>
      <c r="H163" s="895"/>
      <c r="I163" s="895"/>
      <c r="J163" s="895"/>
      <c r="K163" s="895"/>
      <c r="L163" s="895"/>
      <c r="M163" s="895"/>
      <c r="N163" s="895"/>
      <c r="O163" s="689">
        <f t="shared" si="52"/>
        <v>0</v>
      </c>
      <c r="P163" s="689"/>
      <c r="Q163" s="885"/>
      <c r="R163" s="890" t="s">
        <v>84</v>
      </c>
      <c r="S163" s="885"/>
      <c r="T163" s="689"/>
      <c r="U163" s="887">
        <f t="shared" si="53"/>
        <v>0</v>
      </c>
      <c r="V163" s="887">
        <f t="shared" si="54"/>
        <v>0</v>
      </c>
      <c r="W163" s="887">
        <f t="shared" si="55"/>
        <v>0</v>
      </c>
      <c r="X163" s="887">
        <f t="shared" si="56"/>
        <v>0</v>
      </c>
      <c r="Y163" s="888">
        <f t="shared" si="57"/>
        <v>0</v>
      </c>
    </row>
    <row r="164" spans="1:25" x14ac:dyDescent="0.2">
      <c r="A164" s="884" t="s">
        <v>120</v>
      </c>
      <c r="C164" s="895"/>
      <c r="D164" s="895"/>
      <c r="E164" s="895"/>
      <c r="F164" s="895"/>
      <c r="G164" s="895"/>
      <c r="H164" s="895"/>
      <c r="I164" s="895"/>
      <c r="J164" s="895"/>
      <c r="K164" s="895"/>
      <c r="L164" s="895"/>
      <c r="M164" s="895"/>
      <c r="N164" s="895"/>
      <c r="O164" s="689">
        <f t="shared" si="52"/>
        <v>0</v>
      </c>
      <c r="P164" s="689"/>
      <c r="Q164" s="885"/>
      <c r="R164" s="890" t="s">
        <v>84</v>
      </c>
      <c r="S164" s="885"/>
      <c r="T164" s="689"/>
      <c r="U164" s="887">
        <f t="shared" si="53"/>
        <v>0</v>
      </c>
      <c r="V164" s="887">
        <f t="shared" si="54"/>
        <v>0</v>
      </c>
      <c r="W164" s="887">
        <f t="shared" si="55"/>
        <v>0</v>
      </c>
      <c r="X164" s="887">
        <f t="shared" si="56"/>
        <v>0</v>
      </c>
      <c r="Y164" s="888">
        <f t="shared" si="57"/>
        <v>0</v>
      </c>
    </row>
    <row r="165" spans="1:25" x14ac:dyDescent="0.2">
      <c r="A165" s="884" t="s">
        <v>121</v>
      </c>
      <c r="C165" s="895"/>
      <c r="D165" s="895"/>
      <c r="E165" s="895"/>
      <c r="F165" s="895"/>
      <c r="G165" s="895"/>
      <c r="H165" s="895"/>
      <c r="I165" s="895"/>
      <c r="J165" s="895"/>
      <c r="K165" s="895"/>
      <c r="L165" s="895"/>
      <c r="M165" s="895"/>
      <c r="N165" s="895"/>
      <c r="O165" s="689">
        <f t="shared" si="52"/>
        <v>0</v>
      </c>
      <c r="P165" s="689"/>
      <c r="Q165" s="885"/>
      <c r="R165" s="890" t="s">
        <v>84</v>
      </c>
      <c r="S165" s="885"/>
      <c r="T165" s="689"/>
      <c r="U165" s="887">
        <f t="shared" si="53"/>
        <v>0</v>
      </c>
      <c r="V165" s="887">
        <f t="shared" si="54"/>
        <v>0</v>
      </c>
      <c r="W165" s="887">
        <f t="shared" si="55"/>
        <v>0</v>
      </c>
      <c r="X165" s="887">
        <f t="shared" si="56"/>
        <v>0</v>
      </c>
      <c r="Y165" s="888">
        <f t="shared" si="57"/>
        <v>0</v>
      </c>
    </row>
    <row r="166" spans="1:25" x14ac:dyDescent="0.2">
      <c r="A166" s="884" t="s">
        <v>552</v>
      </c>
      <c r="C166" s="895">
        <v>0</v>
      </c>
      <c r="D166" s="895">
        <v>0</v>
      </c>
      <c r="E166" s="895">
        <v>0</v>
      </c>
      <c r="F166" s="895">
        <v>0</v>
      </c>
      <c r="G166" s="895">
        <v>0</v>
      </c>
      <c r="H166" s="895">
        <v>0</v>
      </c>
      <c r="I166" s="895">
        <v>-666</v>
      </c>
      <c r="J166" s="895">
        <v>-667</v>
      </c>
      <c r="K166" s="895">
        <v>-667</v>
      </c>
      <c r="L166" s="895">
        <v>-666</v>
      </c>
      <c r="M166" s="895">
        <v>-667</v>
      </c>
      <c r="N166" s="895">
        <v>-667</v>
      </c>
      <c r="O166" s="689">
        <f t="shared" si="52"/>
        <v>-4000</v>
      </c>
      <c r="P166" s="689"/>
      <c r="Q166" s="885"/>
      <c r="R166" s="890" t="s">
        <v>84</v>
      </c>
      <c r="S166" s="885"/>
      <c r="T166" s="689"/>
      <c r="U166" s="887">
        <f t="shared" si="53"/>
        <v>0</v>
      </c>
      <c r="V166" s="887">
        <f t="shared" si="54"/>
        <v>0</v>
      </c>
      <c r="W166" s="887">
        <f t="shared" si="55"/>
        <v>-2000</v>
      </c>
      <c r="X166" s="887">
        <f t="shared" si="56"/>
        <v>-2000</v>
      </c>
      <c r="Y166" s="888">
        <f t="shared" si="57"/>
        <v>-4000</v>
      </c>
    </row>
    <row r="167" spans="1:25" x14ac:dyDescent="0.2">
      <c r="A167" s="884" t="s">
        <v>122</v>
      </c>
      <c r="C167" s="888"/>
      <c r="D167" s="888"/>
      <c r="E167" s="888"/>
      <c r="F167" s="888"/>
      <c r="G167" s="888"/>
      <c r="H167" s="888"/>
      <c r="I167" s="888"/>
      <c r="J167" s="888"/>
      <c r="K167" s="888"/>
      <c r="L167" s="888"/>
      <c r="M167" s="888"/>
      <c r="N167" s="888"/>
      <c r="O167" s="689">
        <f t="shared" si="52"/>
        <v>0</v>
      </c>
      <c r="P167" s="689"/>
      <c r="Q167" s="885"/>
      <c r="R167" s="890" t="s">
        <v>84</v>
      </c>
      <c r="S167" s="885"/>
      <c r="T167" s="689"/>
      <c r="U167" s="887">
        <f t="shared" si="53"/>
        <v>0</v>
      </c>
      <c r="V167" s="887">
        <f t="shared" si="54"/>
        <v>0</v>
      </c>
      <c r="W167" s="887">
        <f t="shared" si="55"/>
        <v>0</v>
      </c>
      <c r="X167" s="887">
        <f t="shared" si="56"/>
        <v>0</v>
      </c>
      <c r="Y167" s="888">
        <f t="shared" si="57"/>
        <v>0</v>
      </c>
    </row>
    <row r="168" spans="1:25" x14ac:dyDescent="0.2">
      <c r="A168" s="884" t="s">
        <v>57</v>
      </c>
      <c r="C168" s="888"/>
      <c r="D168" s="888"/>
      <c r="E168" s="888"/>
      <c r="F168" s="888"/>
      <c r="G168" s="888"/>
      <c r="H168" s="888"/>
      <c r="I168" s="888"/>
      <c r="J168" s="888"/>
      <c r="K168" s="888"/>
      <c r="L168" s="888"/>
      <c r="M168" s="888"/>
      <c r="N168" s="888"/>
      <c r="O168" s="689">
        <f t="shared" si="52"/>
        <v>0</v>
      </c>
      <c r="P168" s="689"/>
      <c r="Q168" s="885"/>
      <c r="R168" s="890" t="s">
        <v>84</v>
      </c>
      <c r="S168" s="885"/>
      <c r="T168" s="689"/>
      <c r="U168" s="887">
        <f t="shared" si="53"/>
        <v>0</v>
      </c>
      <c r="V168" s="887">
        <f t="shared" si="54"/>
        <v>0</v>
      </c>
      <c r="W168" s="887">
        <f t="shared" si="55"/>
        <v>0</v>
      </c>
      <c r="X168" s="887">
        <f t="shared" si="56"/>
        <v>0</v>
      </c>
      <c r="Y168" s="888">
        <f t="shared" si="57"/>
        <v>0</v>
      </c>
    </row>
    <row r="169" spans="1:25" x14ac:dyDescent="0.2">
      <c r="A169" s="884" t="s">
        <v>67</v>
      </c>
      <c r="C169" s="907">
        <v>0</v>
      </c>
      <c r="D169" s="907">
        <v>0</v>
      </c>
      <c r="E169" s="907">
        <v>0</v>
      </c>
      <c r="F169" s="907">
        <v>0</v>
      </c>
      <c r="G169" s="907">
        <v>0</v>
      </c>
      <c r="H169" s="907">
        <v>0</v>
      </c>
      <c r="I169" s="907">
        <v>0</v>
      </c>
      <c r="J169" s="907">
        <v>0</v>
      </c>
      <c r="K169" s="907">
        <v>0</v>
      </c>
      <c r="L169" s="907">
        <v>0</v>
      </c>
      <c r="M169" s="907">
        <v>0</v>
      </c>
      <c r="N169" s="907">
        <v>0</v>
      </c>
      <c r="O169" s="691">
        <f t="shared" si="52"/>
        <v>0</v>
      </c>
      <c r="P169" s="689"/>
      <c r="Q169" s="885"/>
      <c r="R169" s="890" t="s">
        <v>84</v>
      </c>
      <c r="S169" s="885"/>
      <c r="T169" s="689"/>
      <c r="U169" s="892">
        <f t="shared" si="53"/>
        <v>0</v>
      </c>
      <c r="V169" s="892">
        <f t="shared" si="54"/>
        <v>0</v>
      </c>
      <c r="W169" s="892">
        <f t="shared" si="55"/>
        <v>0</v>
      </c>
      <c r="X169" s="892">
        <f t="shared" si="56"/>
        <v>0</v>
      </c>
      <c r="Y169" s="893">
        <f t="shared" si="57"/>
        <v>0</v>
      </c>
    </row>
    <row r="170" spans="1:25" x14ac:dyDescent="0.2">
      <c r="A170" s="884" t="s">
        <v>91</v>
      </c>
      <c r="C170" s="888">
        <f t="shared" ref="C170:O170" si="58">SUM(C156:C169)</f>
        <v>-2117</v>
      </c>
      <c r="D170" s="888">
        <f t="shared" si="58"/>
        <v>-2128</v>
      </c>
      <c r="E170" s="888">
        <f t="shared" si="58"/>
        <v>-2094</v>
      </c>
      <c r="F170" s="888">
        <f t="shared" si="58"/>
        <v>-2072</v>
      </c>
      <c r="G170" s="888">
        <f t="shared" si="58"/>
        <v>-2101</v>
      </c>
      <c r="H170" s="888">
        <f t="shared" si="58"/>
        <v>-2124</v>
      </c>
      <c r="I170" s="888">
        <f t="shared" si="58"/>
        <v>-2764</v>
      </c>
      <c r="J170" s="888">
        <f t="shared" si="58"/>
        <v>-2782</v>
      </c>
      <c r="K170" s="888">
        <f t="shared" si="58"/>
        <v>-2773</v>
      </c>
      <c r="L170" s="888">
        <f t="shared" si="58"/>
        <v>-2769</v>
      </c>
      <c r="M170" s="888">
        <f t="shared" si="58"/>
        <v>-2740</v>
      </c>
      <c r="N170" s="888">
        <f t="shared" si="58"/>
        <v>-2821</v>
      </c>
      <c r="O170" s="888">
        <f t="shared" si="58"/>
        <v>-29285</v>
      </c>
      <c r="P170" s="689"/>
      <c r="Q170" s="885"/>
      <c r="R170" s="890"/>
      <c r="S170" s="885"/>
      <c r="T170" s="689"/>
      <c r="U170" s="888">
        <f>SUM(U156:U169)</f>
        <v>-6339</v>
      </c>
      <c r="V170" s="888">
        <f>SUM(V156:V169)</f>
        <v>-6297</v>
      </c>
      <c r="W170" s="888">
        <f>SUM(W156:W169)</f>
        <v>-8319</v>
      </c>
      <c r="X170" s="888">
        <f>SUM(X156:X169)</f>
        <v>-8330</v>
      </c>
      <c r="Y170" s="888">
        <f>SUM(Y156:Y169)</f>
        <v>-29285</v>
      </c>
    </row>
    <row r="171" spans="1:25" ht="3.95" customHeight="1" x14ac:dyDescent="0.2">
      <c r="A171" s="884"/>
      <c r="C171" s="888"/>
      <c r="D171" s="888"/>
      <c r="E171" s="888"/>
      <c r="F171" s="888"/>
      <c r="G171" s="888"/>
      <c r="H171" s="888"/>
      <c r="I171" s="888"/>
      <c r="J171" s="888"/>
      <c r="K171" s="888"/>
      <c r="L171" s="888"/>
      <c r="M171" s="888"/>
      <c r="N171" s="888"/>
      <c r="O171" s="689"/>
      <c r="P171" s="689"/>
      <c r="Q171" s="885"/>
      <c r="R171" s="890"/>
      <c r="S171" s="885"/>
      <c r="T171" s="689"/>
      <c r="U171" s="887"/>
      <c r="V171" s="887"/>
      <c r="W171" s="887"/>
      <c r="X171" s="887"/>
      <c r="Y171" s="888"/>
    </row>
    <row r="172" spans="1:25" ht="12.75" customHeight="1" x14ac:dyDescent="0.2">
      <c r="A172" s="884" t="s">
        <v>846</v>
      </c>
      <c r="C172" s="855">
        <f>-18+18</f>
        <v>0</v>
      </c>
      <c r="D172" s="855">
        <f>-24+24</f>
        <v>0</v>
      </c>
      <c r="E172" s="855">
        <f>-29+29</f>
        <v>0</v>
      </c>
      <c r="F172" s="855">
        <f>-36+36</f>
        <v>0</v>
      </c>
      <c r="G172" s="855">
        <f>-39+39</f>
        <v>0</v>
      </c>
      <c r="H172" s="855">
        <f>-50+50</f>
        <v>0</v>
      </c>
      <c r="I172" s="855">
        <f>-43+43</f>
        <v>0</v>
      </c>
      <c r="J172" s="855">
        <f>-21+21</f>
        <v>0</v>
      </c>
      <c r="K172" s="855">
        <f>-27+27</f>
        <v>0</v>
      </c>
      <c r="L172" s="855">
        <f>-24+24</f>
        <v>0</v>
      </c>
      <c r="M172" s="855">
        <f>-18+18</f>
        <v>0</v>
      </c>
      <c r="N172" s="855">
        <f>-18+18</f>
        <v>0</v>
      </c>
      <c r="O172" s="129">
        <f>SUM(C172:N172)</f>
        <v>0</v>
      </c>
      <c r="P172" s="129"/>
      <c r="Q172" s="885"/>
      <c r="R172" s="886" t="s">
        <v>92</v>
      </c>
      <c r="S172" s="885"/>
      <c r="T172" s="129"/>
      <c r="U172" s="887">
        <f>C172+D172+E172</f>
        <v>0</v>
      </c>
      <c r="V172" s="887">
        <f>F172+G172+H172</f>
        <v>0</v>
      </c>
      <c r="W172" s="887">
        <f>I172+J172+K172</f>
        <v>0</v>
      </c>
      <c r="X172" s="887">
        <f>L172+M172+N172</f>
        <v>0</v>
      </c>
      <c r="Y172" s="888">
        <f>SUM(U172:X172)</f>
        <v>0</v>
      </c>
    </row>
    <row r="173" spans="1:25" ht="3.95" customHeight="1" x14ac:dyDescent="0.2">
      <c r="A173" s="884"/>
      <c r="C173" s="888"/>
      <c r="D173" s="888"/>
      <c r="E173" s="888"/>
      <c r="F173" s="888"/>
      <c r="G173" s="888"/>
      <c r="H173" s="888"/>
      <c r="I173" s="888"/>
      <c r="J173" s="888"/>
      <c r="K173" s="888"/>
      <c r="L173" s="888"/>
      <c r="M173" s="888"/>
      <c r="N173" s="888"/>
      <c r="O173" s="689"/>
      <c r="P173" s="689"/>
      <c r="Q173" s="885"/>
      <c r="R173" s="890"/>
      <c r="S173" s="885"/>
      <c r="T173" s="689"/>
      <c r="U173" s="887"/>
      <c r="V173" s="887"/>
      <c r="W173" s="887"/>
      <c r="X173" s="887"/>
      <c r="Y173" s="888"/>
    </row>
    <row r="174" spans="1:25" s="898" customFormat="1" ht="12.75" customHeight="1" x14ac:dyDescent="0.2">
      <c r="A174" s="929" t="s">
        <v>94</v>
      </c>
      <c r="C174" s="128">
        <v>-50</v>
      </c>
      <c r="D174" s="128">
        <v>-57</v>
      </c>
      <c r="E174" s="128">
        <v>-50</v>
      </c>
      <c r="F174" s="128">
        <v>-50</v>
      </c>
      <c r="G174" s="128">
        <v>-51</v>
      </c>
      <c r="H174" s="128">
        <v>-50</v>
      </c>
      <c r="I174" s="128">
        <v>-50</v>
      </c>
      <c r="J174" s="128">
        <v>-51</v>
      </c>
      <c r="K174" s="128">
        <v>-50</v>
      </c>
      <c r="L174" s="128">
        <v>-50</v>
      </c>
      <c r="M174" s="128">
        <v>-51</v>
      </c>
      <c r="N174" s="128">
        <v>-50</v>
      </c>
      <c r="O174" s="129">
        <f>SUM(C174:N174)</f>
        <v>-610</v>
      </c>
      <c r="P174" s="129"/>
      <c r="Q174" s="908"/>
      <c r="R174" s="909" t="s">
        <v>95</v>
      </c>
      <c r="S174" s="908"/>
      <c r="T174" s="129"/>
      <c r="U174" s="902">
        <f>C174+D174+E174</f>
        <v>-157</v>
      </c>
      <c r="V174" s="902">
        <f>F174+G174+H174</f>
        <v>-151</v>
      </c>
      <c r="W174" s="902">
        <f>I174+J174+K174</f>
        <v>-151</v>
      </c>
      <c r="X174" s="902">
        <f>L174+M174+N174</f>
        <v>-151</v>
      </c>
      <c r="Y174" s="888">
        <f>SUM(U174:X174)</f>
        <v>-610</v>
      </c>
    </row>
    <row r="175" spans="1:25" s="898" customFormat="1" ht="3.95" customHeight="1" x14ac:dyDescent="0.2">
      <c r="A175" s="929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9"/>
      <c r="P175" s="129"/>
      <c r="Q175" s="908"/>
      <c r="R175" s="909"/>
      <c r="S175" s="908"/>
      <c r="T175" s="129"/>
      <c r="U175" s="902"/>
      <c r="V175" s="902"/>
      <c r="W175" s="902"/>
      <c r="X175" s="902"/>
      <c r="Y175" s="888"/>
    </row>
    <row r="176" spans="1:25" s="898" customFormat="1" ht="12.75" customHeight="1" x14ac:dyDescent="0.2">
      <c r="A176" s="897" t="s">
        <v>96</v>
      </c>
      <c r="C176" s="899">
        <f>SUM(C170:C174)</f>
        <v>-2167</v>
      </c>
      <c r="D176" s="900">
        <f>SUM(D170:D174)</f>
        <v>-2185</v>
      </c>
      <c r="E176" s="900">
        <f t="shared" ref="E176:O176" si="59">SUM(E170:E174)</f>
        <v>-2144</v>
      </c>
      <c r="F176" s="900">
        <f t="shared" si="59"/>
        <v>-2122</v>
      </c>
      <c r="G176" s="900">
        <f t="shared" si="59"/>
        <v>-2152</v>
      </c>
      <c r="H176" s="900">
        <f t="shared" si="59"/>
        <v>-2174</v>
      </c>
      <c r="I176" s="900">
        <f t="shared" si="59"/>
        <v>-2814</v>
      </c>
      <c r="J176" s="900">
        <f t="shared" si="59"/>
        <v>-2833</v>
      </c>
      <c r="K176" s="900">
        <f t="shared" si="59"/>
        <v>-2823</v>
      </c>
      <c r="L176" s="900">
        <f t="shared" si="59"/>
        <v>-2819</v>
      </c>
      <c r="M176" s="900">
        <f t="shared" si="59"/>
        <v>-2791</v>
      </c>
      <c r="N176" s="900">
        <f t="shared" si="59"/>
        <v>-2871</v>
      </c>
      <c r="O176" s="901">
        <f t="shared" si="59"/>
        <v>-29895</v>
      </c>
      <c r="P176" s="902"/>
      <c r="Q176" s="908"/>
      <c r="R176" s="904"/>
      <c r="S176" s="908"/>
      <c r="T176" s="902"/>
      <c r="U176" s="899">
        <f>SUM(U170:U174)</f>
        <v>-6496</v>
      </c>
      <c r="V176" s="900">
        <f>SUM(V170:V174)</f>
        <v>-6448</v>
      </c>
      <c r="W176" s="900">
        <f>SUM(W170:W174)</f>
        <v>-8470</v>
      </c>
      <c r="X176" s="900">
        <f>SUM(X170:X174)</f>
        <v>-8481</v>
      </c>
      <c r="Y176" s="901">
        <f>SUM(Y170:Y174)</f>
        <v>-29895</v>
      </c>
    </row>
    <row r="177" spans="1:25" s="898" customFormat="1" ht="12.75" customHeight="1" x14ac:dyDescent="0.2">
      <c r="A177" s="897"/>
      <c r="C177" s="904"/>
      <c r="D177" s="904"/>
      <c r="E177" s="904"/>
      <c r="F177" s="904"/>
      <c r="G177" s="904"/>
      <c r="H177" s="904"/>
      <c r="I177" s="904"/>
      <c r="J177" s="904"/>
      <c r="K177" s="904"/>
      <c r="L177" s="904"/>
      <c r="M177" s="904"/>
      <c r="N177" s="904"/>
      <c r="O177" s="902"/>
      <c r="P177" s="902"/>
      <c r="Q177" s="908"/>
      <c r="R177" s="904"/>
      <c r="S177" s="908"/>
      <c r="T177" s="902"/>
      <c r="U177" s="902"/>
      <c r="V177" s="902"/>
      <c r="W177" s="902"/>
      <c r="X177" s="902"/>
      <c r="Y177" s="904"/>
    </row>
    <row r="178" spans="1:25" s="898" customFormat="1" ht="12.75" customHeight="1" x14ac:dyDescent="0.2">
      <c r="A178" s="930" t="s">
        <v>123</v>
      </c>
      <c r="B178" s="916"/>
      <c r="C178" s="917">
        <f t="shared" ref="C178:O178" si="60">+C153+C176</f>
        <v>-2167</v>
      </c>
      <c r="D178" s="918">
        <f t="shared" si="60"/>
        <v>-2185</v>
      </c>
      <c r="E178" s="918">
        <f t="shared" si="60"/>
        <v>-2144</v>
      </c>
      <c r="F178" s="918">
        <f t="shared" si="60"/>
        <v>-2122</v>
      </c>
      <c r="G178" s="918">
        <f t="shared" si="60"/>
        <v>-2152</v>
      </c>
      <c r="H178" s="918">
        <f t="shared" si="60"/>
        <v>-2174</v>
      </c>
      <c r="I178" s="918">
        <f t="shared" si="60"/>
        <v>-2814</v>
      </c>
      <c r="J178" s="918">
        <f t="shared" si="60"/>
        <v>-2833</v>
      </c>
      <c r="K178" s="918">
        <f t="shared" si="60"/>
        <v>-2823</v>
      </c>
      <c r="L178" s="918">
        <f t="shared" si="60"/>
        <v>-2819</v>
      </c>
      <c r="M178" s="918">
        <f t="shared" si="60"/>
        <v>-2791</v>
      </c>
      <c r="N178" s="918">
        <f t="shared" si="60"/>
        <v>-2871</v>
      </c>
      <c r="O178" s="919">
        <f t="shared" si="60"/>
        <v>-29895</v>
      </c>
      <c r="P178" s="920"/>
      <c r="Q178" s="921"/>
      <c r="R178" s="904"/>
      <c r="S178" s="921"/>
      <c r="T178" s="920"/>
      <c r="U178" s="917">
        <f>+U153+U176</f>
        <v>-6496</v>
      </c>
      <c r="V178" s="918">
        <f>+V153+V176</f>
        <v>-6448</v>
      </c>
      <c r="W178" s="918">
        <f>+W153+W176</f>
        <v>-8470</v>
      </c>
      <c r="X178" s="918">
        <f>+X153+X176</f>
        <v>-8481</v>
      </c>
      <c r="Y178" s="919">
        <f>+Y153+Y176</f>
        <v>-29895</v>
      </c>
    </row>
    <row r="179" spans="1:25" s="898" customFormat="1" ht="12.75" customHeight="1" x14ac:dyDescent="0.2">
      <c r="A179" s="913"/>
      <c r="C179" s="904"/>
      <c r="D179" s="904"/>
      <c r="E179" s="904"/>
      <c r="F179" s="904"/>
      <c r="G179" s="904"/>
      <c r="H179" s="904"/>
      <c r="I179" s="904"/>
      <c r="J179" s="904"/>
      <c r="K179" s="904"/>
      <c r="L179" s="904"/>
      <c r="M179" s="904"/>
      <c r="N179" s="904"/>
      <c r="O179" s="902"/>
      <c r="P179" s="902"/>
      <c r="Q179" s="908"/>
      <c r="R179" s="904"/>
      <c r="S179" s="908"/>
      <c r="T179" s="902"/>
      <c r="U179" s="902"/>
      <c r="V179" s="902"/>
      <c r="W179" s="902"/>
      <c r="X179" s="902"/>
      <c r="Y179" s="904"/>
    </row>
    <row r="180" spans="1:25" x14ac:dyDescent="0.2">
      <c r="C180" s="888"/>
      <c r="D180" s="888"/>
      <c r="E180" s="888"/>
      <c r="F180" s="888"/>
      <c r="G180" s="888"/>
      <c r="H180" s="888"/>
      <c r="I180" s="888"/>
      <c r="J180" s="888"/>
      <c r="K180" s="888"/>
      <c r="L180" s="888"/>
      <c r="M180" s="888"/>
      <c r="N180" s="888"/>
      <c r="O180" s="887"/>
      <c r="P180" s="887"/>
      <c r="Q180" s="885"/>
      <c r="R180" s="888"/>
      <c r="S180" s="885"/>
      <c r="T180" s="887"/>
      <c r="U180" s="887"/>
      <c r="V180" s="887"/>
      <c r="W180" s="887"/>
      <c r="X180" s="887"/>
      <c r="Y180" s="888"/>
    </row>
    <row r="181" spans="1:25" x14ac:dyDescent="0.2">
      <c r="A181" s="936" t="s">
        <v>174</v>
      </c>
      <c r="C181" s="888"/>
      <c r="D181" s="888"/>
      <c r="E181" s="888"/>
      <c r="F181" s="888"/>
      <c r="G181" s="888"/>
      <c r="H181" s="888"/>
      <c r="I181" s="888"/>
      <c r="J181" s="888"/>
      <c r="K181" s="888"/>
      <c r="L181" s="888"/>
      <c r="M181" s="888"/>
      <c r="N181" s="888"/>
      <c r="O181" s="887"/>
      <c r="P181" s="887"/>
      <c r="Q181" s="885"/>
      <c r="R181" s="888"/>
      <c r="S181" s="885"/>
      <c r="T181" s="887"/>
      <c r="U181" s="887"/>
      <c r="V181" s="887"/>
      <c r="W181" s="887"/>
      <c r="X181" s="887"/>
      <c r="Y181" s="888"/>
    </row>
    <row r="182" spans="1:25" x14ac:dyDescent="0.2">
      <c r="A182" s="883" t="s">
        <v>175</v>
      </c>
      <c r="C182" s="937">
        <v>0</v>
      </c>
      <c r="D182" s="938">
        <v>0</v>
      </c>
      <c r="E182" s="938">
        <v>0</v>
      </c>
      <c r="F182" s="938">
        <v>0</v>
      </c>
      <c r="G182" s="938">
        <v>0</v>
      </c>
      <c r="H182" s="938">
        <v>0</v>
      </c>
      <c r="I182" s="938">
        <v>0</v>
      </c>
      <c r="J182" s="938">
        <v>0</v>
      </c>
      <c r="K182" s="938">
        <v>0</v>
      </c>
      <c r="L182" s="938">
        <v>0</v>
      </c>
      <c r="M182" s="938">
        <v>0</v>
      </c>
      <c r="N182" s="938">
        <v>0</v>
      </c>
      <c r="O182" s="939">
        <f>SUM(C182:N182)</f>
        <v>0</v>
      </c>
      <c r="P182" s="940"/>
      <c r="Q182" s="908"/>
      <c r="R182" s="947" t="s">
        <v>63</v>
      </c>
      <c r="S182" s="908"/>
      <c r="T182" s="940"/>
      <c r="U182" s="923">
        <f>C182+D182+E182</f>
        <v>0</v>
      </c>
      <c r="V182" s="924">
        <f>F182+G182+H182</f>
        <v>0</v>
      </c>
      <c r="W182" s="924">
        <f>I182+J182+K182</f>
        <v>0</v>
      </c>
      <c r="X182" s="924">
        <f>L182+M182+N182</f>
        <v>0</v>
      </c>
      <c r="Y182" s="925">
        <f>SUM(U182:X182)</f>
        <v>0</v>
      </c>
    </row>
    <row r="183" spans="1:25" ht="6" customHeight="1" x14ac:dyDescent="0.2">
      <c r="A183" s="941"/>
      <c r="C183" s="888"/>
      <c r="D183" s="888"/>
      <c r="E183" s="888"/>
      <c r="F183" s="888"/>
      <c r="G183" s="888"/>
      <c r="H183" s="888"/>
      <c r="I183" s="888"/>
      <c r="J183" s="888"/>
      <c r="K183" s="888"/>
      <c r="L183" s="888"/>
      <c r="M183" s="888"/>
      <c r="N183" s="888"/>
      <c r="O183" s="887"/>
      <c r="P183" s="887"/>
      <c r="Q183" s="885"/>
      <c r="R183" s="888"/>
      <c r="S183" s="885"/>
      <c r="T183" s="887"/>
      <c r="U183" s="887"/>
      <c r="V183" s="887"/>
      <c r="W183" s="887"/>
      <c r="X183" s="887"/>
      <c r="Y183" s="888"/>
    </row>
    <row r="184" spans="1:25" x14ac:dyDescent="0.2">
      <c r="A184" s="883" t="s">
        <v>75</v>
      </c>
      <c r="C184" s="888"/>
      <c r="D184" s="888"/>
      <c r="E184" s="888"/>
      <c r="F184" s="888"/>
      <c r="G184" s="888"/>
      <c r="H184" s="888"/>
      <c r="I184" s="888"/>
      <c r="J184" s="888"/>
      <c r="K184" s="888"/>
      <c r="L184" s="888"/>
      <c r="M184" s="888"/>
      <c r="N184" s="888"/>
      <c r="O184" s="887"/>
      <c r="P184" s="887"/>
      <c r="Q184" s="885"/>
      <c r="R184" s="888"/>
      <c r="S184" s="885"/>
      <c r="T184" s="887"/>
      <c r="U184" s="887"/>
      <c r="V184" s="887"/>
      <c r="W184" s="887"/>
      <c r="X184" s="887"/>
      <c r="Y184" s="888"/>
    </row>
    <row r="185" spans="1:25" x14ac:dyDescent="0.2">
      <c r="A185" s="884" t="s">
        <v>124</v>
      </c>
      <c r="C185" s="895">
        <v>-53</v>
      </c>
      <c r="D185" s="895">
        <v>-55</v>
      </c>
      <c r="E185" s="895">
        <v>-55</v>
      </c>
      <c r="F185" s="895">
        <v>-55</v>
      </c>
      <c r="G185" s="895">
        <v>-55</v>
      </c>
      <c r="H185" s="895">
        <v>-54</v>
      </c>
      <c r="I185" s="895">
        <v>-55</v>
      </c>
      <c r="J185" s="895">
        <v>-55</v>
      </c>
      <c r="K185" s="895">
        <v>-55</v>
      </c>
      <c r="L185" s="895">
        <v>-55</v>
      </c>
      <c r="M185" s="895">
        <v>-55</v>
      </c>
      <c r="N185" s="895">
        <v>-54</v>
      </c>
      <c r="O185" s="142">
        <f t="shared" ref="O185:O199" si="61">SUM(C185:N185)</f>
        <v>-656</v>
      </c>
      <c r="P185" s="142"/>
      <c r="Q185" s="885"/>
      <c r="R185" s="890" t="s">
        <v>84</v>
      </c>
      <c r="S185" s="885"/>
      <c r="T185" s="142"/>
      <c r="U185" s="887">
        <f t="shared" ref="U185:U199" si="62">C185+D185+E185</f>
        <v>-163</v>
      </c>
      <c r="V185" s="887">
        <f t="shared" ref="V185:V199" si="63">F185+G185+H185</f>
        <v>-164</v>
      </c>
      <c r="W185" s="887">
        <f t="shared" ref="W185:W199" si="64">I185+J185+K185</f>
        <v>-165</v>
      </c>
      <c r="X185" s="887">
        <f t="shared" ref="X185:X199" si="65">L185+M185+N185</f>
        <v>-164</v>
      </c>
      <c r="Y185" s="888">
        <f t="shared" ref="Y185:Y199" si="66">SUM(U185:X185)</f>
        <v>-656</v>
      </c>
    </row>
    <row r="186" spans="1:25" x14ac:dyDescent="0.2">
      <c r="A186" s="884" t="s">
        <v>125</v>
      </c>
      <c r="C186" s="895">
        <v>0</v>
      </c>
      <c r="D186" s="895">
        <v>0</v>
      </c>
      <c r="E186" s="895">
        <v>0</v>
      </c>
      <c r="F186" s="895">
        <v>0</v>
      </c>
      <c r="G186" s="895">
        <v>0</v>
      </c>
      <c r="H186" s="895">
        <v>0</v>
      </c>
      <c r="I186" s="895">
        <v>0</v>
      </c>
      <c r="J186" s="895">
        <v>0</v>
      </c>
      <c r="K186" s="895">
        <v>0</v>
      </c>
      <c r="L186" s="895">
        <v>0</v>
      </c>
      <c r="M186" s="895">
        <v>0</v>
      </c>
      <c r="N186" s="895">
        <v>0</v>
      </c>
      <c r="O186" s="142">
        <f t="shared" si="61"/>
        <v>0</v>
      </c>
      <c r="P186" s="142"/>
      <c r="Q186" s="885"/>
      <c r="R186" s="890" t="s">
        <v>84</v>
      </c>
      <c r="S186" s="885"/>
      <c r="T186" s="142"/>
      <c r="U186" s="887">
        <f t="shared" si="62"/>
        <v>0</v>
      </c>
      <c r="V186" s="887">
        <f t="shared" si="63"/>
        <v>0</v>
      </c>
      <c r="W186" s="887">
        <f t="shared" si="64"/>
        <v>0</v>
      </c>
      <c r="X186" s="887">
        <f t="shared" si="65"/>
        <v>0</v>
      </c>
      <c r="Y186" s="888">
        <f t="shared" si="66"/>
        <v>0</v>
      </c>
    </row>
    <row r="187" spans="1:25" x14ac:dyDescent="0.2">
      <c r="A187" s="884" t="s">
        <v>126</v>
      </c>
      <c r="C187" s="895">
        <v>-49</v>
      </c>
      <c r="D187" s="895">
        <v>-51</v>
      </c>
      <c r="E187" s="895">
        <v>-49</v>
      </c>
      <c r="F187" s="895">
        <v>-49</v>
      </c>
      <c r="G187" s="895">
        <v>-49</v>
      </c>
      <c r="H187" s="895">
        <v>-49</v>
      </c>
      <c r="I187" s="895">
        <v>-49</v>
      </c>
      <c r="J187" s="895">
        <v>-49</v>
      </c>
      <c r="K187" s="895">
        <v>-49</v>
      </c>
      <c r="L187" s="895">
        <v>-49</v>
      </c>
      <c r="M187" s="895">
        <v>-49</v>
      </c>
      <c r="N187" s="895">
        <v>-49</v>
      </c>
      <c r="O187" s="142">
        <f t="shared" si="61"/>
        <v>-590</v>
      </c>
      <c r="P187" s="142"/>
      <c r="Q187" s="885"/>
      <c r="R187" s="890" t="s">
        <v>84</v>
      </c>
      <c r="S187" s="885"/>
      <c r="T187" s="142"/>
      <c r="U187" s="887">
        <f t="shared" si="62"/>
        <v>-149</v>
      </c>
      <c r="V187" s="887">
        <f t="shared" si="63"/>
        <v>-147</v>
      </c>
      <c r="W187" s="887">
        <f t="shared" si="64"/>
        <v>-147</v>
      </c>
      <c r="X187" s="887">
        <f t="shared" si="65"/>
        <v>-147</v>
      </c>
      <c r="Y187" s="888">
        <f t="shared" si="66"/>
        <v>-590</v>
      </c>
    </row>
    <row r="188" spans="1:25" x14ac:dyDescent="0.2">
      <c r="A188" s="884" t="s">
        <v>116</v>
      </c>
      <c r="C188" s="895">
        <v>-79</v>
      </c>
      <c r="D188" s="895">
        <v>-82</v>
      </c>
      <c r="E188" s="895">
        <v>-88</v>
      </c>
      <c r="F188" s="895">
        <v>-83</v>
      </c>
      <c r="G188" s="895">
        <v>-82</v>
      </c>
      <c r="H188" s="895">
        <v>-87</v>
      </c>
      <c r="I188" s="895">
        <v>-85</v>
      </c>
      <c r="J188" s="895">
        <v>-82</v>
      </c>
      <c r="K188" s="895">
        <v>-85</v>
      </c>
      <c r="L188" s="895">
        <v>-84</v>
      </c>
      <c r="M188" s="895">
        <v>-82</v>
      </c>
      <c r="N188" s="895">
        <v>-78</v>
      </c>
      <c r="O188" s="142">
        <f t="shared" si="61"/>
        <v>-997</v>
      </c>
      <c r="P188" s="142"/>
      <c r="Q188" s="885"/>
      <c r="R188" s="890" t="s">
        <v>84</v>
      </c>
      <c r="S188" s="885"/>
      <c r="T188" s="142"/>
      <c r="U188" s="887">
        <f t="shared" si="62"/>
        <v>-249</v>
      </c>
      <c r="V188" s="887">
        <f t="shared" si="63"/>
        <v>-252</v>
      </c>
      <c r="W188" s="887">
        <f t="shared" si="64"/>
        <v>-252</v>
      </c>
      <c r="X188" s="887">
        <f t="shared" si="65"/>
        <v>-244</v>
      </c>
      <c r="Y188" s="888">
        <f t="shared" si="66"/>
        <v>-997</v>
      </c>
    </row>
    <row r="189" spans="1:25" x14ac:dyDescent="0.2">
      <c r="A189" s="884" t="s">
        <v>835</v>
      </c>
      <c r="C189" s="895">
        <v>-5</v>
      </c>
      <c r="D189" s="895">
        <v>-5</v>
      </c>
      <c r="E189" s="895">
        <v>-5</v>
      </c>
      <c r="F189" s="895">
        <v>-5</v>
      </c>
      <c r="G189" s="895">
        <v>-5</v>
      </c>
      <c r="H189" s="895">
        <v>-6</v>
      </c>
      <c r="I189" s="895">
        <v>-5</v>
      </c>
      <c r="J189" s="895">
        <v>-5</v>
      </c>
      <c r="K189" s="895">
        <v>-5</v>
      </c>
      <c r="L189" s="895">
        <v>-5</v>
      </c>
      <c r="M189" s="895">
        <v>-5</v>
      </c>
      <c r="N189" s="895">
        <v>-6</v>
      </c>
      <c r="O189" s="142">
        <f t="shared" si="61"/>
        <v>-62</v>
      </c>
      <c r="P189" s="142"/>
      <c r="Q189" s="885"/>
      <c r="R189" s="890" t="s">
        <v>84</v>
      </c>
      <c r="S189" s="885"/>
      <c r="T189" s="142"/>
      <c r="U189" s="887">
        <f t="shared" si="62"/>
        <v>-15</v>
      </c>
      <c r="V189" s="887">
        <f t="shared" si="63"/>
        <v>-16</v>
      </c>
      <c r="W189" s="887">
        <f t="shared" si="64"/>
        <v>-15</v>
      </c>
      <c r="X189" s="887">
        <f t="shared" si="65"/>
        <v>-16</v>
      </c>
      <c r="Y189" s="888">
        <f t="shared" si="66"/>
        <v>-62</v>
      </c>
    </row>
    <row r="190" spans="1:25" x14ac:dyDescent="0.2">
      <c r="A190" s="884" t="s">
        <v>127</v>
      </c>
      <c r="C190" s="895">
        <v>0</v>
      </c>
      <c r="D190" s="895">
        <v>0</v>
      </c>
      <c r="E190" s="895">
        <v>0</v>
      </c>
      <c r="F190" s="895">
        <v>0</v>
      </c>
      <c r="G190" s="895">
        <v>0</v>
      </c>
      <c r="H190" s="895">
        <v>0</v>
      </c>
      <c r="I190" s="895">
        <v>0</v>
      </c>
      <c r="J190" s="895">
        <v>0</v>
      </c>
      <c r="K190" s="895">
        <v>0</v>
      </c>
      <c r="L190" s="895">
        <v>0</v>
      </c>
      <c r="M190" s="895">
        <v>0</v>
      </c>
      <c r="N190" s="895">
        <v>0</v>
      </c>
      <c r="O190" s="142">
        <f t="shared" si="61"/>
        <v>0</v>
      </c>
      <c r="P190" s="142"/>
      <c r="Q190" s="885"/>
      <c r="R190" s="890" t="s">
        <v>84</v>
      </c>
      <c r="S190" s="885"/>
      <c r="T190" s="142"/>
      <c r="U190" s="887">
        <f t="shared" si="62"/>
        <v>0</v>
      </c>
      <c r="V190" s="887">
        <f t="shared" si="63"/>
        <v>0</v>
      </c>
      <c r="W190" s="887">
        <f t="shared" si="64"/>
        <v>0</v>
      </c>
      <c r="X190" s="887">
        <f t="shared" si="65"/>
        <v>0</v>
      </c>
      <c r="Y190" s="888">
        <f t="shared" si="66"/>
        <v>0</v>
      </c>
    </row>
    <row r="191" spans="1:25" x14ac:dyDescent="0.2">
      <c r="A191" s="884" t="s">
        <v>128</v>
      </c>
      <c r="C191" s="895">
        <v>0</v>
      </c>
      <c r="D191" s="895">
        <v>0</v>
      </c>
      <c r="E191" s="895">
        <v>0</v>
      </c>
      <c r="F191" s="895">
        <v>0</v>
      </c>
      <c r="G191" s="895">
        <v>0</v>
      </c>
      <c r="H191" s="895">
        <v>0</v>
      </c>
      <c r="I191" s="895">
        <v>0</v>
      </c>
      <c r="J191" s="895">
        <v>0</v>
      </c>
      <c r="K191" s="895">
        <v>0</v>
      </c>
      <c r="L191" s="895">
        <v>0</v>
      </c>
      <c r="M191" s="895">
        <v>0</v>
      </c>
      <c r="N191" s="895">
        <v>0</v>
      </c>
      <c r="O191" s="142">
        <f t="shared" si="61"/>
        <v>0</v>
      </c>
      <c r="P191" s="142"/>
      <c r="Q191" s="885"/>
      <c r="R191" s="890" t="s">
        <v>84</v>
      </c>
      <c r="S191" s="885"/>
      <c r="T191" s="142"/>
      <c r="U191" s="887">
        <f t="shared" si="62"/>
        <v>0</v>
      </c>
      <c r="V191" s="887">
        <f t="shared" si="63"/>
        <v>0</v>
      </c>
      <c r="W191" s="887">
        <f t="shared" si="64"/>
        <v>0</v>
      </c>
      <c r="X191" s="887">
        <f t="shared" si="65"/>
        <v>0</v>
      </c>
      <c r="Y191" s="888">
        <f t="shared" si="66"/>
        <v>0</v>
      </c>
    </row>
    <row r="192" spans="1:25" x14ac:dyDescent="0.2">
      <c r="A192" s="884" t="s">
        <v>89</v>
      </c>
      <c r="C192" s="895">
        <v>-46</v>
      </c>
      <c r="D192" s="895">
        <v>-49</v>
      </c>
      <c r="E192" s="895">
        <v>-46</v>
      </c>
      <c r="F192" s="895">
        <v>-46</v>
      </c>
      <c r="G192" s="895">
        <v>-46</v>
      </c>
      <c r="H192" s="895">
        <v>-46</v>
      </c>
      <c r="I192" s="895">
        <v>-46</v>
      </c>
      <c r="J192" s="895">
        <v>-46</v>
      </c>
      <c r="K192" s="895">
        <v>-46</v>
      </c>
      <c r="L192" s="895">
        <v>-46</v>
      </c>
      <c r="M192" s="895">
        <v>-46</v>
      </c>
      <c r="N192" s="895">
        <v>-46</v>
      </c>
      <c r="O192" s="142">
        <f t="shared" si="61"/>
        <v>-555</v>
      </c>
      <c r="P192" s="142"/>
      <c r="Q192" s="885"/>
      <c r="R192" s="890" t="s">
        <v>84</v>
      </c>
      <c r="S192" s="885"/>
      <c r="T192" s="142"/>
      <c r="U192" s="887">
        <f t="shared" si="62"/>
        <v>-141</v>
      </c>
      <c r="V192" s="887">
        <f t="shared" si="63"/>
        <v>-138</v>
      </c>
      <c r="W192" s="887">
        <f t="shared" si="64"/>
        <v>-138</v>
      </c>
      <c r="X192" s="887">
        <f t="shared" si="65"/>
        <v>-138</v>
      </c>
      <c r="Y192" s="888">
        <f t="shared" si="66"/>
        <v>-555</v>
      </c>
    </row>
    <row r="193" spans="1:25" x14ac:dyDescent="0.2">
      <c r="A193" s="884" t="s">
        <v>129</v>
      </c>
      <c r="C193" s="895">
        <v>42</v>
      </c>
      <c r="D193" s="895">
        <v>42</v>
      </c>
      <c r="E193" s="895">
        <v>41</v>
      </c>
      <c r="F193" s="895">
        <v>42</v>
      </c>
      <c r="G193" s="895">
        <v>42</v>
      </c>
      <c r="H193" s="895">
        <v>41</v>
      </c>
      <c r="I193" s="895">
        <v>42</v>
      </c>
      <c r="J193" s="895">
        <v>42</v>
      </c>
      <c r="K193" s="895">
        <v>41</v>
      </c>
      <c r="L193" s="895">
        <v>42</v>
      </c>
      <c r="M193" s="895">
        <v>42</v>
      </c>
      <c r="N193" s="895">
        <v>41</v>
      </c>
      <c r="O193" s="142">
        <f t="shared" si="61"/>
        <v>500</v>
      </c>
      <c r="P193" s="142"/>
      <c r="Q193" s="885"/>
      <c r="R193" s="890" t="s">
        <v>84</v>
      </c>
      <c r="S193" s="885"/>
      <c r="T193" s="142"/>
      <c r="U193" s="887">
        <f t="shared" si="62"/>
        <v>125</v>
      </c>
      <c r="V193" s="887">
        <f t="shared" si="63"/>
        <v>125</v>
      </c>
      <c r="W193" s="887">
        <f t="shared" si="64"/>
        <v>125</v>
      </c>
      <c r="X193" s="887">
        <f t="shared" si="65"/>
        <v>125</v>
      </c>
      <c r="Y193" s="888">
        <f t="shared" si="66"/>
        <v>500</v>
      </c>
    </row>
    <row r="194" spans="1:25" x14ac:dyDescent="0.2">
      <c r="A194" s="884" t="s">
        <v>133</v>
      </c>
      <c r="C194" s="895">
        <v>-92</v>
      </c>
      <c r="D194" s="895">
        <v>-92</v>
      </c>
      <c r="E194" s="895">
        <v>-91</v>
      </c>
      <c r="F194" s="895">
        <v>-92</v>
      </c>
      <c r="G194" s="895">
        <v>-92</v>
      </c>
      <c r="H194" s="895">
        <v>-91</v>
      </c>
      <c r="I194" s="895">
        <v>-92</v>
      </c>
      <c r="J194" s="895">
        <v>-92</v>
      </c>
      <c r="K194" s="895">
        <v>-91</v>
      </c>
      <c r="L194" s="895">
        <v>-92</v>
      </c>
      <c r="M194" s="895">
        <v>-92</v>
      </c>
      <c r="N194" s="895">
        <v>-91</v>
      </c>
      <c r="O194" s="142">
        <f t="shared" si="61"/>
        <v>-1100</v>
      </c>
      <c r="P194" s="142"/>
      <c r="Q194" s="885"/>
      <c r="R194" s="890" t="s">
        <v>84</v>
      </c>
      <c r="S194" s="885"/>
      <c r="T194" s="142"/>
      <c r="U194" s="887">
        <f t="shared" si="62"/>
        <v>-275</v>
      </c>
      <c r="V194" s="887">
        <f t="shared" si="63"/>
        <v>-275</v>
      </c>
      <c r="W194" s="887">
        <f t="shared" si="64"/>
        <v>-275</v>
      </c>
      <c r="X194" s="887">
        <f t="shared" si="65"/>
        <v>-275</v>
      </c>
      <c r="Y194" s="888">
        <f t="shared" si="66"/>
        <v>-1100</v>
      </c>
    </row>
    <row r="195" spans="1:25" x14ac:dyDescent="0.2">
      <c r="A195" s="884" t="s">
        <v>134</v>
      </c>
      <c r="C195" s="895">
        <v>0</v>
      </c>
      <c r="D195" s="895">
        <v>0</v>
      </c>
      <c r="E195" s="895">
        <v>0</v>
      </c>
      <c r="F195" s="895">
        <v>0</v>
      </c>
      <c r="G195" s="895">
        <v>0</v>
      </c>
      <c r="H195" s="895">
        <v>0</v>
      </c>
      <c r="I195" s="895">
        <v>0</v>
      </c>
      <c r="J195" s="895">
        <v>0</v>
      </c>
      <c r="K195" s="895">
        <v>0</v>
      </c>
      <c r="L195" s="895">
        <v>0</v>
      </c>
      <c r="M195" s="895">
        <v>0</v>
      </c>
      <c r="N195" s="895">
        <v>0</v>
      </c>
      <c r="O195" s="142">
        <f t="shared" si="61"/>
        <v>0</v>
      </c>
      <c r="P195" s="142"/>
      <c r="Q195" s="885"/>
      <c r="R195" s="890" t="s">
        <v>84</v>
      </c>
      <c r="S195" s="885"/>
      <c r="T195" s="142"/>
      <c r="U195" s="887">
        <f t="shared" si="62"/>
        <v>0</v>
      </c>
      <c r="V195" s="887">
        <f t="shared" si="63"/>
        <v>0</v>
      </c>
      <c r="W195" s="887">
        <f t="shared" si="64"/>
        <v>0</v>
      </c>
      <c r="X195" s="887">
        <f t="shared" si="65"/>
        <v>0</v>
      </c>
      <c r="Y195" s="888">
        <f t="shared" si="66"/>
        <v>0</v>
      </c>
    </row>
    <row r="196" spans="1:25" x14ac:dyDescent="0.2">
      <c r="A196" s="884" t="s">
        <v>135</v>
      </c>
      <c r="C196" s="895">
        <v>-2</v>
      </c>
      <c r="D196" s="895">
        <v>-2</v>
      </c>
      <c r="E196" s="895">
        <v>-7</v>
      </c>
      <c r="F196" s="895">
        <v>-2</v>
      </c>
      <c r="G196" s="895">
        <v>-2</v>
      </c>
      <c r="H196" s="895">
        <v>-8</v>
      </c>
      <c r="I196" s="895">
        <v>-2</v>
      </c>
      <c r="J196" s="895">
        <v>-2</v>
      </c>
      <c r="K196" s="895">
        <v>-7</v>
      </c>
      <c r="L196" s="895">
        <v>-2</v>
      </c>
      <c r="M196" s="895">
        <v>-2</v>
      </c>
      <c r="N196" s="895">
        <v>-8</v>
      </c>
      <c r="O196" s="142">
        <f t="shared" si="61"/>
        <v>-46</v>
      </c>
      <c r="P196" s="142"/>
      <c r="Q196" s="885"/>
      <c r="R196" s="890" t="s">
        <v>84</v>
      </c>
      <c r="S196" s="885"/>
      <c r="T196" s="142"/>
      <c r="U196" s="887">
        <f t="shared" si="62"/>
        <v>-11</v>
      </c>
      <c r="V196" s="887">
        <f t="shared" si="63"/>
        <v>-12</v>
      </c>
      <c r="W196" s="887">
        <f t="shared" si="64"/>
        <v>-11</v>
      </c>
      <c r="X196" s="887">
        <f t="shared" si="65"/>
        <v>-12</v>
      </c>
      <c r="Y196" s="888">
        <f t="shared" si="66"/>
        <v>-46</v>
      </c>
    </row>
    <row r="197" spans="1:25" x14ac:dyDescent="0.2">
      <c r="A197" s="942" t="s">
        <v>136</v>
      </c>
      <c r="C197" s="895">
        <v>-76</v>
      </c>
      <c r="D197" s="895">
        <v>-76</v>
      </c>
      <c r="E197" s="895">
        <v>-76</v>
      </c>
      <c r="F197" s="895">
        <v>-76</v>
      </c>
      <c r="G197" s="895">
        <v>-76</v>
      </c>
      <c r="H197" s="895">
        <v>-77</v>
      </c>
      <c r="I197" s="895">
        <v>-76</v>
      </c>
      <c r="J197" s="895">
        <v>-76</v>
      </c>
      <c r="K197" s="895">
        <v>-76</v>
      </c>
      <c r="L197" s="895">
        <v>-76</v>
      </c>
      <c r="M197" s="895">
        <v>-76</v>
      </c>
      <c r="N197" s="895">
        <v>-77</v>
      </c>
      <c r="O197" s="142">
        <f t="shared" si="61"/>
        <v>-914</v>
      </c>
      <c r="P197" s="142"/>
      <c r="Q197" s="885"/>
      <c r="R197" s="890" t="s">
        <v>84</v>
      </c>
      <c r="S197" s="885"/>
      <c r="T197" s="142"/>
      <c r="U197" s="887">
        <f t="shared" si="62"/>
        <v>-228</v>
      </c>
      <c r="V197" s="887">
        <f t="shared" si="63"/>
        <v>-229</v>
      </c>
      <c r="W197" s="887">
        <f t="shared" si="64"/>
        <v>-228</v>
      </c>
      <c r="X197" s="887">
        <f t="shared" si="65"/>
        <v>-229</v>
      </c>
      <c r="Y197" s="888">
        <f t="shared" si="66"/>
        <v>-914</v>
      </c>
    </row>
    <row r="198" spans="1:25" x14ac:dyDescent="0.2">
      <c r="A198" s="884" t="s">
        <v>137</v>
      </c>
      <c r="C198" s="895">
        <v>-109</v>
      </c>
      <c r="D198" s="895">
        <v>-109</v>
      </c>
      <c r="E198" s="895">
        <v>-109</v>
      </c>
      <c r="F198" s="895">
        <v>-109</v>
      </c>
      <c r="G198" s="895">
        <v>-109</v>
      </c>
      <c r="H198" s="895">
        <v>-108</v>
      </c>
      <c r="I198" s="895">
        <v>-109</v>
      </c>
      <c r="J198" s="895">
        <v>-109</v>
      </c>
      <c r="K198" s="895">
        <v>-109</v>
      </c>
      <c r="L198" s="895">
        <v>-109</v>
      </c>
      <c r="M198" s="895">
        <v>-109</v>
      </c>
      <c r="N198" s="895">
        <v>-108</v>
      </c>
      <c r="O198" s="142">
        <f t="shared" si="61"/>
        <v>-1306</v>
      </c>
      <c r="P198" s="142"/>
      <c r="Q198" s="885"/>
      <c r="R198" s="890" t="s">
        <v>84</v>
      </c>
      <c r="S198" s="885"/>
      <c r="T198" s="142"/>
      <c r="U198" s="887">
        <f t="shared" si="62"/>
        <v>-327</v>
      </c>
      <c r="V198" s="887">
        <f t="shared" si="63"/>
        <v>-326</v>
      </c>
      <c r="W198" s="887">
        <f t="shared" si="64"/>
        <v>-327</v>
      </c>
      <c r="X198" s="887">
        <f t="shared" si="65"/>
        <v>-326</v>
      </c>
      <c r="Y198" s="888">
        <f t="shared" si="66"/>
        <v>-1306</v>
      </c>
    </row>
    <row r="199" spans="1:25" x14ac:dyDescent="0.2">
      <c r="A199" s="884" t="s">
        <v>138</v>
      </c>
      <c r="C199" s="907">
        <v>0</v>
      </c>
      <c r="D199" s="907">
        <v>0</v>
      </c>
      <c r="E199" s="907">
        <v>0</v>
      </c>
      <c r="F199" s="907">
        <v>0</v>
      </c>
      <c r="G199" s="907">
        <v>0</v>
      </c>
      <c r="H199" s="907">
        <v>0</v>
      </c>
      <c r="I199" s="907">
        <v>0</v>
      </c>
      <c r="J199" s="907">
        <v>0</v>
      </c>
      <c r="K199" s="907">
        <v>0</v>
      </c>
      <c r="L199" s="907">
        <v>0</v>
      </c>
      <c r="M199" s="907">
        <v>0</v>
      </c>
      <c r="N199" s="907">
        <v>0</v>
      </c>
      <c r="O199" s="143">
        <f t="shared" si="61"/>
        <v>0</v>
      </c>
      <c r="P199" s="142"/>
      <c r="Q199" s="885"/>
      <c r="R199" s="890" t="s">
        <v>84</v>
      </c>
      <c r="S199" s="885"/>
      <c r="T199" s="142"/>
      <c r="U199" s="892">
        <f t="shared" si="62"/>
        <v>0</v>
      </c>
      <c r="V199" s="892">
        <f t="shared" si="63"/>
        <v>0</v>
      </c>
      <c r="W199" s="892">
        <f t="shared" si="64"/>
        <v>0</v>
      </c>
      <c r="X199" s="892">
        <f t="shared" si="65"/>
        <v>0</v>
      </c>
      <c r="Y199" s="893">
        <f t="shared" si="66"/>
        <v>0</v>
      </c>
    </row>
    <row r="200" spans="1:25" x14ac:dyDescent="0.2">
      <c r="A200" s="884" t="s">
        <v>91</v>
      </c>
      <c r="C200" s="891">
        <f t="shared" ref="C200:O200" si="67">SUM(C185:C199)</f>
        <v>-469</v>
      </c>
      <c r="D200" s="891">
        <f t="shared" si="67"/>
        <v>-479</v>
      </c>
      <c r="E200" s="891">
        <f t="shared" si="67"/>
        <v>-485</v>
      </c>
      <c r="F200" s="891">
        <f t="shared" si="67"/>
        <v>-475</v>
      </c>
      <c r="G200" s="891">
        <f t="shared" si="67"/>
        <v>-474</v>
      </c>
      <c r="H200" s="891">
        <f t="shared" si="67"/>
        <v>-485</v>
      </c>
      <c r="I200" s="891">
        <f t="shared" si="67"/>
        <v>-477</v>
      </c>
      <c r="J200" s="891">
        <f t="shared" si="67"/>
        <v>-474</v>
      </c>
      <c r="K200" s="891">
        <f t="shared" si="67"/>
        <v>-482</v>
      </c>
      <c r="L200" s="891">
        <f t="shared" si="67"/>
        <v>-476</v>
      </c>
      <c r="M200" s="891">
        <f t="shared" si="67"/>
        <v>-474</v>
      </c>
      <c r="N200" s="891">
        <f t="shared" si="67"/>
        <v>-476</v>
      </c>
      <c r="O200" s="891">
        <f t="shared" si="67"/>
        <v>-5726</v>
      </c>
      <c r="P200" s="891"/>
      <c r="Q200" s="885"/>
      <c r="R200" s="890"/>
      <c r="S200" s="885"/>
      <c r="T200" s="891"/>
      <c r="U200" s="891">
        <f>SUM(U185:U199)</f>
        <v>-1433</v>
      </c>
      <c r="V200" s="891">
        <f>SUM(V185:V199)</f>
        <v>-1434</v>
      </c>
      <c r="W200" s="891">
        <f>SUM(W185:W199)</f>
        <v>-1433</v>
      </c>
      <c r="X200" s="891">
        <f>SUM(X185:X199)</f>
        <v>-1426</v>
      </c>
      <c r="Y200" s="891">
        <f>SUM(Y185:Y199)</f>
        <v>-5726</v>
      </c>
    </row>
    <row r="201" spans="1:25" ht="3.95" customHeight="1" x14ac:dyDescent="0.2">
      <c r="A201" s="884"/>
      <c r="C201" s="888"/>
      <c r="D201" s="888"/>
      <c r="E201" s="888"/>
      <c r="F201" s="888"/>
      <c r="G201" s="888"/>
      <c r="H201" s="888"/>
      <c r="I201" s="888"/>
      <c r="J201" s="888"/>
      <c r="K201" s="888"/>
      <c r="L201" s="888"/>
      <c r="M201" s="888"/>
      <c r="N201" s="888"/>
      <c r="O201" s="887"/>
      <c r="P201" s="887"/>
      <c r="Q201" s="885"/>
      <c r="R201" s="890"/>
      <c r="S201" s="885"/>
      <c r="T201" s="887"/>
      <c r="U201" s="887"/>
      <c r="V201" s="887"/>
      <c r="W201" s="887"/>
      <c r="X201" s="887"/>
      <c r="Y201" s="888"/>
    </row>
    <row r="202" spans="1:25" x14ac:dyDescent="0.2">
      <c r="A202" s="884" t="s">
        <v>139</v>
      </c>
      <c r="C202" s="895">
        <v>-188</v>
      </c>
      <c r="D202" s="895">
        <v>-188</v>
      </c>
      <c r="E202" s="895">
        <v>-188</v>
      </c>
      <c r="F202" s="895">
        <v>-188</v>
      </c>
      <c r="G202" s="895">
        <v>-188</v>
      </c>
      <c r="H202" s="895">
        <v>-188</v>
      </c>
      <c r="I202" s="895">
        <v>-188</v>
      </c>
      <c r="J202" s="895">
        <v>-188</v>
      </c>
      <c r="K202" s="895">
        <v>-188</v>
      </c>
      <c r="L202" s="895">
        <v>-188</v>
      </c>
      <c r="M202" s="895">
        <v>-188</v>
      </c>
      <c r="N202" s="895">
        <v>-188</v>
      </c>
      <c r="O202" s="142">
        <f>SUM(C202:N202)</f>
        <v>-2256</v>
      </c>
      <c r="P202" s="142"/>
      <c r="Q202" s="885"/>
      <c r="R202" s="890" t="s">
        <v>84</v>
      </c>
      <c r="S202" s="885"/>
      <c r="T202" s="142"/>
      <c r="U202" s="887">
        <f>C202+D202+E202</f>
        <v>-564</v>
      </c>
      <c r="V202" s="887">
        <f>F202+G202+H202</f>
        <v>-564</v>
      </c>
      <c r="W202" s="887">
        <f>I202+J202+K202</f>
        <v>-564</v>
      </c>
      <c r="X202" s="887">
        <f>L202+M202+N202</f>
        <v>-564</v>
      </c>
      <c r="Y202" s="888">
        <f>SUM(U202:X202)</f>
        <v>-2256</v>
      </c>
    </row>
    <row r="203" spans="1:25" x14ac:dyDescent="0.2">
      <c r="A203" s="884" t="s">
        <v>140</v>
      </c>
      <c r="C203" s="895">
        <v>-392</v>
      </c>
      <c r="D203" s="895">
        <v>-392</v>
      </c>
      <c r="E203" s="895">
        <v>-393</v>
      </c>
      <c r="F203" s="895">
        <v>-392</v>
      </c>
      <c r="G203" s="895">
        <v>-392</v>
      </c>
      <c r="H203" s="895">
        <v>-393</v>
      </c>
      <c r="I203" s="895">
        <v>-392</v>
      </c>
      <c r="J203" s="895">
        <v>-392</v>
      </c>
      <c r="K203" s="895">
        <v>-393</v>
      </c>
      <c r="L203" s="895">
        <v>-392</v>
      </c>
      <c r="M203" s="895">
        <v>-392</v>
      </c>
      <c r="N203" s="895">
        <v>-393</v>
      </c>
      <c r="O203" s="142">
        <f>SUM(C203:N203)</f>
        <v>-4708</v>
      </c>
      <c r="P203" s="142"/>
      <c r="Q203" s="885"/>
      <c r="R203" s="890" t="s">
        <v>84</v>
      </c>
      <c r="S203" s="885"/>
      <c r="T203" s="142"/>
      <c r="U203" s="887">
        <f>C203+D203+E203</f>
        <v>-1177</v>
      </c>
      <c r="V203" s="887">
        <f>F203+G203+H203</f>
        <v>-1177</v>
      </c>
      <c r="W203" s="887">
        <f>I203+J203+K203</f>
        <v>-1177</v>
      </c>
      <c r="X203" s="887">
        <f>L203+M203+N203</f>
        <v>-1177</v>
      </c>
      <c r="Y203" s="888">
        <f>SUM(U203:X203)</f>
        <v>-4708</v>
      </c>
    </row>
    <row r="204" spans="1:25" s="898" customFormat="1" ht="12.75" customHeight="1" x14ac:dyDescent="0.2">
      <c r="A204" s="894" t="s">
        <v>141</v>
      </c>
      <c r="C204" s="864">
        <v>0</v>
      </c>
      <c r="D204" s="864">
        <v>0</v>
      </c>
      <c r="E204" s="864">
        <v>0</v>
      </c>
      <c r="F204" s="864">
        <v>0</v>
      </c>
      <c r="G204" s="864">
        <v>0</v>
      </c>
      <c r="H204" s="864">
        <v>0</v>
      </c>
      <c r="I204" s="864">
        <v>0</v>
      </c>
      <c r="J204" s="864">
        <v>0</v>
      </c>
      <c r="K204" s="864">
        <v>0</v>
      </c>
      <c r="L204" s="864">
        <v>0</v>
      </c>
      <c r="M204" s="864">
        <v>0</v>
      </c>
      <c r="N204" s="864">
        <v>0</v>
      </c>
      <c r="O204" s="143">
        <f>SUM(C204:N204)</f>
        <v>0</v>
      </c>
      <c r="P204" s="143"/>
      <c r="Q204" s="908"/>
      <c r="R204" s="890" t="s">
        <v>84</v>
      </c>
      <c r="S204" s="908"/>
      <c r="T204" s="143"/>
      <c r="U204" s="943">
        <f>C204+D204+E204</f>
        <v>0</v>
      </c>
      <c r="V204" s="943">
        <f>F204+G204+H204</f>
        <v>0</v>
      </c>
      <c r="W204" s="943">
        <f>I204+J204+K204</f>
        <v>0</v>
      </c>
      <c r="X204" s="943">
        <f>L204+M204+N204</f>
        <v>0</v>
      </c>
      <c r="Y204" s="893">
        <f>SUM(U204:X204)</f>
        <v>0</v>
      </c>
    </row>
    <row r="205" spans="1:25" s="898" customFormat="1" ht="12.75" customHeight="1" x14ac:dyDescent="0.2">
      <c r="A205" s="894" t="s">
        <v>142</v>
      </c>
      <c r="C205" s="891">
        <f t="shared" ref="C205:O205" si="68">SUM(C202:C204)</f>
        <v>-580</v>
      </c>
      <c r="D205" s="891">
        <f t="shared" si="68"/>
        <v>-580</v>
      </c>
      <c r="E205" s="891">
        <f t="shared" si="68"/>
        <v>-581</v>
      </c>
      <c r="F205" s="891">
        <f t="shared" si="68"/>
        <v>-580</v>
      </c>
      <c r="G205" s="891">
        <f t="shared" si="68"/>
        <v>-580</v>
      </c>
      <c r="H205" s="891">
        <f t="shared" si="68"/>
        <v>-581</v>
      </c>
      <c r="I205" s="891">
        <f t="shared" si="68"/>
        <v>-580</v>
      </c>
      <c r="J205" s="891">
        <f t="shared" si="68"/>
        <v>-580</v>
      </c>
      <c r="K205" s="891">
        <f t="shared" si="68"/>
        <v>-581</v>
      </c>
      <c r="L205" s="891">
        <f t="shared" si="68"/>
        <v>-580</v>
      </c>
      <c r="M205" s="891">
        <f t="shared" si="68"/>
        <v>-580</v>
      </c>
      <c r="N205" s="891">
        <f t="shared" si="68"/>
        <v>-581</v>
      </c>
      <c r="O205" s="891">
        <f t="shared" si="68"/>
        <v>-6964</v>
      </c>
      <c r="P205" s="891"/>
      <c r="Q205" s="908"/>
      <c r="R205" s="904"/>
      <c r="S205" s="908"/>
      <c r="T205" s="891"/>
      <c r="U205" s="891">
        <f>SUM(U202:U204)</f>
        <v>-1741</v>
      </c>
      <c r="V205" s="891">
        <f>SUM(V202:V204)</f>
        <v>-1741</v>
      </c>
      <c r="W205" s="891">
        <f>SUM(W202:W204)</f>
        <v>-1741</v>
      </c>
      <c r="X205" s="891">
        <f>SUM(X202:X204)</f>
        <v>-1741</v>
      </c>
      <c r="Y205" s="891">
        <f>SUM(Y202:Y204)</f>
        <v>-6964</v>
      </c>
    </row>
    <row r="206" spans="1:25" s="898" customFormat="1" ht="3.95" customHeight="1" x14ac:dyDescent="0.2">
      <c r="A206" s="913"/>
      <c r="C206" s="904"/>
      <c r="D206" s="904"/>
      <c r="E206" s="904"/>
      <c r="F206" s="904"/>
      <c r="G206" s="904"/>
      <c r="H206" s="904"/>
      <c r="I206" s="904"/>
      <c r="J206" s="904"/>
      <c r="K206" s="904"/>
      <c r="L206" s="904"/>
      <c r="M206" s="904"/>
      <c r="N206" s="904"/>
      <c r="O206" s="902"/>
      <c r="P206" s="902"/>
      <c r="Q206" s="908"/>
      <c r="R206" s="904"/>
      <c r="S206" s="908"/>
      <c r="T206" s="902"/>
      <c r="U206" s="902"/>
      <c r="V206" s="902"/>
      <c r="W206" s="902"/>
      <c r="X206" s="902"/>
      <c r="Y206" s="904"/>
    </row>
    <row r="207" spans="1:25" s="898" customFormat="1" ht="12.75" customHeight="1" x14ac:dyDescent="0.2">
      <c r="A207" s="894" t="s">
        <v>143</v>
      </c>
      <c r="C207" s="864">
        <v>0</v>
      </c>
      <c r="D207" s="864">
        <v>0</v>
      </c>
      <c r="E207" s="864">
        <v>0</v>
      </c>
      <c r="F207" s="864">
        <v>0</v>
      </c>
      <c r="G207" s="864">
        <v>0</v>
      </c>
      <c r="H207" s="864">
        <v>0</v>
      </c>
      <c r="I207" s="864">
        <v>0</v>
      </c>
      <c r="J207" s="864">
        <v>0</v>
      </c>
      <c r="K207" s="864">
        <v>0</v>
      </c>
      <c r="L207" s="864">
        <v>0</v>
      </c>
      <c r="M207" s="864">
        <v>0</v>
      </c>
      <c r="N207" s="864">
        <v>0</v>
      </c>
      <c r="O207" s="943">
        <f>C207+D207+E207+F207+G207+H207+I207+J207+K207+L207+M207+N207</f>
        <v>0</v>
      </c>
      <c r="P207" s="943"/>
      <c r="Q207" s="908"/>
      <c r="R207" s="890" t="s">
        <v>84</v>
      </c>
      <c r="S207" s="908"/>
      <c r="T207" s="943"/>
      <c r="U207" s="943">
        <f>C207+D207+E207</f>
        <v>0</v>
      </c>
      <c r="V207" s="943">
        <f>F207+G207+H207</f>
        <v>0</v>
      </c>
      <c r="W207" s="943">
        <f>I207+J207+K207</f>
        <v>0</v>
      </c>
      <c r="X207" s="943">
        <f>L207+M207+N207</f>
        <v>0</v>
      </c>
      <c r="Y207" s="891">
        <f>SUM(U207:X207)</f>
        <v>0</v>
      </c>
    </row>
    <row r="208" spans="1:25" ht="3.95" customHeight="1" x14ac:dyDescent="0.2">
      <c r="A208" s="884"/>
      <c r="C208" s="888"/>
      <c r="D208" s="888"/>
      <c r="E208" s="888"/>
      <c r="F208" s="888"/>
      <c r="G208" s="888"/>
      <c r="H208" s="888"/>
      <c r="I208" s="888"/>
      <c r="J208" s="888"/>
      <c r="K208" s="888"/>
      <c r="L208" s="888"/>
      <c r="M208" s="888"/>
      <c r="N208" s="888"/>
      <c r="O208" s="887"/>
      <c r="P208" s="887"/>
      <c r="Q208" s="885"/>
      <c r="R208" s="890"/>
      <c r="S208" s="885"/>
      <c r="T208" s="887"/>
      <c r="U208" s="887"/>
      <c r="V208" s="887"/>
      <c r="W208" s="887"/>
      <c r="X208" s="887"/>
      <c r="Y208" s="888"/>
    </row>
    <row r="209" spans="1:25" x14ac:dyDescent="0.2">
      <c r="A209" s="894" t="s">
        <v>144</v>
      </c>
      <c r="C209" s="893">
        <f t="shared" ref="C209:O209" si="69">+C200+C205+C207</f>
        <v>-1049</v>
      </c>
      <c r="D209" s="893">
        <f t="shared" si="69"/>
        <v>-1059</v>
      </c>
      <c r="E209" s="893">
        <f t="shared" si="69"/>
        <v>-1066</v>
      </c>
      <c r="F209" s="893">
        <f t="shared" si="69"/>
        <v>-1055</v>
      </c>
      <c r="G209" s="893">
        <f t="shared" si="69"/>
        <v>-1054</v>
      </c>
      <c r="H209" s="893">
        <f t="shared" si="69"/>
        <v>-1066</v>
      </c>
      <c r="I209" s="893">
        <f t="shared" si="69"/>
        <v>-1057</v>
      </c>
      <c r="J209" s="893">
        <f t="shared" si="69"/>
        <v>-1054</v>
      </c>
      <c r="K209" s="893">
        <f t="shared" si="69"/>
        <v>-1063</v>
      </c>
      <c r="L209" s="893">
        <f t="shared" si="69"/>
        <v>-1056</v>
      </c>
      <c r="M209" s="893">
        <f t="shared" si="69"/>
        <v>-1054</v>
      </c>
      <c r="N209" s="893">
        <f t="shared" si="69"/>
        <v>-1057</v>
      </c>
      <c r="O209" s="893">
        <f t="shared" si="69"/>
        <v>-12690</v>
      </c>
      <c r="P209" s="893"/>
      <c r="Q209" s="885"/>
      <c r="R209" s="890"/>
      <c r="S209" s="885"/>
      <c r="T209" s="893"/>
      <c r="U209" s="893">
        <f>+U200+U205+U207</f>
        <v>-3174</v>
      </c>
      <c r="V209" s="893">
        <f>+V200+V205+V207</f>
        <v>-3175</v>
      </c>
      <c r="W209" s="893">
        <f>+W200+W205+W207</f>
        <v>-3174</v>
      </c>
      <c r="X209" s="893">
        <f>+X200+X205+X207</f>
        <v>-3167</v>
      </c>
      <c r="Y209" s="893">
        <f>+Y200+Y205+Y207</f>
        <v>-12690</v>
      </c>
    </row>
    <row r="210" spans="1:25" ht="6" customHeight="1" x14ac:dyDescent="0.2">
      <c r="A210" s="884"/>
      <c r="C210" s="888"/>
      <c r="D210" s="888"/>
      <c r="E210" s="888"/>
      <c r="F210" s="888"/>
      <c r="G210" s="888"/>
      <c r="H210" s="888"/>
      <c r="I210" s="888"/>
      <c r="J210" s="888"/>
      <c r="K210" s="888"/>
      <c r="L210" s="888"/>
      <c r="M210" s="888"/>
      <c r="N210" s="888"/>
      <c r="O210" s="887"/>
      <c r="P210" s="887"/>
      <c r="Q210" s="885"/>
      <c r="R210" s="890"/>
      <c r="S210" s="885"/>
      <c r="T210" s="887"/>
      <c r="U210" s="887"/>
      <c r="V210" s="887"/>
      <c r="W210" s="887"/>
      <c r="X210" s="887"/>
      <c r="Y210" s="888"/>
    </row>
    <row r="211" spans="1:25" ht="12.75" customHeight="1" x14ac:dyDescent="0.2">
      <c r="A211" s="884" t="s">
        <v>145</v>
      </c>
      <c r="C211" s="128">
        <v>-1133</v>
      </c>
      <c r="D211" s="128">
        <v>-1136</v>
      </c>
      <c r="E211" s="128">
        <v>-1136</v>
      </c>
      <c r="F211" s="128">
        <v>-1136</v>
      </c>
      <c r="G211" s="128">
        <v>-1136</v>
      </c>
      <c r="H211" s="128">
        <v>-1138</v>
      </c>
      <c r="I211" s="128">
        <v>-1142</v>
      </c>
      <c r="J211" s="128">
        <v>-1142</v>
      </c>
      <c r="K211" s="128">
        <v>-1161</v>
      </c>
      <c r="L211" s="128">
        <v>-1161</v>
      </c>
      <c r="M211" s="128">
        <v>-1164</v>
      </c>
      <c r="N211" s="128">
        <v>-1168</v>
      </c>
      <c r="O211" s="129">
        <f t="shared" ref="O211:O220" si="70">SUM(C211:N211)</f>
        <v>-13753</v>
      </c>
      <c r="P211" s="129"/>
      <c r="Q211" s="885"/>
      <c r="R211" s="886" t="s">
        <v>92</v>
      </c>
      <c r="S211" s="885"/>
      <c r="T211" s="129"/>
      <c r="U211" s="887">
        <f t="shared" ref="U211:U220" si="71">C211+D211+E211</f>
        <v>-3405</v>
      </c>
      <c r="V211" s="887">
        <f t="shared" ref="V211:V220" si="72">F211+G211+H211</f>
        <v>-3410</v>
      </c>
      <c r="W211" s="887">
        <f t="shared" ref="W211:W220" si="73">I211+J211+K211</f>
        <v>-3445</v>
      </c>
      <c r="X211" s="887">
        <f t="shared" ref="X211:X220" si="74">L211+M211+N211</f>
        <v>-3493</v>
      </c>
      <c r="Y211" s="888">
        <f t="shared" ref="Y211:Y220" si="75">SUM(U211:X211)</f>
        <v>-13753</v>
      </c>
    </row>
    <row r="212" spans="1:25" ht="12.75" customHeight="1" x14ac:dyDescent="0.2">
      <c r="A212" s="884" t="s">
        <v>843</v>
      </c>
      <c r="C212" s="895">
        <v>0</v>
      </c>
      <c r="D212" s="895">
        <v>0</v>
      </c>
      <c r="E212" s="895">
        <v>0</v>
      </c>
      <c r="F212" s="895">
        <v>0</v>
      </c>
      <c r="G212" s="895">
        <v>0</v>
      </c>
      <c r="H212" s="895">
        <v>0</v>
      </c>
      <c r="I212" s="895">
        <v>0</v>
      </c>
      <c r="J212" s="895">
        <v>0</v>
      </c>
      <c r="K212" s="895">
        <v>0</v>
      </c>
      <c r="L212" s="895">
        <v>0</v>
      </c>
      <c r="M212" s="895">
        <v>0</v>
      </c>
      <c r="N212" s="895">
        <v>0</v>
      </c>
      <c r="O212" s="129">
        <f t="shared" si="70"/>
        <v>0</v>
      </c>
      <c r="P212" s="129"/>
      <c r="Q212" s="885"/>
      <c r="R212" s="886" t="s">
        <v>92</v>
      </c>
      <c r="S212" s="885"/>
      <c r="T212" s="129"/>
      <c r="U212" s="887">
        <f t="shared" si="71"/>
        <v>0</v>
      </c>
      <c r="V212" s="887">
        <f t="shared" si="72"/>
        <v>0</v>
      </c>
      <c r="W212" s="887">
        <f t="shared" si="73"/>
        <v>0</v>
      </c>
      <c r="X212" s="887">
        <f t="shared" si="74"/>
        <v>0</v>
      </c>
      <c r="Y212" s="888">
        <f t="shared" si="75"/>
        <v>0</v>
      </c>
    </row>
    <row r="213" spans="1:25" ht="12.75" customHeight="1" x14ac:dyDescent="0.2">
      <c r="A213" s="884" t="s">
        <v>844</v>
      </c>
      <c r="C213" s="895">
        <v>-50</v>
      </c>
      <c r="D213" s="895">
        <v>-50</v>
      </c>
      <c r="E213" s="895">
        <v>-50</v>
      </c>
      <c r="F213" s="895">
        <v>-50</v>
      </c>
      <c r="G213" s="895">
        <v>-50</v>
      </c>
      <c r="H213" s="895">
        <v>-50</v>
      </c>
      <c r="I213" s="895">
        <v>-50</v>
      </c>
      <c r="J213" s="895">
        <v>-50</v>
      </c>
      <c r="K213" s="895">
        <v>-50</v>
      </c>
      <c r="L213" s="895">
        <v>-50</v>
      </c>
      <c r="M213" s="895">
        <v>-50</v>
      </c>
      <c r="N213" s="895">
        <v>-50</v>
      </c>
      <c r="O213" s="129">
        <f t="shared" si="70"/>
        <v>-600</v>
      </c>
      <c r="P213" s="129"/>
      <c r="Q213" s="885"/>
      <c r="R213" s="886" t="s">
        <v>92</v>
      </c>
      <c r="S213" s="885"/>
      <c r="T213" s="129"/>
      <c r="U213" s="887">
        <f t="shared" si="71"/>
        <v>-150</v>
      </c>
      <c r="V213" s="887">
        <f t="shared" si="72"/>
        <v>-150</v>
      </c>
      <c r="W213" s="887">
        <f t="shared" si="73"/>
        <v>-150</v>
      </c>
      <c r="X213" s="887">
        <f t="shared" si="74"/>
        <v>-150</v>
      </c>
      <c r="Y213" s="888">
        <f t="shared" si="75"/>
        <v>-600</v>
      </c>
    </row>
    <row r="214" spans="1:25" ht="12.75" customHeight="1" x14ac:dyDescent="0.2">
      <c r="A214" s="884" t="s">
        <v>147</v>
      </c>
      <c r="C214" s="128">
        <v>-17</v>
      </c>
      <c r="D214" s="128">
        <v>-17</v>
      </c>
      <c r="E214" s="128">
        <v>-17</v>
      </c>
      <c r="F214" s="128">
        <v>-17</v>
      </c>
      <c r="G214" s="128">
        <v>-17</v>
      </c>
      <c r="H214" s="128">
        <v>-17</v>
      </c>
      <c r="I214" s="128">
        <v>-17</v>
      </c>
      <c r="J214" s="128">
        <v>-17</v>
      </c>
      <c r="K214" s="128">
        <v>-17</v>
      </c>
      <c r="L214" s="128">
        <v>-17</v>
      </c>
      <c r="M214" s="128">
        <v>-17</v>
      </c>
      <c r="N214" s="128">
        <v>-17</v>
      </c>
      <c r="O214" s="129">
        <f>SUM(C214:N214)</f>
        <v>-204</v>
      </c>
      <c r="P214" s="129"/>
      <c r="Q214" s="885"/>
      <c r="R214" s="886" t="s">
        <v>92</v>
      </c>
      <c r="S214" s="885"/>
      <c r="T214" s="129"/>
      <c r="U214" s="887">
        <f>C214+D214+E214</f>
        <v>-51</v>
      </c>
      <c r="V214" s="887">
        <f>F214+G214+H214</f>
        <v>-51</v>
      </c>
      <c r="W214" s="887">
        <f>I214+J214+K214</f>
        <v>-51</v>
      </c>
      <c r="X214" s="887">
        <f>L214+M214+N214</f>
        <v>-51</v>
      </c>
      <c r="Y214" s="888">
        <f>SUM(U214:X214)</f>
        <v>-204</v>
      </c>
    </row>
    <row r="215" spans="1:25" ht="12.75" customHeight="1" x14ac:dyDescent="0.2">
      <c r="A215" s="884" t="s">
        <v>1037</v>
      </c>
      <c r="C215" s="128">
        <v>0</v>
      </c>
      <c r="D215" s="128">
        <v>0</v>
      </c>
      <c r="E215" s="128">
        <v>0</v>
      </c>
      <c r="F215" s="128">
        <v>0</v>
      </c>
      <c r="G215" s="128">
        <v>0</v>
      </c>
      <c r="H215" s="128">
        <v>0</v>
      </c>
      <c r="I215" s="128">
        <v>0</v>
      </c>
      <c r="J215" s="128">
        <v>0</v>
      </c>
      <c r="K215" s="128">
        <v>0</v>
      </c>
      <c r="L215" s="128">
        <v>0</v>
      </c>
      <c r="M215" s="128">
        <v>0</v>
      </c>
      <c r="N215" s="128">
        <v>0</v>
      </c>
      <c r="O215" s="129">
        <f>SUM(C215:N215)</f>
        <v>0</v>
      </c>
      <c r="P215" s="129"/>
      <c r="Q215" s="885"/>
      <c r="R215" s="886" t="s">
        <v>92</v>
      </c>
      <c r="S215" s="885"/>
      <c r="T215" s="129"/>
      <c r="U215" s="887">
        <f>C215+D215+E215</f>
        <v>0</v>
      </c>
      <c r="V215" s="887">
        <f>F215+G215+H215</f>
        <v>0</v>
      </c>
      <c r="W215" s="887">
        <f>I215+J215+K215</f>
        <v>0</v>
      </c>
      <c r="X215" s="887">
        <f>L215+M215+N215</f>
        <v>0</v>
      </c>
      <c r="Y215" s="888">
        <f>SUM(U215:X215)</f>
        <v>0</v>
      </c>
    </row>
    <row r="216" spans="1:25" ht="12.75" customHeight="1" x14ac:dyDescent="0.2">
      <c r="A216" s="884" t="s">
        <v>1038</v>
      </c>
      <c r="C216" s="128">
        <v>0</v>
      </c>
      <c r="D216" s="128">
        <v>0</v>
      </c>
      <c r="E216" s="128">
        <v>0</v>
      </c>
      <c r="F216" s="128">
        <v>0</v>
      </c>
      <c r="G216" s="128">
        <v>0</v>
      </c>
      <c r="H216" s="128">
        <v>0</v>
      </c>
      <c r="I216" s="128">
        <v>0</v>
      </c>
      <c r="J216" s="128">
        <v>0</v>
      </c>
      <c r="K216" s="128">
        <v>0</v>
      </c>
      <c r="L216" s="128">
        <v>0</v>
      </c>
      <c r="M216" s="128">
        <v>0</v>
      </c>
      <c r="N216" s="128">
        <v>0</v>
      </c>
      <c r="O216" s="129">
        <f>SUM(C216:N216)</f>
        <v>0</v>
      </c>
      <c r="P216" s="129"/>
      <c r="Q216" s="885"/>
      <c r="R216" s="886" t="s">
        <v>92</v>
      </c>
      <c r="S216" s="885"/>
      <c r="T216" s="129"/>
      <c r="U216" s="887">
        <f>C216+D216+E216</f>
        <v>0</v>
      </c>
      <c r="V216" s="887">
        <f>F216+G216+H216</f>
        <v>0</v>
      </c>
      <c r="W216" s="887">
        <f>I216+J216+K216</f>
        <v>0</v>
      </c>
      <c r="X216" s="887">
        <f>L216+M216+N216</f>
        <v>0</v>
      </c>
      <c r="Y216" s="888">
        <f>SUM(U216:X216)</f>
        <v>0</v>
      </c>
    </row>
    <row r="217" spans="1:25" ht="12.75" customHeight="1" x14ac:dyDescent="0.2">
      <c r="A217" s="884" t="s">
        <v>146</v>
      </c>
      <c r="C217" s="128">
        <v>-100</v>
      </c>
      <c r="D217" s="128">
        <v>-100</v>
      </c>
      <c r="E217" s="128">
        <v>-100</v>
      </c>
      <c r="F217" s="128">
        <v>-100</v>
      </c>
      <c r="G217" s="128">
        <v>-100</v>
      </c>
      <c r="H217" s="128">
        <v>-100</v>
      </c>
      <c r="I217" s="128">
        <v>-100</v>
      </c>
      <c r="J217" s="128">
        <v>-100</v>
      </c>
      <c r="K217" s="128">
        <v>-100</v>
      </c>
      <c r="L217" s="128">
        <v>-100</v>
      </c>
      <c r="M217" s="128">
        <v>-100</v>
      </c>
      <c r="N217" s="128">
        <v>-100</v>
      </c>
      <c r="O217" s="129">
        <f t="shared" si="70"/>
        <v>-1200</v>
      </c>
      <c r="P217" s="129"/>
      <c r="Q217" s="885"/>
      <c r="R217" s="886" t="s">
        <v>92</v>
      </c>
      <c r="S217" s="885"/>
      <c r="T217" s="129"/>
      <c r="U217" s="887">
        <f t="shared" si="71"/>
        <v>-300</v>
      </c>
      <c r="V217" s="887">
        <f t="shared" si="72"/>
        <v>-300</v>
      </c>
      <c r="W217" s="887">
        <f t="shared" si="73"/>
        <v>-300</v>
      </c>
      <c r="X217" s="887">
        <f t="shared" si="74"/>
        <v>-300</v>
      </c>
      <c r="Y217" s="888">
        <f t="shared" si="75"/>
        <v>-1200</v>
      </c>
    </row>
    <row r="218" spans="1:25" ht="12.75" customHeight="1" x14ac:dyDescent="0.2">
      <c r="A218" s="884" t="s">
        <v>176</v>
      </c>
      <c r="C218" s="128">
        <v>-500</v>
      </c>
      <c r="D218" s="128">
        <v>-500</v>
      </c>
      <c r="E218" s="128">
        <v>-500</v>
      </c>
      <c r="F218" s="128">
        <v>-500</v>
      </c>
      <c r="G218" s="128">
        <v>-500</v>
      </c>
      <c r="H218" s="128">
        <v>-500</v>
      </c>
      <c r="I218" s="128">
        <v>-500</v>
      </c>
      <c r="J218" s="128">
        <v>-500</v>
      </c>
      <c r="K218" s="128">
        <v>-500</v>
      </c>
      <c r="L218" s="128">
        <v>-500</v>
      </c>
      <c r="M218" s="128">
        <v>-500</v>
      </c>
      <c r="N218" s="128">
        <v>-500</v>
      </c>
      <c r="O218" s="129">
        <f t="shared" si="70"/>
        <v>-6000</v>
      </c>
      <c r="P218" s="129"/>
      <c r="Q218" s="885"/>
      <c r="R218" s="886" t="s">
        <v>92</v>
      </c>
      <c r="S218" s="885"/>
      <c r="T218" s="129"/>
      <c r="U218" s="887">
        <f t="shared" si="71"/>
        <v>-1500</v>
      </c>
      <c r="V218" s="887">
        <f t="shared" si="72"/>
        <v>-1500</v>
      </c>
      <c r="W218" s="887">
        <f t="shared" si="73"/>
        <v>-1500</v>
      </c>
      <c r="X218" s="887">
        <f t="shared" si="74"/>
        <v>-1500</v>
      </c>
      <c r="Y218" s="888">
        <f t="shared" si="75"/>
        <v>-6000</v>
      </c>
    </row>
    <row r="219" spans="1:25" ht="12.75" customHeight="1" x14ac:dyDescent="0.2">
      <c r="A219" s="884" t="s">
        <v>148</v>
      </c>
      <c r="C219" s="128">
        <v>0</v>
      </c>
      <c r="D219" s="128">
        <v>0</v>
      </c>
      <c r="E219" s="128">
        <v>0</v>
      </c>
      <c r="F219" s="128">
        <v>0</v>
      </c>
      <c r="G219" s="128">
        <v>0</v>
      </c>
      <c r="H219" s="128">
        <v>0</v>
      </c>
      <c r="I219" s="128">
        <v>0</v>
      </c>
      <c r="J219" s="128">
        <v>0</v>
      </c>
      <c r="K219" s="128">
        <v>0</v>
      </c>
      <c r="L219" s="128">
        <v>0</v>
      </c>
      <c r="M219" s="128">
        <v>0</v>
      </c>
      <c r="N219" s="128">
        <v>0</v>
      </c>
      <c r="O219" s="129">
        <f t="shared" si="70"/>
        <v>0</v>
      </c>
      <c r="P219" s="129"/>
      <c r="Q219" s="885"/>
      <c r="R219" s="886" t="s">
        <v>92</v>
      </c>
      <c r="S219" s="885"/>
      <c r="T219" s="129"/>
      <c r="U219" s="887">
        <f t="shared" si="71"/>
        <v>0</v>
      </c>
      <c r="V219" s="887">
        <f t="shared" si="72"/>
        <v>0</v>
      </c>
      <c r="W219" s="887">
        <f t="shared" si="73"/>
        <v>0</v>
      </c>
      <c r="X219" s="887">
        <f t="shared" si="74"/>
        <v>0</v>
      </c>
      <c r="Y219" s="888">
        <f t="shared" si="75"/>
        <v>0</v>
      </c>
    </row>
    <row r="220" spans="1:25" ht="12.75" customHeight="1" x14ac:dyDescent="0.2">
      <c r="A220" s="884" t="s">
        <v>185</v>
      </c>
      <c r="C220" s="260">
        <v>0</v>
      </c>
      <c r="D220" s="260">
        <v>0</v>
      </c>
      <c r="E220" s="260">
        <v>0</v>
      </c>
      <c r="F220" s="260">
        <v>0</v>
      </c>
      <c r="G220" s="260">
        <v>0</v>
      </c>
      <c r="H220" s="260">
        <v>0</v>
      </c>
      <c r="I220" s="260">
        <v>0</v>
      </c>
      <c r="J220" s="260">
        <v>0</v>
      </c>
      <c r="K220" s="260">
        <v>0</v>
      </c>
      <c r="L220" s="260">
        <v>0</v>
      </c>
      <c r="M220" s="260">
        <v>0</v>
      </c>
      <c r="N220" s="260">
        <v>0</v>
      </c>
      <c r="O220" s="130">
        <f t="shared" si="70"/>
        <v>0</v>
      </c>
      <c r="P220" s="130"/>
      <c r="Q220" s="885"/>
      <c r="R220" s="886" t="s">
        <v>92</v>
      </c>
      <c r="S220" s="885"/>
      <c r="T220" s="130"/>
      <c r="U220" s="892">
        <f t="shared" si="71"/>
        <v>0</v>
      </c>
      <c r="V220" s="892">
        <f t="shared" si="72"/>
        <v>0</v>
      </c>
      <c r="W220" s="892">
        <f t="shared" si="73"/>
        <v>0</v>
      </c>
      <c r="X220" s="892">
        <f t="shared" si="74"/>
        <v>0</v>
      </c>
      <c r="Y220" s="893">
        <f t="shared" si="75"/>
        <v>0</v>
      </c>
    </row>
    <row r="221" spans="1:25" ht="12.75" customHeight="1" x14ac:dyDescent="0.2">
      <c r="A221" s="894" t="s">
        <v>186</v>
      </c>
      <c r="C221" s="904">
        <f t="shared" ref="C221:O221" si="76">SUM(C211:C220)</f>
        <v>-1800</v>
      </c>
      <c r="D221" s="904">
        <f t="shared" si="76"/>
        <v>-1803</v>
      </c>
      <c r="E221" s="904">
        <f t="shared" si="76"/>
        <v>-1803</v>
      </c>
      <c r="F221" s="904">
        <f t="shared" si="76"/>
        <v>-1803</v>
      </c>
      <c r="G221" s="904">
        <f t="shared" si="76"/>
        <v>-1803</v>
      </c>
      <c r="H221" s="904">
        <f t="shared" si="76"/>
        <v>-1805</v>
      </c>
      <c r="I221" s="904">
        <f t="shared" si="76"/>
        <v>-1809</v>
      </c>
      <c r="J221" s="904">
        <f t="shared" si="76"/>
        <v>-1809</v>
      </c>
      <c r="K221" s="904">
        <f t="shared" si="76"/>
        <v>-1828</v>
      </c>
      <c r="L221" s="904">
        <f t="shared" si="76"/>
        <v>-1828</v>
      </c>
      <c r="M221" s="904">
        <f t="shared" si="76"/>
        <v>-1831</v>
      </c>
      <c r="N221" s="904">
        <f t="shared" si="76"/>
        <v>-1835</v>
      </c>
      <c r="O221" s="904">
        <f t="shared" si="76"/>
        <v>-21757</v>
      </c>
      <c r="P221" s="904"/>
      <c r="Q221" s="885"/>
      <c r="R221" s="886"/>
      <c r="S221" s="885"/>
      <c r="T221" s="904"/>
      <c r="U221" s="904">
        <f>SUM(U211:U220)</f>
        <v>-5406</v>
      </c>
      <c r="V221" s="904">
        <f>SUM(V211:V220)</f>
        <v>-5411</v>
      </c>
      <c r="W221" s="904">
        <f>SUM(W211:W220)</f>
        <v>-5446</v>
      </c>
      <c r="X221" s="904">
        <f>SUM(X211:X220)</f>
        <v>-5494</v>
      </c>
      <c r="Y221" s="904">
        <f>SUM(Y211:Y220)</f>
        <v>-21757</v>
      </c>
    </row>
    <row r="222" spans="1:25" ht="12.75" customHeight="1" x14ac:dyDescent="0.2">
      <c r="A222" s="884" t="s">
        <v>847</v>
      </c>
      <c r="C222" s="891">
        <f t="shared" ref="C222:N222" si="77">-C95-C144-C172-C279-C294-C308-C325</f>
        <v>0</v>
      </c>
      <c r="D222" s="891">
        <f t="shared" si="77"/>
        <v>0</v>
      </c>
      <c r="E222" s="891">
        <f t="shared" si="77"/>
        <v>0</v>
      </c>
      <c r="F222" s="891">
        <f t="shared" si="77"/>
        <v>0</v>
      </c>
      <c r="G222" s="891">
        <f t="shared" si="77"/>
        <v>0</v>
      </c>
      <c r="H222" s="891">
        <f t="shared" si="77"/>
        <v>0</v>
      </c>
      <c r="I222" s="891">
        <f t="shared" si="77"/>
        <v>0</v>
      </c>
      <c r="J222" s="891">
        <f t="shared" si="77"/>
        <v>0</v>
      </c>
      <c r="K222" s="891">
        <f t="shared" si="77"/>
        <v>0</v>
      </c>
      <c r="L222" s="891">
        <f t="shared" si="77"/>
        <v>0</v>
      </c>
      <c r="M222" s="891">
        <f t="shared" si="77"/>
        <v>0</v>
      </c>
      <c r="N222" s="891">
        <f t="shared" si="77"/>
        <v>0</v>
      </c>
      <c r="O222" s="130">
        <f>SUM(C222:N222)</f>
        <v>0</v>
      </c>
      <c r="P222" s="891"/>
      <c r="Q222" s="885"/>
      <c r="R222" s="886"/>
      <c r="S222" s="885"/>
      <c r="T222" s="891"/>
      <c r="U222" s="892">
        <f>C222+D222+E222</f>
        <v>0</v>
      </c>
      <c r="V222" s="892">
        <f>F222+G222+H222</f>
        <v>0</v>
      </c>
      <c r="W222" s="892">
        <f>I222+J222+K222</f>
        <v>0</v>
      </c>
      <c r="X222" s="892">
        <f>L222+M222+N222</f>
        <v>0</v>
      </c>
      <c r="Y222" s="893">
        <f>SUM(U222:X222)</f>
        <v>0</v>
      </c>
    </row>
    <row r="223" spans="1:25" ht="12.75" customHeight="1" x14ac:dyDescent="0.2">
      <c r="A223" s="894" t="s">
        <v>845</v>
      </c>
      <c r="C223" s="891">
        <f>+C221+C222</f>
        <v>-1800</v>
      </c>
      <c r="D223" s="891">
        <f t="shared" ref="D223:O223" si="78">+D221+D222</f>
        <v>-1803</v>
      </c>
      <c r="E223" s="891">
        <f t="shared" si="78"/>
        <v>-1803</v>
      </c>
      <c r="F223" s="891">
        <f t="shared" si="78"/>
        <v>-1803</v>
      </c>
      <c r="G223" s="891">
        <f t="shared" si="78"/>
        <v>-1803</v>
      </c>
      <c r="H223" s="891">
        <f t="shared" si="78"/>
        <v>-1805</v>
      </c>
      <c r="I223" s="891">
        <f t="shared" si="78"/>
        <v>-1809</v>
      </c>
      <c r="J223" s="891">
        <f t="shared" si="78"/>
        <v>-1809</v>
      </c>
      <c r="K223" s="891">
        <f t="shared" si="78"/>
        <v>-1828</v>
      </c>
      <c r="L223" s="891">
        <f t="shared" si="78"/>
        <v>-1828</v>
      </c>
      <c r="M223" s="891">
        <f t="shared" si="78"/>
        <v>-1831</v>
      </c>
      <c r="N223" s="891">
        <f t="shared" si="78"/>
        <v>-1835</v>
      </c>
      <c r="O223" s="891">
        <f t="shared" si="78"/>
        <v>-21757</v>
      </c>
      <c r="P223" s="891"/>
      <c r="Q223" s="885"/>
      <c r="R223" s="886"/>
      <c r="S223" s="885"/>
      <c r="T223" s="891"/>
      <c r="U223" s="891">
        <f>+U221+U222</f>
        <v>-5406</v>
      </c>
      <c r="V223" s="891">
        <f>+V221+V222</f>
        <v>-5411</v>
      </c>
      <c r="W223" s="891">
        <f>+W221+W222</f>
        <v>-5446</v>
      </c>
      <c r="X223" s="891">
        <f>+X221+X222</f>
        <v>-5494</v>
      </c>
      <c r="Y223" s="891">
        <f>+Y221+Y222</f>
        <v>-21757</v>
      </c>
    </row>
    <row r="224" spans="1:25" ht="6" customHeight="1" x14ac:dyDescent="0.2">
      <c r="A224" s="884"/>
      <c r="C224" s="888"/>
      <c r="D224" s="888"/>
      <c r="E224" s="888"/>
      <c r="F224" s="888"/>
      <c r="G224" s="888"/>
      <c r="H224" s="888"/>
      <c r="I224" s="888"/>
      <c r="J224" s="888"/>
      <c r="K224" s="888"/>
      <c r="L224" s="888"/>
      <c r="M224" s="888"/>
      <c r="N224" s="888"/>
      <c r="O224" s="887"/>
      <c r="P224" s="887"/>
      <c r="Q224" s="885"/>
      <c r="R224" s="890"/>
      <c r="S224" s="885"/>
      <c r="T224" s="887"/>
      <c r="U224" s="887"/>
      <c r="V224" s="887"/>
      <c r="W224" s="887"/>
      <c r="X224" s="887"/>
      <c r="Y224" s="888"/>
    </row>
    <row r="225" spans="1:25" ht="12.75" customHeight="1" x14ac:dyDescent="0.2">
      <c r="A225" s="884" t="s">
        <v>187</v>
      </c>
      <c r="C225" s="855">
        <f>-777+55</f>
        <v>-722</v>
      </c>
      <c r="D225" s="855">
        <f>-776+54</f>
        <v>-722</v>
      </c>
      <c r="E225" s="855">
        <f>-777+55</f>
        <v>-722</v>
      </c>
      <c r="F225" s="855">
        <f>-776+54</f>
        <v>-722</v>
      </c>
      <c r="G225" s="855">
        <f>-777+55</f>
        <v>-722</v>
      </c>
      <c r="H225" s="855">
        <f>-776+54</f>
        <v>-722</v>
      </c>
      <c r="I225" s="855">
        <f>-777+55</f>
        <v>-722</v>
      </c>
      <c r="J225" s="855">
        <f>-776+54</f>
        <v>-722</v>
      </c>
      <c r="K225" s="855">
        <f>-777+55</f>
        <v>-722</v>
      </c>
      <c r="L225" s="855">
        <f>-776+54</f>
        <v>-722</v>
      </c>
      <c r="M225" s="855">
        <f>-777+55</f>
        <v>-722</v>
      </c>
      <c r="N225" s="855">
        <f>-776+54</f>
        <v>-722</v>
      </c>
      <c r="O225" s="129">
        <f t="shared" ref="O225:O230" si="79">SUM(C225:N225)</f>
        <v>-8664</v>
      </c>
      <c r="P225" s="129"/>
      <c r="Q225" s="885"/>
      <c r="R225" s="909" t="s">
        <v>95</v>
      </c>
      <c r="S225" s="885"/>
      <c r="T225" s="129"/>
      <c r="U225" s="887">
        <f t="shared" ref="U225:U230" si="80">C225+D225+E225</f>
        <v>-2166</v>
      </c>
      <c r="V225" s="887">
        <f t="shared" ref="V225:V230" si="81">F225+G225+H225</f>
        <v>-2166</v>
      </c>
      <c r="W225" s="887">
        <f t="shared" ref="W225:W230" si="82">I225+J225+K225</f>
        <v>-2166</v>
      </c>
      <c r="X225" s="887">
        <f t="shared" ref="X225:X230" si="83">L225+M225+N225</f>
        <v>-2166</v>
      </c>
      <c r="Y225" s="888">
        <f t="shared" ref="Y225:Y230" si="84">SUM(U225:X225)</f>
        <v>-8664</v>
      </c>
    </row>
    <row r="226" spans="1:25" ht="12.75" customHeight="1" x14ac:dyDescent="0.2">
      <c r="A226" s="884" t="s">
        <v>177</v>
      </c>
      <c r="C226" s="128">
        <v>-96</v>
      </c>
      <c r="D226" s="128">
        <v>-96</v>
      </c>
      <c r="E226" s="128">
        <v>-96</v>
      </c>
      <c r="F226" s="128">
        <v>-96</v>
      </c>
      <c r="G226" s="128">
        <v>-96</v>
      </c>
      <c r="H226" s="128">
        <v>-96</v>
      </c>
      <c r="I226" s="128">
        <v>-96</v>
      </c>
      <c r="J226" s="128">
        <v>-96</v>
      </c>
      <c r="K226" s="128">
        <v>-96</v>
      </c>
      <c r="L226" s="128">
        <v>-96</v>
      </c>
      <c r="M226" s="128">
        <v>-96</v>
      </c>
      <c r="N226" s="128">
        <v>-96</v>
      </c>
      <c r="O226" s="129">
        <f t="shared" si="79"/>
        <v>-1152</v>
      </c>
      <c r="P226" s="129"/>
      <c r="Q226" s="885"/>
      <c r="R226" s="909" t="s">
        <v>95</v>
      </c>
      <c r="S226" s="885"/>
      <c r="T226" s="129"/>
      <c r="U226" s="887">
        <f t="shared" si="80"/>
        <v>-288</v>
      </c>
      <c r="V226" s="887">
        <f t="shared" si="81"/>
        <v>-288</v>
      </c>
      <c r="W226" s="887">
        <f t="shared" si="82"/>
        <v>-288</v>
      </c>
      <c r="X226" s="887">
        <f t="shared" si="83"/>
        <v>-288</v>
      </c>
      <c r="Y226" s="888">
        <f t="shared" si="84"/>
        <v>-1152</v>
      </c>
    </row>
    <row r="227" spans="1:25" ht="12.75" customHeight="1" x14ac:dyDescent="0.2">
      <c r="A227" s="884" t="s">
        <v>1039</v>
      </c>
      <c r="C227" s="128">
        <v>-7</v>
      </c>
      <c r="D227" s="128">
        <v>-7</v>
      </c>
      <c r="E227" s="128">
        <v>-7</v>
      </c>
      <c r="F227" s="128">
        <v>-7</v>
      </c>
      <c r="G227" s="128">
        <v>-7</v>
      </c>
      <c r="H227" s="128">
        <v>-7</v>
      </c>
      <c r="I227" s="128">
        <v>-7</v>
      </c>
      <c r="J227" s="128">
        <v>-7</v>
      </c>
      <c r="K227" s="128">
        <v>-7</v>
      </c>
      <c r="L227" s="128">
        <v>-7</v>
      </c>
      <c r="M227" s="128">
        <v>-7</v>
      </c>
      <c r="N227" s="128">
        <v>-7</v>
      </c>
      <c r="O227" s="129">
        <f t="shared" si="79"/>
        <v>-84</v>
      </c>
      <c r="P227" s="129"/>
      <c r="Q227" s="885"/>
      <c r="R227" s="909" t="s">
        <v>95</v>
      </c>
      <c r="S227" s="885"/>
      <c r="T227" s="129"/>
      <c r="U227" s="887">
        <f t="shared" si="80"/>
        <v>-21</v>
      </c>
      <c r="V227" s="887">
        <f t="shared" si="81"/>
        <v>-21</v>
      </c>
      <c r="W227" s="887">
        <f t="shared" si="82"/>
        <v>-21</v>
      </c>
      <c r="X227" s="887">
        <f t="shared" si="83"/>
        <v>-21</v>
      </c>
      <c r="Y227" s="888">
        <f t="shared" si="84"/>
        <v>-84</v>
      </c>
    </row>
    <row r="228" spans="1:25" ht="12.75" customHeight="1" x14ac:dyDescent="0.2">
      <c r="A228" s="884" t="s">
        <v>621</v>
      </c>
      <c r="C228" s="128">
        <v>0</v>
      </c>
      <c r="D228" s="128">
        <v>0</v>
      </c>
      <c r="E228" s="128">
        <v>0</v>
      </c>
      <c r="F228" s="128">
        <v>0</v>
      </c>
      <c r="G228" s="128">
        <v>0</v>
      </c>
      <c r="H228" s="128">
        <v>0</v>
      </c>
      <c r="I228" s="128">
        <v>0</v>
      </c>
      <c r="J228" s="128">
        <v>0</v>
      </c>
      <c r="K228" s="128">
        <v>0</v>
      </c>
      <c r="L228" s="128">
        <v>0</v>
      </c>
      <c r="M228" s="128">
        <v>0</v>
      </c>
      <c r="N228" s="128">
        <v>0</v>
      </c>
      <c r="O228" s="129">
        <f t="shared" si="79"/>
        <v>0</v>
      </c>
      <c r="P228" s="129"/>
      <c r="Q228" s="885"/>
      <c r="R228" s="909" t="s">
        <v>95</v>
      </c>
      <c r="S228" s="885"/>
      <c r="T228" s="129"/>
      <c r="U228" s="887">
        <f t="shared" si="80"/>
        <v>0</v>
      </c>
      <c r="V228" s="887">
        <f t="shared" si="81"/>
        <v>0</v>
      </c>
      <c r="W228" s="887">
        <f t="shared" si="82"/>
        <v>0</v>
      </c>
      <c r="X228" s="887">
        <f t="shared" si="83"/>
        <v>0</v>
      </c>
      <c r="Y228" s="888">
        <f t="shared" si="84"/>
        <v>0</v>
      </c>
    </row>
    <row r="229" spans="1:25" ht="12.75" customHeight="1" x14ac:dyDescent="0.2">
      <c r="A229" s="894" t="s">
        <v>188</v>
      </c>
      <c r="C229" s="698">
        <v>0</v>
      </c>
      <c r="D229" s="698">
        <v>0</v>
      </c>
      <c r="E229" s="698">
        <v>0</v>
      </c>
      <c r="F229" s="698">
        <v>0</v>
      </c>
      <c r="G229" s="698">
        <v>0</v>
      </c>
      <c r="H229" s="698">
        <v>0</v>
      </c>
      <c r="I229" s="698">
        <v>0</v>
      </c>
      <c r="J229" s="698">
        <v>0</v>
      </c>
      <c r="K229" s="698">
        <v>0</v>
      </c>
      <c r="L229" s="698">
        <v>0</v>
      </c>
      <c r="M229" s="698">
        <v>0</v>
      </c>
      <c r="N229" s="698">
        <v>0</v>
      </c>
      <c r="O229" s="689">
        <f t="shared" si="79"/>
        <v>0</v>
      </c>
      <c r="P229" s="689"/>
      <c r="Q229" s="885"/>
      <c r="R229" s="909" t="s">
        <v>95</v>
      </c>
      <c r="S229" s="885"/>
      <c r="T229" s="689"/>
      <c r="U229" s="887">
        <f t="shared" si="80"/>
        <v>0</v>
      </c>
      <c r="V229" s="887">
        <f t="shared" si="81"/>
        <v>0</v>
      </c>
      <c r="W229" s="887">
        <f t="shared" si="82"/>
        <v>0</v>
      </c>
      <c r="X229" s="887">
        <f t="shared" si="83"/>
        <v>0</v>
      </c>
      <c r="Y229" s="888">
        <f t="shared" si="84"/>
        <v>0</v>
      </c>
    </row>
    <row r="230" spans="1:25" ht="12.75" customHeight="1" x14ac:dyDescent="0.2">
      <c r="A230" s="894" t="s">
        <v>189</v>
      </c>
      <c r="B230" s="898"/>
      <c r="C230" s="260">
        <v>-6</v>
      </c>
      <c r="D230" s="260">
        <v>-12</v>
      </c>
      <c r="E230" s="260">
        <v>-6</v>
      </c>
      <c r="F230" s="260">
        <v>-6</v>
      </c>
      <c r="G230" s="260">
        <v>-6</v>
      </c>
      <c r="H230" s="260">
        <v>-5</v>
      </c>
      <c r="I230" s="260">
        <v>-6</v>
      </c>
      <c r="J230" s="260">
        <v>-6</v>
      </c>
      <c r="K230" s="260">
        <v>-6</v>
      </c>
      <c r="L230" s="260">
        <v>-6</v>
      </c>
      <c r="M230" s="260">
        <v>-6</v>
      </c>
      <c r="N230" s="260">
        <v>-5</v>
      </c>
      <c r="O230" s="130">
        <f t="shared" si="79"/>
        <v>-76</v>
      </c>
      <c r="P230" s="130"/>
      <c r="Q230" s="903"/>
      <c r="R230" s="909" t="s">
        <v>95</v>
      </c>
      <c r="S230" s="903"/>
      <c r="T230" s="130"/>
      <c r="U230" s="943">
        <f t="shared" si="80"/>
        <v>-24</v>
      </c>
      <c r="V230" s="943">
        <f t="shared" si="81"/>
        <v>-17</v>
      </c>
      <c r="W230" s="943">
        <f t="shared" si="82"/>
        <v>-18</v>
      </c>
      <c r="X230" s="943">
        <f t="shared" si="83"/>
        <v>-17</v>
      </c>
      <c r="Y230" s="891">
        <f t="shared" si="84"/>
        <v>-76</v>
      </c>
    </row>
    <row r="231" spans="1:25" ht="12.75" customHeight="1" x14ac:dyDescent="0.2">
      <c r="A231" s="894" t="s">
        <v>190</v>
      </c>
      <c r="B231" s="898"/>
      <c r="C231" s="891">
        <f t="shared" ref="C231:O231" si="85">SUM(C225:C230)</f>
        <v>-831</v>
      </c>
      <c r="D231" s="891">
        <f t="shared" si="85"/>
        <v>-837</v>
      </c>
      <c r="E231" s="891">
        <f t="shared" si="85"/>
        <v>-831</v>
      </c>
      <c r="F231" s="891">
        <f t="shared" si="85"/>
        <v>-831</v>
      </c>
      <c r="G231" s="891">
        <f t="shared" si="85"/>
        <v>-831</v>
      </c>
      <c r="H231" s="891">
        <f t="shared" si="85"/>
        <v>-830</v>
      </c>
      <c r="I231" s="891">
        <f t="shared" si="85"/>
        <v>-831</v>
      </c>
      <c r="J231" s="891">
        <f t="shared" si="85"/>
        <v>-831</v>
      </c>
      <c r="K231" s="891">
        <f t="shared" si="85"/>
        <v>-831</v>
      </c>
      <c r="L231" s="891">
        <f t="shared" si="85"/>
        <v>-831</v>
      </c>
      <c r="M231" s="891">
        <f t="shared" si="85"/>
        <v>-831</v>
      </c>
      <c r="N231" s="891">
        <f t="shared" si="85"/>
        <v>-830</v>
      </c>
      <c r="O231" s="891">
        <f t="shared" si="85"/>
        <v>-9976</v>
      </c>
      <c r="P231" s="891"/>
      <c r="Q231" s="903"/>
      <c r="R231" s="896"/>
      <c r="S231" s="903"/>
      <c r="T231" s="891"/>
      <c r="U231" s="891">
        <f>SUM(U225:U230)</f>
        <v>-2499</v>
      </c>
      <c r="V231" s="891">
        <f>SUM(V225:V230)</f>
        <v>-2492</v>
      </c>
      <c r="W231" s="891">
        <f>SUM(W225:W230)</f>
        <v>-2493</v>
      </c>
      <c r="X231" s="891">
        <f>SUM(X225:X230)</f>
        <v>-2492</v>
      </c>
      <c r="Y231" s="891">
        <f>SUM(Y225:Y230)</f>
        <v>-9976</v>
      </c>
    </row>
    <row r="232" spans="1:25" ht="6" customHeight="1" x14ac:dyDescent="0.2">
      <c r="A232" s="884"/>
      <c r="C232" s="888"/>
      <c r="D232" s="888"/>
      <c r="E232" s="888"/>
      <c r="F232" s="888"/>
      <c r="G232" s="888"/>
      <c r="H232" s="888"/>
      <c r="I232" s="888"/>
      <c r="J232" s="888"/>
      <c r="K232" s="888"/>
      <c r="L232" s="888"/>
      <c r="M232" s="888"/>
      <c r="N232" s="888"/>
      <c r="O232" s="887"/>
      <c r="P232" s="887"/>
      <c r="Q232" s="885"/>
      <c r="R232" s="890"/>
      <c r="S232" s="885"/>
      <c r="T232" s="887"/>
      <c r="U232" s="887"/>
      <c r="V232" s="887"/>
      <c r="W232" s="887"/>
      <c r="X232" s="887"/>
      <c r="Y232" s="888"/>
    </row>
    <row r="233" spans="1:25" ht="12.75" customHeight="1" x14ac:dyDescent="0.2">
      <c r="A233" s="884" t="s">
        <v>828</v>
      </c>
      <c r="C233" s="141">
        <v>0</v>
      </c>
      <c r="D233" s="141">
        <v>0</v>
      </c>
      <c r="E233" s="141">
        <v>0</v>
      </c>
      <c r="F233" s="141">
        <v>0</v>
      </c>
      <c r="G233" s="141">
        <v>0</v>
      </c>
      <c r="H233" s="141">
        <v>0</v>
      </c>
      <c r="I233" s="141">
        <v>0</v>
      </c>
      <c r="J233" s="141">
        <v>0</v>
      </c>
      <c r="K233" s="141">
        <v>0</v>
      </c>
      <c r="L233" s="141">
        <v>0</v>
      </c>
      <c r="M233" s="141">
        <v>0</v>
      </c>
      <c r="N233" s="141">
        <v>0</v>
      </c>
      <c r="O233" s="142">
        <f t="shared" ref="O233:O238" si="86">SUM(C233:N233)</f>
        <v>0</v>
      </c>
      <c r="P233" s="142"/>
      <c r="Q233" s="885"/>
      <c r="R233" s="886" t="s">
        <v>191</v>
      </c>
      <c r="S233" s="885"/>
      <c r="T233" s="142"/>
      <c r="U233" s="887">
        <f t="shared" ref="U233:U238" si="87">C233+D233+E233</f>
        <v>0</v>
      </c>
      <c r="V233" s="887">
        <f t="shared" ref="V233:V238" si="88">F233+G233+H233</f>
        <v>0</v>
      </c>
      <c r="W233" s="887">
        <f t="shared" ref="W233:W238" si="89">I233+J233+K233</f>
        <v>0</v>
      </c>
      <c r="X233" s="887">
        <f t="shared" ref="X233:X238" si="90">L233+M233+N233</f>
        <v>0</v>
      </c>
      <c r="Y233" s="888">
        <f t="shared" ref="Y233:Y238" si="91">SUM(U233:X233)</f>
        <v>0</v>
      </c>
    </row>
    <row r="234" spans="1:25" ht="12.75" customHeight="1" x14ac:dyDescent="0.2">
      <c r="A234" s="884" t="s">
        <v>66</v>
      </c>
      <c r="C234" s="141">
        <v>0</v>
      </c>
      <c r="D234" s="141">
        <v>0</v>
      </c>
      <c r="E234" s="141">
        <v>0</v>
      </c>
      <c r="F234" s="141">
        <v>0</v>
      </c>
      <c r="G234" s="141">
        <v>0</v>
      </c>
      <c r="H234" s="141">
        <v>0</v>
      </c>
      <c r="I234" s="141">
        <v>0</v>
      </c>
      <c r="J234" s="141">
        <v>0</v>
      </c>
      <c r="K234" s="141">
        <v>0</v>
      </c>
      <c r="L234" s="141">
        <v>0</v>
      </c>
      <c r="M234" s="141">
        <v>0</v>
      </c>
      <c r="N234" s="141">
        <v>0</v>
      </c>
      <c r="O234" s="142">
        <f t="shared" si="86"/>
        <v>0</v>
      </c>
      <c r="P234" s="142"/>
      <c r="Q234" s="885"/>
      <c r="R234" s="886" t="s">
        <v>191</v>
      </c>
      <c r="S234" s="885"/>
      <c r="T234" s="142"/>
      <c r="U234" s="887">
        <f t="shared" si="87"/>
        <v>0</v>
      </c>
      <c r="V234" s="887">
        <f t="shared" si="88"/>
        <v>0</v>
      </c>
      <c r="W234" s="887">
        <f t="shared" si="89"/>
        <v>0</v>
      </c>
      <c r="X234" s="887">
        <f t="shared" si="90"/>
        <v>0</v>
      </c>
      <c r="Y234" s="888">
        <f t="shared" si="91"/>
        <v>0</v>
      </c>
    </row>
    <row r="235" spans="1:25" ht="12.75" customHeight="1" x14ac:dyDescent="0.2">
      <c r="A235" s="884" t="s">
        <v>192</v>
      </c>
      <c r="C235" s="944">
        <f>+OtherInc!C15</f>
        <v>0</v>
      </c>
      <c r="D235" s="944">
        <f>+OtherInc!D15</f>
        <v>0</v>
      </c>
      <c r="E235" s="944">
        <f>+OtherInc!E15</f>
        <v>0</v>
      </c>
      <c r="F235" s="944">
        <f>+OtherInc!F15</f>
        <v>0</v>
      </c>
      <c r="G235" s="944">
        <f>+OtherInc!G15</f>
        <v>0</v>
      </c>
      <c r="H235" s="944">
        <f>+OtherInc!H15</f>
        <v>0</v>
      </c>
      <c r="I235" s="944">
        <f>+OtherInc!I15</f>
        <v>0</v>
      </c>
      <c r="J235" s="944">
        <f>+OtherInc!J15</f>
        <v>0</v>
      </c>
      <c r="K235" s="944">
        <f>+OtherInc!K15</f>
        <v>0</v>
      </c>
      <c r="L235" s="944">
        <f>+OtherInc!L15</f>
        <v>0</v>
      </c>
      <c r="M235" s="944">
        <f>+OtherInc!M15</f>
        <v>0</v>
      </c>
      <c r="N235" s="944">
        <f>+OtherInc!N15</f>
        <v>0</v>
      </c>
      <c r="O235" s="142">
        <f t="shared" si="86"/>
        <v>0</v>
      </c>
      <c r="P235" s="142"/>
      <c r="Q235" s="885"/>
      <c r="R235" s="886" t="s">
        <v>191</v>
      </c>
      <c r="S235" s="885"/>
      <c r="T235" s="142"/>
      <c r="U235" s="887">
        <f t="shared" si="87"/>
        <v>0</v>
      </c>
      <c r="V235" s="887">
        <f t="shared" si="88"/>
        <v>0</v>
      </c>
      <c r="W235" s="887">
        <f t="shared" si="89"/>
        <v>0</v>
      </c>
      <c r="X235" s="887">
        <f t="shared" si="90"/>
        <v>0</v>
      </c>
      <c r="Y235" s="888">
        <f t="shared" si="91"/>
        <v>0</v>
      </c>
    </row>
    <row r="236" spans="1:25" ht="12.75" customHeight="1" x14ac:dyDescent="0.2">
      <c r="A236" s="884" t="s">
        <v>193</v>
      </c>
      <c r="C236" s="944">
        <f>+OtherInc!C16</f>
        <v>0</v>
      </c>
      <c r="D236" s="944">
        <f>+OtherInc!D16</f>
        <v>0</v>
      </c>
      <c r="E236" s="944">
        <f>+OtherInc!E16</f>
        <v>0</v>
      </c>
      <c r="F236" s="944">
        <f>+OtherInc!F16</f>
        <v>0</v>
      </c>
      <c r="G236" s="944">
        <f>+OtherInc!G16</f>
        <v>0</v>
      </c>
      <c r="H236" s="944">
        <f>+OtherInc!H16</f>
        <v>0</v>
      </c>
      <c r="I236" s="944">
        <f>+OtherInc!I16</f>
        <v>0</v>
      </c>
      <c r="J236" s="944">
        <f>+OtherInc!J16</f>
        <v>0</v>
      </c>
      <c r="K236" s="944">
        <f>+OtherInc!K16</f>
        <v>0</v>
      </c>
      <c r="L236" s="944">
        <f>+OtherInc!L16</f>
        <v>0</v>
      </c>
      <c r="M236" s="944">
        <f>+OtherInc!M16</f>
        <v>0</v>
      </c>
      <c r="N236" s="944">
        <f>+OtherInc!N16</f>
        <v>0</v>
      </c>
      <c r="O236" s="142">
        <f t="shared" si="86"/>
        <v>0</v>
      </c>
      <c r="P236" s="142"/>
      <c r="Q236" s="885"/>
      <c r="R236" s="886" t="s">
        <v>191</v>
      </c>
      <c r="S236" s="885"/>
      <c r="T236" s="142"/>
      <c r="U236" s="887">
        <f t="shared" si="87"/>
        <v>0</v>
      </c>
      <c r="V236" s="887">
        <f t="shared" si="88"/>
        <v>0</v>
      </c>
      <c r="W236" s="887">
        <f t="shared" si="89"/>
        <v>0</v>
      </c>
      <c r="X236" s="887">
        <f t="shared" si="90"/>
        <v>0</v>
      </c>
      <c r="Y236" s="888">
        <f t="shared" si="91"/>
        <v>0</v>
      </c>
    </row>
    <row r="237" spans="1:25" ht="12.75" customHeight="1" x14ac:dyDescent="0.2">
      <c r="A237" s="884" t="s">
        <v>178</v>
      </c>
      <c r="C237" s="944">
        <f>+OtherInc!C17</f>
        <v>0</v>
      </c>
      <c r="D237" s="944">
        <f>+OtherInc!D17</f>
        <v>0</v>
      </c>
      <c r="E237" s="944">
        <f>+OtherInc!E17</f>
        <v>0</v>
      </c>
      <c r="F237" s="944">
        <f>+OtherInc!F17</f>
        <v>0</v>
      </c>
      <c r="G237" s="944">
        <f>+OtherInc!G17</f>
        <v>0</v>
      </c>
      <c r="H237" s="944">
        <f>+OtherInc!H17</f>
        <v>0</v>
      </c>
      <c r="I237" s="944">
        <f>+OtherInc!I17</f>
        <v>0</v>
      </c>
      <c r="J237" s="944">
        <f>+OtherInc!J17</f>
        <v>0</v>
      </c>
      <c r="K237" s="944">
        <f>+OtherInc!K17</f>
        <v>0</v>
      </c>
      <c r="L237" s="944">
        <f>+OtherInc!L17</f>
        <v>0</v>
      </c>
      <c r="M237" s="944">
        <f>+OtherInc!M17</f>
        <v>0</v>
      </c>
      <c r="N237" s="944">
        <f>+OtherInc!N17</f>
        <v>0</v>
      </c>
      <c r="O237" s="142">
        <f t="shared" si="86"/>
        <v>0</v>
      </c>
      <c r="P237" s="142"/>
      <c r="Q237" s="885"/>
      <c r="R237" s="886" t="s">
        <v>191</v>
      </c>
      <c r="S237" s="885"/>
      <c r="T237" s="142"/>
      <c r="U237" s="887">
        <f t="shared" si="87"/>
        <v>0</v>
      </c>
      <c r="V237" s="887">
        <f t="shared" si="88"/>
        <v>0</v>
      </c>
      <c r="W237" s="887">
        <f t="shared" si="89"/>
        <v>0</v>
      </c>
      <c r="X237" s="887">
        <f t="shared" si="90"/>
        <v>0</v>
      </c>
      <c r="Y237" s="888">
        <f t="shared" si="91"/>
        <v>0</v>
      </c>
    </row>
    <row r="238" spans="1:25" ht="12.75" customHeight="1" x14ac:dyDescent="0.2">
      <c r="A238" s="884" t="s">
        <v>621</v>
      </c>
      <c r="C238" s="141">
        <v>0</v>
      </c>
      <c r="D238" s="141">
        <v>0</v>
      </c>
      <c r="E238" s="141">
        <v>0</v>
      </c>
      <c r="F238" s="141">
        <v>0</v>
      </c>
      <c r="G238" s="141">
        <v>0</v>
      </c>
      <c r="H238" s="141">
        <v>0</v>
      </c>
      <c r="I238" s="141">
        <v>0</v>
      </c>
      <c r="J238" s="141">
        <v>0</v>
      </c>
      <c r="K238" s="141">
        <v>0</v>
      </c>
      <c r="L238" s="141">
        <v>0</v>
      </c>
      <c r="M238" s="141">
        <v>0</v>
      </c>
      <c r="N238" s="141">
        <v>0</v>
      </c>
      <c r="O238" s="142">
        <f t="shared" si="86"/>
        <v>0</v>
      </c>
      <c r="P238" s="142"/>
      <c r="Q238" s="885"/>
      <c r="R238" s="886" t="s">
        <v>191</v>
      </c>
      <c r="S238" s="885"/>
      <c r="T238" s="142"/>
      <c r="U238" s="887">
        <f t="shared" si="87"/>
        <v>0</v>
      </c>
      <c r="V238" s="887">
        <f t="shared" si="88"/>
        <v>0</v>
      </c>
      <c r="W238" s="887">
        <f t="shared" si="89"/>
        <v>0</v>
      </c>
      <c r="X238" s="887">
        <f t="shared" si="90"/>
        <v>0</v>
      </c>
      <c r="Y238" s="888">
        <f t="shared" si="91"/>
        <v>0</v>
      </c>
    </row>
    <row r="239" spans="1:25" ht="3.95" customHeight="1" x14ac:dyDescent="0.2">
      <c r="A239" s="884"/>
      <c r="C239" s="888"/>
      <c r="D239" s="888"/>
      <c r="E239" s="888"/>
      <c r="F239" s="888"/>
      <c r="G239" s="888"/>
      <c r="H239" s="888"/>
      <c r="I239" s="888"/>
      <c r="J239" s="888"/>
      <c r="K239" s="888"/>
      <c r="L239" s="888"/>
      <c r="M239" s="888"/>
      <c r="N239" s="888"/>
      <c r="O239" s="887"/>
      <c r="P239" s="887"/>
      <c r="Q239" s="885"/>
      <c r="R239" s="890"/>
      <c r="S239" s="885"/>
      <c r="T239" s="887"/>
      <c r="U239" s="887"/>
      <c r="V239" s="887"/>
      <c r="W239" s="887"/>
      <c r="X239" s="887"/>
      <c r="Y239" s="888"/>
    </row>
    <row r="240" spans="1:25" x14ac:dyDescent="0.2">
      <c r="A240" s="884" t="s">
        <v>194</v>
      </c>
      <c r="C240" s="158">
        <v>0</v>
      </c>
      <c r="D240" s="158">
        <v>0</v>
      </c>
      <c r="E240" s="158">
        <v>0</v>
      </c>
      <c r="F240" s="158">
        <v>0</v>
      </c>
      <c r="G240" s="158">
        <v>0</v>
      </c>
      <c r="H240" s="158">
        <v>0</v>
      </c>
      <c r="I240" s="158">
        <v>0</v>
      </c>
      <c r="J240" s="158">
        <v>0</v>
      </c>
      <c r="K240" s="158">
        <v>0</v>
      </c>
      <c r="L240" s="158">
        <v>0</v>
      </c>
      <c r="M240" s="158">
        <v>0</v>
      </c>
      <c r="N240" s="158">
        <v>0</v>
      </c>
      <c r="O240" s="156">
        <f>SUM(C240:N240)</f>
        <v>0</v>
      </c>
      <c r="P240" s="156"/>
      <c r="Q240" s="885"/>
      <c r="R240" s="886" t="s">
        <v>104</v>
      </c>
      <c r="S240" s="885"/>
      <c r="T240" s="156"/>
      <c r="U240" s="887">
        <f t="shared" ref="U240:U246" si="92">C240+D240+E240</f>
        <v>0</v>
      </c>
      <c r="V240" s="887">
        <f t="shared" ref="V240:V246" si="93">F240+G240+H240</f>
        <v>0</v>
      </c>
      <c r="W240" s="887">
        <f t="shared" ref="W240:W246" si="94">I240+J240+K240</f>
        <v>0</v>
      </c>
      <c r="X240" s="887">
        <f t="shared" ref="X240:X246" si="95">L240+M240+N240</f>
        <v>0</v>
      </c>
      <c r="Y240" s="888">
        <f t="shared" ref="Y240:Y246" si="96">SUM(U240:X240)</f>
        <v>0</v>
      </c>
    </row>
    <row r="241" spans="1:25" x14ac:dyDescent="0.2">
      <c r="A241" s="884" t="s">
        <v>195</v>
      </c>
      <c r="C241" s="158">
        <v>0</v>
      </c>
      <c r="D241" s="158">
        <v>0</v>
      </c>
      <c r="E241" s="158">
        <v>0</v>
      </c>
      <c r="F241" s="158">
        <v>0</v>
      </c>
      <c r="G241" s="158">
        <v>0</v>
      </c>
      <c r="H241" s="158">
        <v>0</v>
      </c>
      <c r="I241" s="158">
        <v>0</v>
      </c>
      <c r="J241" s="158">
        <v>0</v>
      </c>
      <c r="K241" s="158">
        <v>0</v>
      </c>
      <c r="L241" s="158">
        <v>0</v>
      </c>
      <c r="M241" s="158">
        <v>0</v>
      </c>
      <c r="N241" s="158">
        <v>0</v>
      </c>
      <c r="O241" s="156">
        <f>SUM(C241:N241)</f>
        <v>0</v>
      </c>
      <c r="P241" s="156"/>
      <c r="Q241" s="885"/>
      <c r="R241" s="886" t="s">
        <v>104</v>
      </c>
      <c r="S241" s="885"/>
      <c r="T241" s="156"/>
      <c r="U241" s="887">
        <f t="shared" si="92"/>
        <v>0</v>
      </c>
      <c r="V241" s="887">
        <f t="shared" si="93"/>
        <v>0</v>
      </c>
      <c r="W241" s="887">
        <f t="shared" si="94"/>
        <v>0</v>
      </c>
      <c r="X241" s="887">
        <f t="shared" si="95"/>
        <v>0</v>
      </c>
      <c r="Y241" s="888">
        <f t="shared" si="96"/>
        <v>0</v>
      </c>
    </row>
    <row r="242" spans="1:25" x14ac:dyDescent="0.2">
      <c r="A242" s="884" t="s">
        <v>180</v>
      </c>
      <c r="C242" s="158">
        <v>0</v>
      </c>
      <c r="D242" s="158">
        <v>0</v>
      </c>
      <c r="E242" s="158">
        <v>0</v>
      </c>
      <c r="F242" s="158">
        <v>0</v>
      </c>
      <c r="G242" s="158">
        <v>0</v>
      </c>
      <c r="H242" s="158">
        <v>0</v>
      </c>
      <c r="I242" s="158">
        <v>0</v>
      </c>
      <c r="J242" s="158">
        <v>0</v>
      </c>
      <c r="K242" s="158">
        <v>0</v>
      </c>
      <c r="L242" s="158">
        <v>0</v>
      </c>
      <c r="M242" s="158">
        <v>0</v>
      </c>
      <c r="N242" s="158">
        <v>0</v>
      </c>
      <c r="O242" s="156">
        <f>SUM(C242:N242)</f>
        <v>0</v>
      </c>
      <c r="P242" s="156"/>
      <c r="Q242" s="885"/>
      <c r="R242" s="886" t="s">
        <v>104</v>
      </c>
      <c r="S242" s="885"/>
      <c r="T242" s="156"/>
      <c r="U242" s="887">
        <f t="shared" si="92"/>
        <v>0</v>
      </c>
      <c r="V242" s="887">
        <f t="shared" si="93"/>
        <v>0</v>
      </c>
      <c r="W242" s="887">
        <f t="shared" si="94"/>
        <v>0</v>
      </c>
      <c r="X242" s="887">
        <f t="shared" si="95"/>
        <v>0</v>
      </c>
      <c r="Y242" s="888">
        <f t="shared" si="96"/>
        <v>0</v>
      </c>
    </row>
    <row r="243" spans="1:25" x14ac:dyDescent="0.2">
      <c r="A243" s="884" t="s">
        <v>122</v>
      </c>
      <c r="C243" s="895">
        <v>0</v>
      </c>
      <c r="D243" s="895">
        <v>0</v>
      </c>
      <c r="E243" s="895">
        <v>0</v>
      </c>
      <c r="F243" s="895">
        <v>0</v>
      </c>
      <c r="G243" s="895">
        <v>0</v>
      </c>
      <c r="H243" s="895">
        <v>0</v>
      </c>
      <c r="I243" s="895">
        <v>0</v>
      </c>
      <c r="J243" s="895">
        <v>0</v>
      </c>
      <c r="K243" s="895">
        <v>0</v>
      </c>
      <c r="L243" s="895">
        <v>0</v>
      </c>
      <c r="M243" s="895">
        <v>0</v>
      </c>
      <c r="N243" s="895">
        <v>0</v>
      </c>
      <c r="O243" s="887">
        <f>C243+D243+E243+F243+G243+H243+I243+J243+K243+L243+M243+N243</f>
        <v>0</v>
      </c>
      <c r="P243" s="887"/>
      <c r="Q243" s="885"/>
      <c r="R243" s="886" t="s">
        <v>104</v>
      </c>
      <c r="S243" s="885"/>
      <c r="T243" s="887"/>
      <c r="U243" s="887">
        <f>C243+D243+E243</f>
        <v>0</v>
      </c>
      <c r="V243" s="887">
        <f>F243+G243+H243</f>
        <v>0</v>
      </c>
      <c r="W243" s="887">
        <f>I243+J243+K243</f>
        <v>0</v>
      </c>
      <c r="X243" s="887">
        <f>L243+M243+N243</f>
        <v>0</v>
      </c>
      <c r="Y243" s="888">
        <f>SUM(U243:X243)</f>
        <v>0</v>
      </c>
    </row>
    <row r="244" spans="1:25" x14ac:dyDescent="0.2">
      <c r="A244" s="884" t="s">
        <v>57</v>
      </c>
      <c r="C244" s="895">
        <v>0</v>
      </c>
      <c r="D244" s="895">
        <v>0</v>
      </c>
      <c r="E244" s="895">
        <v>0</v>
      </c>
      <c r="F244" s="895">
        <v>0</v>
      </c>
      <c r="G244" s="895">
        <v>0</v>
      </c>
      <c r="H244" s="895">
        <v>0</v>
      </c>
      <c r="I244" s="895">
        <v>0</v>
      </c>
      <c r="J244" s="895">
        <v>0</v>
      </c>
      <c r="K244" s="895">
        <v>0</v>
      </c>
      <c r="L244" s="895">
        <v>0</v>
      </c>
      <c r="M244" s="895">
        <v>0</v>
      </c>
      <c r="N244" s="895">
        <v>0</v>
      </c>
      <c r="O244" s="887">
        <f>C244+D244+E244+F244+G244+H244+I244+J244+K244+L244+M244+N244</f>
        <v>0</v>
      </c>
      <c r="P244" s="887"/>
      <c r="Q244" s="885"/>
      <c r="R244" s="886" t="s">
        <v>104</v>
      </c>
      <c r="S244" s="885"/>
      <c r="T244" s="887"/>
      <c r="U244" s="887">
        <f>C244+D244+E244</f>
        <v>0</v>
      </c>
      <c r="V244" s="887">
        <f>F244+G244+H244</f>
        <v>0</v>
      </c>
      <c r="W244" s="887">
        <f>I244+J244+K244</f>
        <v>0</v>
      </c>
      <c r="X244" s="887">
        <f>L244+M244+N244</f>
        <v>0</v>
      </c>
      <c r="Y244" s="888">
        <f>SUM(U244:X244)</f>
        <v>0</v>
      </c>
    </row>
    <row r="245" spans="1:25" x14ac:dyDescent="0.2">
      <c r="A245" s="884" t="s">
        <v>67</v>
      </c>
      <c r="C245" s="895">
        <v>0</v>
      </c>
      <c r="D245" s="895">
        <v>0</v>
      </c>
      <c r="E245" s="895">
        <v>0</v>
      </c>
      <c r="F245" s="895">
        <v>0</v>
      </c>
      <c r="G245" s="895">
        <v>0</v>
      </c>
      <c r="H245" s="895">
        <v>0</v>
      </c>
      <c r="I245" s="895">
        <v>0</v>
      </c>
      <c r="J245" s="895">
        <v>0</v>
      </c>
      <c r="K245" s="895">
        <v>0</v>
      </c>
      <c r="L245" s="895">
        <v>0</v>
      </c>
      <c r="M245" s="895">
        <v>0</v>
      </c>
      <c r="N245" s="895">
        <v>0</v>
      </c>
      <c r="O245" s="887">
        <f>C245+D245+E245+F245+G245+H245+I245+J245+K245+L245+M245+N245</f>
        <v>0</v>
      </c>
      <c r="P245" s="887"/>
      <c r="Q245" s="885"/>
      <c r="R245" s="886" t="s">
        <v>104</v>
      </c>
      <c r="S245" s="885"/>
      <c r="T245" s="887"/>
      <c r="U245" s="887">
        <f>C245+D245+E245</f>
        <v>0</v>
      </c>
      <c r="V245" s="887">
        <f>F245+G245+H245</f>
        <v>0</v>
      </c>
      <c r="W245" s="887">
        <f>I245+J245+K245</f>
        <v>0</v>
      </c>
      <c r="X245" s="887">
        <f>L245+M245+N245</f>
        <v>0</v>
      </c>
      <c r="Y245" s="888">
        <f>SUM(U245:X245)</f>
        <v>0</v>
      </c>
    </row>
    <row r="246" spans="1:25" x14ac:dyDescent="0.2">
      <c r="A246" s="884" t="s">
        <v>179</v>
      </c>
      <c r="C246" s="895">
        <v>-3</v>
      </c>
      <c r="D246" s="895">
        <v>-3</v>
      </c>
      <c r="E246" s="895">
        <v>-3</v>
      </c>
      <c r="F246" s="895">
        <v>-3</v>
      </c>
      <c r="G246" s="895">
        <v>-3</v>
      </c>
      <c r="H246" s="895">
        <v>-3</v>
      </c>
      <c r="I246" s="895">
        <v>-3</v>
      </c>
      <c r="J246" s="895">
        <v>-3</v>
      </c>
      <c r="K246" s="895">
        <v>-3</v>
      </c>
      <c r="L246" s="895">
        <v>-3</v>
      </c>
      <c r="M246" s="895">
        <v>-3</v>
      </c>
      <c r="N246" s="895">
        <v>-3</v>
      </c>
      <c r="O246" s="156">
        <f>SUM(C246:N246)</f>
        <v>-36</v>
      </c>
      <c r="P246" s="156"/>
      <c r="Q246" s="885"/>
      <c r="R246" s="886" t="s">
        <v>104</v>
      </c>
      <c r="S246" s="885"/>
      <c r="T246" s="156"/>
      <c r="U246" s="887">
        <f t="shared" si="92"/>
        <v>-9</v>
      </c>
      <c r="V246" s="887">
        <f t="shared" si="93"/>
        <v>-9</v>
      </c>
      <c r="W246" s="887">
        <f t="shared" si="94"/>
        <v>-9</v>
      </c>
      <c r="X246" s="887">
        <f t="shared" si="95"/>
        <v>-9</v>
      </c>
      <c r="Y246" s="888">
        <f t="shared" si="96"/>
        <v>-36</v>
      </c>
    </row>
    <row r="247" spans="1:25" ht="3.95" customHeight="1" x14ac:dyDescent="0.2">
      <c r="A247" s="884"/>
      <c r="C247" s="904"/>
      <c r="D247" s="904"/>
      <c r="E247" s="904"/>
      <c r="F247" s="904"/>
      <c r="G247" s="904"/>
      <c r="H247" s="904"/>
      <c r="I247" s="904"/>
      <c r="J247" s="904"/>
      <c r="K247" s="904"/>
      <c r="L247" s="904"/>
      <c r="M247" s="904"/>
      <c r="N247" s="904"/>
      <c r="O247" s="887"/>
      <c r="P247" s="887"/>
      <c r="Q247" s="885"/>
      <c r="R247" s="886"/>
      <c r="S247" s="885"/>
      <c r="T247" s="887"/>
      <c r="U247" s="887"/>
      <c r="V247" s="887"/>
      <c r="W247" s="887"/>
      <c r="X247" s="887"/>
      <c r="Y247" s="888"/>
    </row>
    <row r="248" spans="1:25" ht="12.75" customHeight="1" x14ac:dyDescent="0.2">
      <c r="A248" s="884" t="s">
        <v>196</v>
      </c>
      <c r="C248" s="141">
        <v>0</v>
      </c>
      <c r="D248" s="141">
        <v>0</v>
      </c>
      <c r="E248" s="141">
        <v>0</v>
      </c>
      <c r="F248" s="141">
        <v>0</v>
      </c>
      <c r="G248" s="141">
        <v>0</v>
      </c>
      <c r="H248" s="141">
        <v>0</v>
      </c>
      <c r="I248" s="141">
        <v>0</v>
      </c>
      <c r="J248" s="141">
        <v>0</v>
      </c>
      <c r="K248" s="141">
        <v>0</v>
      </c>
      <c r="L248" s="141">
        <v>0</v>
      </c>
      <c r="M248" s="141">
        <v>0</v>
      </c>
      <c r="N248" s="141">
        <v>0</v>
      </c>
      <c r="O248" s="156">
        <f>SUM(C248:N248)</f>
        <v>0</v>
      </c>
      <c r="P248" s="887"/>
      <c r="Q248" s="885"/>
      <c r="R248" s="909" t="s">
        <v>72</v>
      </c>
      <c r="S248" s="885"/>
      <c r="T248" s="887"/>
      <c r="U248" s="887">
        <f>C248+D248+E248</f>
        <v>0</v>
      </c>
      <c r="V248" s="887">
        <f>F248+G248+H248</f>
        <v>0</v>
      </c>
      <c r="W248" s="887">
        <f>I248+J248+K248</f>
        <v>0</v>
      </c>
      <c r="X248" s="887">
        <f>L248+M248+N248</f>
        <v>0</v>
      </c>
      <c r="Y248" s="888">
        <f>SUM(U248:X248)</f>
        <v>0</v>
      </c>
    </row>
    <row r="249" spans="1:25" ht="12.75" customHeight="1" x14ac:dyDescent="0.2">
      <c r="A249" s="884" t="s">
        <v>714</v>
      </c>
      <c r="C249" s="158">
        <v>66</v>
      </c>
      <c r="D249" s="158">
        <v>110</v>
      </c>
      <c r="E249" s="158">
        <v>90</v>
      </c>
      <c r="F249" s="158">
        <v>167</v>
      </c>
      <c r="G249" s="158">
        <v>253</v>
      </c>
      <c r="H249" s="158">
        <v>300</v>
      </c>
      <c r="I249" s="158">
        <v>311</v>
      </c>
      <c r="J249" s="158">
        <v>309</v>
      </c>
      <c r="K249" s="158">
        <v>294</v>
      </c>
      <c r="L249" s="158">
        <v>279</v>
      </c>
      <c r="M249" s="158">
        <v>310</v>
      </c>
      <c r="N249" s="158">
        <v>309</v>
      </c>
      <c r="O249" s="156">
        <f>SUM(C249:N249)</f>
        <v>2798</v>
      </c>
      <c r="P249" s="887"/>
      <c r="Q249" s="885"/>
      <c r="R249" s="909" t="s">
        <v>72</v>
      </c>
      <c r="S249" s="885"/>
      <c r="T249" s="887"/>
      <c r="U249" s="887">
        <f>C249+D249+E249</f>
        <v>266</v>
      </c>
      <c r="V249" s="887">
        <f>F249+G249+H249</f>
        <v>720</v>
      </c>
      <c r="W249" s="887">
        <f>I249+J249+K249</f>
        <v>914</v>
      </c>
      <c r="X249" s="887">
        <f>L249+M249+N249</f>
        <v>898</v>
      </c>
      <c r="Y249" s="888">
        <f>SUM(U249:X249)</f>
        <v>2798</v>
      </c>
    </row>
    <row r="250" spans="1:25" ht="12.75" customHeight="1" x14ac:dyDescent="0.2">
      <c r="A250" s="884" t="s">
        <v>197</v>
      </c>
      <c r="B250" s="994" t="s">
        <v>387</v>
      </c>
      <c r="C250" s="141">
        <v>40</v>
      </c>
      <c r="D250" s="141">
        <v>67</v>
      </c>
      <c r="E250" s="141">
        <v>55</v>
      </c>
      <c r="F250" s="141">
        <v>102</v>
      </c>
      <c r="G250" s="141">
        <v>155</v>
      </c>
      <c r="H250" s="141">
        <v>183</v>
      </c>
      <c r="I250" s="141">
        <v>190</v>
      </c>
      <c r="J250" s="141">
        <v>189</v>
      </c>
      <c r="K250" s="141">
        <v>180</v>
      </c>
      <c r="L250" s="141">
        <v>171</v>
      </c>
      <c r="M250" s="141">
        <v>189</v>
      </c>
      <c r="N250" s="141">
        <v>189</v>
      </c>
      <c r="O250" s="142">
        <f>SUM(C250:N250)</f>
        <v>1710</v>
      </c>
      <c r="P250" s="142"/>
      <c r="Q250" s="885"/>
      <c r="R250" s="909" t="s">
        <v>72</v>
      </c>
      <c r="S250" s="885"/>
      <c r="T250" s="142"/>
      <c r="U250" s="887">
        <f>C250+D250+E250</f>
        <v>162</v>
      </c>
      <c r="V250" s="887">
        <f>F250+G250+H250</f>
        <v>440</v>
      </c>
      <c r="W250" s="887">
        <f>I250+J250+K250</f>
        <v>559</v>
      </c>
      <c r="X250" s="887">
        <f>L250+M250+N250</f>
        <v>549</v>
      </c>
      <c r="Y250" s="888">
        <f>SUM(U250:X250)</f>
        <v>1710</v>
      </c>
    </row>
    <row r="251" spans="1:25" ht="12.75" customHeight="1" x14ac:dyDescent="0.2">
      <c r="A251" s="884" t="s">
        <v>198</v>
      </c>
      <c r="B251" s="994" t="s">
        <v>387</v>
      </c>
      <c r="C251" s="141">
        <v>-7</v>
      </c>
      <c r="D251" s="141">
        <v>-7</v>
      </c>
      <c r="E251" s="141">
        <v>-7</v>
      </c>
      <c r="F251" s="141">
        <v>-7</v>
      </c>
      <c r="G251" s="141">
        <v>-7</v>
      </c>
      <c r="H251" s="141">
        <v>-7</v>
      </c>
      <c r="I251" s="141">
        <v>-7</v>
      </c>
      <c r="J251" s="141">
        <v>-7</v>
      </c>
      <c r="K251" s="141">
        <v>-7</v>
      </c>
      <c r="L251" s="141">
        <v>-7</v>
      </c>
      <c r="M251" s="141">
        <v>-7</v>
      </c>
      <c r="N251" s="141">
        <v>-7</v>
      </c>
      <c r="O251" s="142">
        <f>SUM(C251:N251)</f>
        <v>-84</v>
      </c>
      <c r="P251" s="142"/>
      <c r="Q251" s="885"/>
      <c r="R251" s="909" t="s">
        <v>72</v>
      </c>
      <c r="S251" s="885"/>
      <c r="T251" s="142"/>
      <c r="U251" s="887">
        <f>C251+D251+E251</f>
        <v>-21</v>
      </c>
      <c r="V251" s="887">
        <f>F251+G251+H251</f>
        <v>-21</v>
      </c>
      <c r="W251" s="887">
        <f>I251+J251+K251</f>
        <v>-21</v>
      </c>
      <c r="X251" s="887">
        <f>L251+M251+N251</f>
        <v>-21</v>
      </c>
      <c r="Y251" s="888">
        <f>SUM(U251:X251)</f>
        <v>-84</v>
      </c>
    </row>
    <row r="252" spans="1:25" x14ac:dyDescent="0.2">
      <c r="A252" s="884" t="s">
        <v>199</v>
      </c>
      <c r="C252" s="990">
        <f>+OtherInc!C43</f>
        <v>0</v>
      </c>
      <c r="D252" s="990">
        <f>+OtherInc!D43</f>
        <v>0</v>
      </c>
      <c r="E252" s="990">
        <f>+OtherInc!E43</f>
        <v>0</v>
      </c>
      <c r="F252" s="990">
        <f>+OtherInc!F43</f>
        <v>0</v>
      </c>
      <c r="G252" s="990">
        <f>+OtherInc!G43</f>
        <v>0</v>
      </c>
      <c r="H252" s="990">
        <f>+OtherInc!H43</f>
        <v>0</v>
      </c>
      <c r="I252" s="990">
        <f>+OtherInc!I43</f>
        <v>0</v>
      </c>
      <c r="J252" s="990">
        <f>+OtherInc!J43</f>
        <v>0</v>
      </c>
      <c r="K252" s="990">
        <f>+OtherInc!K43</f>
        <v>0</v>
      </c>
      <c r="L252" s="990">
        <f>+OtherInc!L43</f>
        <v>0</v>
      </c>
      <c r="M252" s="990">
        <f>+OtherInc!M43</f>
        <v>0</v>
      </c>
      <c r="N252" s="990">
        <f>+OtherInc!N43</f>
        <v>0</v>
      </c>
      <c r="O252" s="143">
        <f>SUM(C252:N252)</f>
        <v>0</v>
      </c>
      <c r="P252" s="143"/>
      <c r="Q252" s="885"/>
      <c r="R252" s="890" t="s">
        <v>72</v>
      </c>
      <c r="S252" s="885"/>
      <c r="T252" s="143"/>
      <c r="U252" s="892">
        <f>C252+D252+E252</f>
        <v>0</v>
      </c>
      <c r="V252" s="892">
        <f>F252+G252+H252</f>
        <v>0</v>
      </c>
      <c r="W252" s="892">
        <f>I252+J252+K252</f>
        <v>0</v>
      </c>
      <c r="X252" s="892">
        <f>L252+M252+N252</f>
        <v>0</v>
      </c>
      <c r="Y252" s="893">
        <f>SUM(U252:X252)</f>
        <v>0</v>
      </c>
    </row>
    <row r="253" spans="1:25" s="898" customFormat="1" ht="6" customHeight="1" x14ac:dyDescent="0.2">
      <c r="Q253" s="903"/>
      <c r="S253" s="903"/>
    </row>
    <row r="254" spans="1:25" s="898" customFormat="1" ht="12.75" customHeight="1" x14ac:dyDescent="0.2">
      <c r="A254" s="897" t="s">
        <v>200</v>
      </c>
      <c r="C254" s="891">
        <f>C209+C223+C231+SUM(C233:C252)</f>
        <v>-3584</v>
      </c>
      <c r="D254" s="891">
        <f t="shared" ref="D254:O254" si="97">D209+D223+D231+SUM(D233:D252)</f>
        <v>-3532</v>
      </c>
      <c r="E254" s="891">
        <f t="shared" si="97"/>
        <v>-3565</v>
      </c>
      <c r="F254" s="891">
        <f t="shared" si="97"/>
        <v>-3430</v>
      </c>
      <c r="G254" s="891">
        <f t="shared" si="97"/>
        <v>-3290</v>
      </c>
      <c r="H254" s="891">
        <f t="shared" si="97"/>
        <v>-3228</v>
      </c>
      <c r="I254" s="891">
        <f t="shared" si="97"/>
        <v>-3206</v>
      </c>
      <c r="J254" s="891">
        <f t="shared" si="97"/>
        <v>-3206</v>
      </c>
      <c r="K254" s="891">
        <f t="shared" si="97"/>
        <v>-3258</v>
      </c>
      <c r="L254" s="891">
        <f t="shared" si="97"/>
        <v>-3275</v>
      </c>
      <c r="M254" s="891">
        <f t="shared" si="97"/>
        <v>-3227</v>
      </c>
      <c r="N254" s="891">
        <f t="shared" si="97"/>
        <v>-3234</v>
      </c>
      <c r="O254" s="891">
        <f t="shared" si="97"/>
        <v>-40035</v>
      </c>
      <c r="P254" s="891"/>
      <c r="Q254" s="903"/>
      <c r="R254" s="896"/>
      <c r="S254" s="903"/>
      <c r="T254" s="891"/>
      <c r="U254" s="891">
        <f>U209+U223+U231+SUM(U233:U252)</f>
        <v>-10681</v>
      </c>
      <c r="V254" s="891">
        <f>V209+V223+V231+SUM(V233:V252)</f>
        <v>-9948</v>
      </c>
      <c r="W254" s="891">
        <f>W209+W223+W231+SUM(W233:W252)</f>
        <v>-9670</v>
      </c>
      <c r="X254" s="891">
        <f>X209+X223+X231+SUM(X233:X252)</f>
        <v>-9736</v>
      </c>
      <c r="Y254" s="891">
        <f>Y209+Y223+Y231+SUM(Y233:Y252)</f>
        <v>-40035</v>
      </c>
    </row>
    <row r="255" spans="1:25" s="898" customFormat="1" ht="12.75" customHeight="1" x14ac:dyDescent="0.2">
      <c r="A255" s="897"/>
      <c r="C255" s="891"/>
      <c r="D255" s="891"/>
      <c r="E255" s="891"/>
      <c r="F255" s="891"/>
      <c r="G255" s="891"/>
      <c r="H255" s="891"/>
      <c r="I255" s="891"/>
      <c r="J255" s="891"/>
      <c r="K255" s="891"/>
      <c r="L255" s="891"/>
      <c r="M255" s="891"/>
      <c r="N255" s="891"/>
      <c r="O255" s="891"/>
      <c r="P255" s="891"/>
      <c r="Q255" s="903"/>
      <c r="R255" s="896"/>
      <c r="S255" s="903"/>
      <c r="T255" s="891"/>
      <c r="U255" s="891"/>
      <c r="V255" s="891"/>
      <c r="W255" s="891"/>
      <c r="X255" s="891"/>
      <c r="Y255" s="891"/>
    </row>
    <row r="256" spans="1:25" s="898" customFormat="1" ht="12.75" customHeight="1" x14ac:dyDescent="0.2">
      <c r="A256" s="897" t="s">
        <v>181</v>
      </c>
      <c r="B256" s="916"/>
      <c r="C256" s="945">
        <f t="shared" ref="C256:O256" si="98">SUM(C182:C182)+C254</f>
        <v>-3584</v>
      </c>
      <c r="D256" s="945">
        <f t="shared" si="98"/>
        <v>-3532</v>
      </c>
      <c r="E256" s="945">
        <f t="shared" si="98"/>
        <v>-3565</v>
      </c>
      <c r="F256" s="945">
        <f t="shared" si="98"/>
        <v>-3430</v>
      </c>
      <c r="G256" s="945">
        <f t="shared" si="98"/>
        <v>-3290</v>
      </c>
      <c r="H256" s="945">
        <f t="shared" si="98"/>
        <v>-3228</v>
      </c>
      <c r="I256" s="945">
        <f t="shared" si="98"/>
        <v>-3206</v>
      </c>
      <c r="J256" s="945">
        <f t="shared" si="98"/>
        <v>-3206</v>
      </c>
      <c r="K256" s="945">
        <f t="shared" si="98"/>
        <v>-3258</v>
      </c>
      <c r="L256" s="945">
        <f t="shared" si="98"/>
        <v>-3275</v>
      </c>
      <c r="M256" s="945">
        <f t="shared" si="98"/>
        <v>-3227</v>
      </c>
      <c r="N256" s="945">
        <f t="shared" si="98"/>
        <v>-3234</v>
      </c>
      <c r="O256" s="945">
        <f t="shared" si="98"/>
        <v>-40035</v>
      </c>
      <c r="P256" s="945"/>
      <c r="Q256" s="946"/>
      <c r="R256" s="896"/>
      <c r="S256" s="946"/>
      <c r="T256" s="945"/>
      <c r="U256" s="945">
        <f>SUM(U182:U182)+U254</f>
        <v>-10681</v>
      </c>
      <c r="V256" s="945">
        <f>SUM(V182:V182)+V254</f>
        <v>-9948</v>
      </c>
      <c r="W256" s="945">
        <f>SUM(W182:W182)+W254</f>
        <v>-9670</v>
      </c>
      <c r="X256" s="945">
        <f>SUM(X182:X182)+X254</f>
        <v>-9736</v>
      </c>
      <c r="Y256" s="945">
        <f>SUM(Y182:Y182)+Y254</f>
        <v>-40035</v>
      </c>
    </row>
    <row r="257" spans="1:25" s="898" customFormat="1" ht="12.75" customHeight="1" x14ac:dyDescent="0.2">
      <c r="A257" s="884"/>
      <c r="C257" s="904"/>
      <c r="D257" s="904"/>
      <c r="E257" s="904"/>
      <c r="F257" s="904"/>
      <c r="G257" s="904"/>
      <c r="H257" s="904"/>
      <c r="I257" s="904"/>
      <c r="J257" s="904"/>
      <c r="K257" s="904"/>
      <c r="L257" s="904"/>
      <c r="M257" s="904"/>
      <c r="N257" s="904"/>
      <c r="O257" s="142"/>
      <c r="P257" s="142"/>
      <c r="Q257" s="946"/>
      <c r="S257" s="903"/>
      <c r="T257" s="142"/>
      <c r="U257" s="887"/>
      <c r="V257" s="887"/>
      <c r="W257" s="887"/>
      <c r="X257" s="887"/>
      <c r="Y257" s="888"/>
    </row>
    <row r="258" spans="1:25" s="898" customFormat="1" ht="12.75" customHeight="1" x14ac:dyDescent="0.2">
      <c r="A258" s="884"/>
      <c r="C258" s="904"/>
      <c r="D258" s="904"/>
      <c r="E258" s="904"/>
      <c r="F258" s="904"/>
      <c r="G258" s="904"/>
      <c r="H258" s="904"/>
      <c r="I258" s="904"/>
      <c r="J258" s="904"/>
      <c r="K258" s="904"/>
      <c r="L258" s="904"/>
      <c r="M258" s="904"/>
      <c r="N258" s="904"/>
      <c r="O258" s="142"/>
      <c r="P258" s="142"/>
      <c r="Q258" s="946"/>
      <c r="S258" s="903"/>
      <c r="T258" s="142"/>
      <c r="U258" s="887"/>
      <c r="V258" s="887"/>
      <c r="W258" s="887"/>
      <c r="X258" s="887"/>
      <c r="Y258" s="888"/>
    </row>
    <row r="259" spans="1:25" s="898" customFormat="1" ht="12.75" customHeight="1" x14ac:dyDescent="0.2">
      <c r="A259" s="884"/>
      <c r="C259" s="904"/>
      <c r="D259" s="904"/>
      <c r="E259" s="904"/>
      <c r="F259" s="904"/>
      <c r="G259" s="904"/>
      <c r="H259" s="904"/>
      <c r="I259" s="904"/>
      <c r="J259" s="904"/>
      <c r="K259" s="904"/>
      <c r="L259" s="904"/>
      <c r="M259" s="904"/>
      <c r="N259" s="904"/>
      <c r="O259" s="142"/>
      <c r="P259" s="142"/>
      <c r="Q259" s="946"/>
      <c r="S259" s="903"/>
      <c r="T259" s="142"/>
      <c r="U259" s="887"/>
      <c r="V259" s="887"/>
      <c r="W259" s="887"/>
      <c r="X259" s="887"/>
      <c r="Y259" s="888"/>
    </row>
    <row r="260" spans="1:25" s="898" customFormat="1" ht="12.75" customHeight="1" x14ac:dyDescent="0.2">
      <c r="A260" s="884"/>
      <c r="B260" s="916"/>
      <c r="C260" s="904"/>
      <c r="D260" s="904"/>
      <c r="E260" s="904"/>
      <c r="F260" s="904"/>
      <c r="G260" s="904"/>
      <c r="H260" s="904"/>
      <c r="I260" s="904"/>
      <c r="J260" s="904"/>
      <c r="K260" s="904"/>
      <c r="L260" s="904"/>
      <c r="M260" s="904"/>
      <c r="N260" s="904"/>
      <c r="O260" s="142"/>
      <c r="P260" s="142"/>
      <c r="Q260" s="946"/>
      <c r="R260" s="896"/>
      <c r="S260" s="946"/>
      <c r="T260" s="142"/>
      <c r="U260" s="887"/>
      <c r="V260" s="887"/>
      <c r="W260" s="887"/>
      <c r="X260" s="887"/>
      <c r="Y260" s="888"/>
    </row>
    <row r="261" spans="1:25" x14ac:dyDescent="0.2">
      <c r="A261" s="880" t="s">
        <v>201</v>
      </c>
      <c r="Q261" s="885"/>
      <c r="R261" s="865"/>
      <c r="S261" s="885"/>
      <c r="T261" s="865"/>
    </row>
    <row r="262" spans="1:25" x14ac:dyDescent="0.2">
      <c r="A262" s="884" t="s">
        <v>175</v>
      </c>
      <c r="C262" s="937">
        <v>0</v>
      </c>
      <c r="D262" s="938">
        <v>0</v>
      </c>
      <c r="E262" s="938">
        <v>0</v>
      </c>
      <c r="F262" s="938">
        <v>0</v>
      </c>
      <c r="G262" s="938">
        <v>0</v>
      </c>
      <c r="H262" s="938">
        <v>0</v>
      </c>
      <c r="I262" s="938">
        <v>0</v>
      </c>
      <c r="J262" s="938">
        <v>0</v>
      </c>
      <c r="K262" s="938">
        <v>0</v>
      </c>
      <c r="L262" s="938">
        <v>0</v>
      </c>
      <c r="M262" s="938">
        <v>0</v>
      </c>
      <c r="N262" s="938">
        <v>0</v>
      </c>
      <c r="O262" s="939">
        <f>SUM(C262:N262)</f>
        <v>0</v>
      </c>
      <c r="P262" s="940"/>
      <c r="Q262" s="908"/>
      <c r="R262" s="947" t="s">
        <v>63</v>
      </c>
      <c r="S262" s="908"/>
      <c r="T262" s="940"/>
      <c r="U262" s="923">
        <f>C262+D262+E262</f>
        <v>0</v>
      </c>
      <c r="V262" s="924">
        <f>F262+G262+H262</f>
        <v>0</v>
      </c>
      <c r="W262" s="924">
        <f>I262+J262+K262</f>
        <v>0</v>
      </c>
      <c r="X262" s="924">
        <f>L262+M262+N262</f>
        <v>0</v>
      </c>
      <c r="Y262" s="925">
        <f>SUM(U262:X262)</f>
        <v>0</v>
      </c>
    </row>
    <row r="263" spans="1:25" ht="6" customHeight="1" x14ac:dyDescent="0.2">
      <c r="A263" s="883"/>
      <c r="C263" s="608"/>
      <c r="D263" s="608"/>
      <c r="E263" s="608"/>
      <c r="F263" s="608"/>
      <c r="G263" s="608"/>
      <c r="H263" s="608"/>
      <c r="I263" s="608"/>
      <c r="J263" s="608"/>
      <c r="K263" s="608"/>
      <c r="L263" s="608"/>
      <c r="M263" s="608"/>
      <c r="N263" s="608"/>
      <c r="O263" s="615"/>
      <c r="P263" s="615"/>
      <c r="Q263" s="908"/>
      <c r="R263" s="947"/>
      <c r="S263" s="908"/>
      <c r="T263" s="615"/>
      <c r="U263" s="887"/>
      <c r="V263" s="887"/>
      <c r="W263" s="887"/>
      <c r="X263" s="887"/>
      <c r="Y263" s="888"/>
    </row>
    <row r="264" spans="1:25" x14ac:dyDescent="0.2">
      <c r="A264" s="884" t="s">
        <v>182</v>
      </c>
      <c r="C264" s="948">
        <v>0</v>
      </c>
      <c r="D264" s="949">
        <v>0</v>
      </c>
      <c r="E264" s="949">
        <v>0</v>
      </c>
      <c r="F264" s="949">
        <v>0</v>
      </c>
      <c r="G264" s="949">
        <v>0</v>
      </c>
      <c r="H264" s="949">
        <v>0</v>
      </c>
      <c r="I264" s="949">
        <v>0</v>
      </c>
      <c r="J264" s="949">
        <v>0</v>
      </c>
      <c r="K264" s="949">
        <v>0</v>
      </c>
      <c r="L264" s="949">
        <v>0</v>
      </c>
      <c r="M264" s="949">
        <v>0</v>
      </c>
      <c r="N264" s="949">
        <v>0</v>
      </c>
      <c r="O264" s="950">
        <f>SUM(C264:N264)</f>
        <v>0</v>
      </c>
      <c r="P264" s="951"/>
      <c r="Q264" s="885"/>
      <c r="R264" s="886" t="s">
        <v>92</v>
      </c>
      <c r="S264" s="885"/>
      <c r="T264" s="951"/>
      <c r="U264" s="923">
        <f>C264+D264+E264</f>
        <v>0</v>
      </c>
      <c r="V264" s="924">
        <f>F264+G264+H264</f>
        <v>0</v>
      </c>
      <c r="W264" s="924">
        <f>I264+J264+K264</f>
        <v>0</v>
      </c>
      <c r="X264" s="924">
        <f>L264+M264+N264</f>
        <v>0</v>
      </c>
      <c r="Y264" s="925">
        <f>SUM(U264:X264)</f>
        <v>0</v>
      </c>
    </row>
    <row r="265" spans="1:25" ht="6" customHeight="1" x14ac:dyDescent="0.2">
      <c r="A265" s="883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9"/>
      <c r="P265" s="129"/>
      <c r="Q265" s="885"/>
      <c r="R265" s="886"/>
      <c r="S265" s="885"/>
      <c r="T265" s="129"/>
      <c r="U265" s="887"/>
      <c r="V265" s="887"/>
      <c r="W265" s="887"/>
      <c r="X265" s="887"/>
      <c r="Y265" s="888"/>
    </row>
    <row r="266" spans="1:25" x14ac:dyDescent="0.2">
      <c r="A266" s="883" t="s">
        <v>75</v>
      </c>
      <c r="C266" s="888"/>
      <c r="D266" s="888"/>
      <c r="E266" s="888"/>
      <c r="F266" s="888"/>
      <c r="G266" s="888"/>
      <c r="H266" s="888"/>
      <c r="I266" s="888"/>
      <c r="J266" s="888"/>
      <c r="K266" s="888"/>
      <c r="L266" s="888"/>
      <c r="M266" s="888"/>
      <c r="N266" s="888"/>
      <c r="O266" s="887"/>
      <c r="P266" s="887"/>
      <c r="Q266" s="885"/>
      <c r="R266" s="888"/>
      <c r="S266" s="885"/>
      <c r="T266" s="887"/>
      <c r="U266" s="887"/>
      <c r="V266" s="887"/>
      <c r="W266" s="887"/>
      <c r="X266" s="887"/>
      <c r="Y266" s="888"/>
    </row>
    <row r="267" spans="1:25" x14ac:dyDescent="0.2">
      <c r="A267" s="884" t="s">
        <v>83</v>
      </c>
      <c r="C267" s="895">
        <v>-294</v>
      </c>
      <c r="D267" s="895">
        <v>-302</v>
      </c>
      <c r="E267" s="895">
        <v>-298</v>
      </c>
      <c r="F267" s="895">
        <v>-317</v>
      </c>
      <c r="G267" s="895">
        <v>-302</v>
      </c>
      <c r="H267" s="895">
        <v>-324</v>
      </c>
      <c r="I267" s="895">
        <v>-302</v>
      </c>
      <c r="J267" s="895">
        <v>-304</v>
      </c>
      <c r="K267" s="895">
        <v>-300</v>
      </c>
      <c r="L267" s="895">
        <v>-295</v>
      </c>
      <c r="M267" s="895">
        <v>-295</v>
      </c>
      <c r="N267" s="895">
        <v>-308</v>
      </c>
      <c r="O267" s="689">
        <f t="shared" ref="O267:O276" si="99">SUM(C267:N267)</f>
        <v>-3641</v>
      </c>
      <c r="P267" s="689"/>
      <c r="Q267" s="885"/>
      <c r="R267" s="890" t="s">
        <v>84</v>
      </c>
      <c r="S267" s="885"/>
      <c r="T267" s="689"/>
      <c r="U267" s="887">
        <f t="shared" ref="U267:U276" si="100">C267+D267+E267</f>
        <v>-894</v>
      </c>
      <c r="V267" s="887">
        <f t="shared" ref="V267:V276" si="101">F267+G267+H267</f>
        <v>-943</v>
      </c>
      <c r="W267" s="887">
        <f t="shared" ref="W267:W276" si="102">I267+J267+K267</f>
        <v>-906</v>
      </c>
      <c r="X267" s="887">
        <f t="shared" ref="X267:X276" si="103">L267+M267+N267</f>
        <v>-898</v>
      </c>
      <c r="Y267" s="888">
        <f t="shared" ref="Y267:Y276" si="104">SUM(U267:X267)</f>
        <v>-3641</v>
      </c>
    </row>
    <row r="268" spans="1:25" x14ac:dyDescent="0.2">
      <c r="A268" s="884" t="s">
        <v>202</v>
      </c>
      <c r="C268" s="895">
        <v>19</v>
      </c>
      <c r="D268" s="895">
        <v>20</v>
      </c>
      <c r="E268" s="895">
        <v>19</v>
      </c>
      <c r="F268" s="895">
        <v>20</v>
      </c>
      <c r="G268" s="895">
        <v>19</v>
      </c>
      <c r="H268" s="895">
        <v>0</v>
      </c>
      <c r="I268" s="895">
        <v>0</v>
      </c>
      <c r="J268" s="895">
        <v>0</v>
      </c>
      <c r="K268" s="895">
        <v>0</v>
      </c>
      <c r="L268" s="895">
        <v>0</v>
      </c>
      <c r="M268" s="895">
        <v>0</v>
      </c>
      <c r="N268" s="895">
        <v>0</v>
      </c>
      <c r="O268" s="689">
        <f t="shared" si="99"/>
        <v>97</v>
      </c>
      <c r="P268" s="689"/>
      <c r="Q268" s="885"/>
      <c r="R268" s="890" t="s">
        <v>84</v>
      </c>
      <c r="S268" s="885"/>
      <c r="T268" s="689"/>
      <c r="U268" s="887">
        <f t="shared" si="100"/>
        <v>58</v>
      </c>
      <c r="V268" s="887">
        <f t="shared" si="101"/>
        <v>39</v>
      </c>
      <c r="W268" s="887">
        <f t="shared" si="102"/>
        <v>0</v>
      </c>
      <c r="X268" s="887">
        <f t="shared" si="103"/>
        <v>0</v>
      </c>
      <c r="Y268" s="888">
        <f t="shared" si="104"/>
        <v>97</v>
      </c>
    </row>
    <row r="269" spans="1:25" x14ac:dyDescent="0.2">
      <c r="A269" s="884" t="s">
        <v>126</v>
      </c>
      <c r="C269" s="895">
        <v>0</v>
      </c>
      <c r="D269" s="895">
        <v>0</v>
      </c>
      <c r="E269" s="895">
        <v>0</v>
      </c>
      <c r="F269" s="895">
        <v>0</v>
      </c>
      <c r="G269" s="895">
        <v>0</v>
      </c>
      <c r="H269" s="895">
        <v>0</v>
      </c>
      <c r="I269" s="895">
        <v>0</v>
      </c>
      <c r="J269" s="895">
        <v>0</v>
      </c>
      <c r="K269" s="895">
        <v>0</v>
      </c>
      <c r="L269" s="895">
        <v>0</v>
      </c>
      <c r="M269" s="895">
        <v>0</v>
      </c>
      <c r="N269" s="895">
        <v>0</v>
      </c>
      <c r="O269" s="689">
        <f t="shared" si="99"/>
        <v>0</v>
      </c>
      <c r="P269" s="689"/>
      <c r="Q269" s="885"/>
      <c r="R269" s="890" t="s">
        <v>84</v>
      </c>
      <c r="S269" s="885"/>
      <c r="T269" s="689"/>
      <c r="U269" s="887">
        <f t="shared" si="100"/>
        <v>0</v>
      </c>
      <c r="V269" s="887">
        <f t="shared" si="101"/>
        <v>0</v>
      </c>
      <c r="W269" s="887">
        <f t="shared" si="102"/>
        <v>0</v>
      </c>
      <c r="X269" s="887">
        <f t="shared" si="103"/>
        <v>0</v>
      </c>
      <c r="Y269" s="888">
        <f t="shared" si="104"/>
        <v>0</v>
      </c>
    </row>
    <row r="270" spans="1:25" x14ac:dyDescent="0.2">
      <c r="A270" s="884" t="s">
        <v>203</v>
      </c>
      <c r="C270" s="895">
        <v>0</v>
      </c>
      <c r="D270" s="895">
        <v>0</v>
      </c>
      <c r="E270" s="895">
        <v>0</v>
      </c>
      <c r="F270" s="895">
        <v>0</v>
      </c>
      <c r="G270" s="895">
        <v>0</v>
      </c>
      <c r="H270" s="895">
        <v>0</v>
      </c>
      <c r="I270" s="895">
        <v>0</v>
      </c>
      <c r="J270" s="895">
        <v>0</v>
      </c>
      <c r="K270" s="895">
        <v>0</v>
      </c>
      <c r="L270" s="895">
        <v>0</v>
      </c>
      <c r="M270" s="895">
        <v>0</v>
      </c>
      <c r="N270" s="895">
        <v>0</v>
      </c>
      <c r="O270" s="689">
        <f t="shared" si="99"/>
        <v>0</v>
      </c>
      <c r="P270" s="689"/>
      <c r="Q270" s="885"/>
      <c r="R270" s="890" t="s">
        <v>84</v>
      </c>
      <c r="S270" s="885"/>
      <c r="T270" s="689"/>
      <c r="U270" s="887">
        <f t="shared" si="100"/>
        <v>0</v>
      </c>
      <c r="V270" s="887">
        <f t="shared" si="101"/>
        <v>0</v>
      </c>
      <c r="W270" s="887">
        <f t="shared" si="102"/>
        <v>0</v>
      </c>
      <c r="X270" s="887">
        <f t="shared" si="103"/>
        <v>0</v>
      </c>
      <c r="Y270" s="888">
        <f t="shared" si="104"/>
        <v>0</v>
      </c>
    </row>
    <row r="271" spans="1:25" x14ac:dyDescent="0.2">
      <c r="A271" s="884" t="s">
        <v>204</v>
      </c>
      <c r="C271" s="895">
        <v>0</v>
      </c>
      <c r="D271" s="895">
        <v>0</v>
      </c>
      <c r="E271" s="895">
        <v>0</v>
      </c>
      <c r="F271" s="895">
        <v>0</v>
      </c>
      <c r="G271" s="895">
        <v>0</v>
      </c>
      <c r="H271" s="895">
        <v>0</v>
      </c>
      <c r="I271" s="895">
        <v>0</v>
      </c>
      <c r="J271" s="895">
        <v>0</v>
      </c>
      <c r="K271" s="895">
        <v>0</v>
      </c>
      <c r="L271" s="895">
        <v>0</v>
      </c>
      <c r="M271" s="895">
        <v>0</v>
      </c>
      <c r="N271" s="895">
        <v>0</v>
      </c>
      <c r="O271" s="689">
        <f t="shared" si="99"/>
        <v>0</v>
      </c>
      <c r="P271" s="689"/>
      <c r="Q271" s="885"/>
      <c r="R271" s="890" t="s">
        <v>84</v>
      </c>
      <c r="S271" s="885"/>
      <c r="T271" s="689"/>
      <c r="U271" s="887">
        <f t="shared" si="100"/>
        <v>0</v>
      </c>
      <c r="V271" s="887">
        <f t="shared" si="101"/>
        <v>0</v>
      </c>
      <c r="W271" s="887">
        <f t="shared" si="102"/>
        <v>0</v>
      </c>
      <c r="X271" s="887">
        <f t="shared" si="103"/>
        <v>0</v>
      </c>
      <c r="Y271" s="888">
        <f t="shared" si="104"/>
        <v>0</v>
      </c>
    </row>
    <row r="272" spans="1:25" x14ac:dyDescent="0.2">
      <c r="A272" s="884" t="s">
        <v>205</v>
      </c>
      <c r="C272" s="895">
        <v>-60</v>
      </c>
      <c r="D272" s="895">
        <v>-64</v>
      </c>
      <c r="E272" s="895">
        <v>-61</v>
      </c>
      <c r="F272" s="895">
        <v>-61</v>
      </c>
      <c r="G272" s="895">
        <v>-75</v>
      </c>
      <c r="H272" s="895">
        <v>-61</v>
      </c>
      <c r="I272" s="895">
        <v>-61</v>
      </c>
      <c r="J272" s="895">
        <v>-61</v>
      </c>
      <c r="K272" s="895">
        <v>-61</v>
      </c>
      <c r="L272" s="895">
        <v>-61</v>
      </c>
      <c r="M272" s="895">
        <v>-61</v>
      </c>
      <c r="N272" s="895">
        <v>-61</v>
      </c>
      <c r="O272" s="689">
        <f t="shared" si="99"/>
        <v>-748</v>
      </c>
      <c r="P272" s="689"/>
      <c r="Q272" s="885"/>
      <c r="R272" s="890" t="s">
        <v>84</v>
      </c>
      <c r="S272" s="885"/>
      <c r="T272" s="689"/>
      <c r="U272" s="887">
        <f t="shared" si="100"/>
        <v>-185</v>
      </c>
      <c r="V272" s="887">
        <f t="shared" si="101"/>
        <v>-197</v>
      </c>
      <c r="W272" s="887">
        <f t="shared" si="102"/>
        <v>-183</v>
      </c>
      <c r="X272" s="887">
        <f t="shared" si="103"/>
        <v>-183</v>
      </c>
      <c r="Y272" s="888">
        <f t="shared" si="104"/>
        <v>-748</v>
      </c>
    </row>
    <row r="273" spans="1:25" x14ac:dyDescent="0.2">
      <c r="A273" s="884" t="s">
        <v>129</v>
      </c>
      <c r="C273" s="895">
        <v>13</v>
      </c>
      <c r="D273" s="895">
        <v>13</v>
      </c>
      <c r="E273" s="895">
        <v>13</v>
      </c>
      <c r="F273" s="895">
        <v>13</v>
      </c>
      <c r="G273" s="895">
        <v>13</v>
      </c>
      <c r="H273" s="895">
        <v>13</v>
      </c>
      <c r="I273" s="895">
        <v>13</v>
      </c>
      <c r="J273" s="895">
        <v>13</v>
      </c>
      <c r="K273" s="895">
        <v>13</v>
      </c>
      <c r="L273" s="895">
        <v>13</v>
      </c>
      <c r="M273" s="895">
        <v>13</v>
      </c>
      <c r="N273" s="895">
        <v>14</v>
      </c>
      <c r="O273" s="689">
        <f t="shared" si="99"/>
        <v>157</v>
      </c>
      <c r="P273" s="689"/>
      <c r="Q273" s="885"/>
      <c r="R273" s="890" t="s">
        <v>84</v>
      </c>
      <c r="S273" s="885"/>
      <c r="T273" s="689"/>
      <c r="U273" s="887">
        <f t="shared" si="100"/>
        <v>39</v>
      </c>
      <c r="V273" s="887">
        <f t="shared" si="101"/>
        <v>39</v>
      </c>
      <c r="W273" s="887">
        <f t="shared" si="102"/>
        <v>39</v>
      </c>
      <c r="X273" s="887">
        <f t="shared" si="103"/>
        <v>40</v>
      </c>
      <c r="Y273" s="888">
        <f t="shared" si="104"/>
        <v>157</v>
      </c>
    </row>
    <row r="274" spans="1:25" x14ac:dyDescent="0.2">
      <c r="A274" s="884" t="s">
        <v>206</v>
      </c>
      <c r="C274" s="895">
        <f>0</f>
        <v>0</v>
      </c>
      <c r="D274" s="895">
        <f>0</f>
        <v>0</v>
      </c>
      <c r="E274" s="895">
        <f>0</f>
        <v>0</v>
      </c>
      <c r="F274" s="895">
        <f>0</f>
        <v>0</v>
      </c>
      <c r="G274" s="895">
        <f>0</f>
        <v>0</v>
      </c>
      <c r="H274" s="895">
        <f>0</f>
        <v>0</v>
      </c>
      <c r="I274" s="895">
        <f>0</f>
        <v>0</v>
      </c>
      <c r="J274" s="895">
        <f>0</f>
        <v>0</v>
      </c>
      <c r="K274" s="895">
        <f>0</f>
        <v>0</v>
      </c>
      <c r="L274" s="895">
        <f>0</f>
        <v>0</v>
      </c>
      <c r="M274" s="895">
        <f>0</f>
        <v>0</v>
      </c>
      <c r="N274" s="895">
        <f>0</f>
        <v>0</v>
      </c>
      <c r="O274" s="689">
        <f t="shared" si="99"/>
        <v>0</v>
      </c>
      <c r="P274" s="689"/>
      <c r="Q274" s="885"/>
      <c r="R274" s="890" t="s">
        <v>84</v>
      </c>
      <c r="S274" s="885"/>
      <c r="T274" s="689"/>
      <c r="U274" s="887">
        <f t="shared" si="100"/>
        <v>0</v>
      </c>
      <c r="V274" s="887">
        <f t="shared" si="101"/>
        <v>0</v>
      </c>
      <c r="W274" s="887">
        <f t="shared" si="102"/>
        <v>0</v>
      </c>
      <c r="X274" s="887">
        <f t="shared" si="103"/>
        <v>0</v>
      </c>
      <c r="Y274" s="888">
        <f t="shared" si="104"/>
        <v>0</v>
      </c>
    </row>
    <row r="275" spans="1:25" x14ac:dyDescent="0.2">
      <c r="A275" s="884" t="s">
        <v>207</v>
      </c>
      <c r="C275" s="895">
        <v>0</v>
      </c>
      <c r="D275" s="895">
        <v>0</v>
      </c>
      <c r="E275" s="895">
        <v>0</v>
      </c>
      <c r="F275" s="895">
        <v>0</v>
      </c>
      <c r="G275" s="895">
        <v>0</v>
      </c>
      <c r="H275" s="895">
        <v>0</v>
      </c>
      <c r="I275" s="895">
        <v>0</v>
      </c>
      <c r="J275" s="895">
        <v>0</v>
      </c>
      <c r="K275" s="895">
        <v>0</v>
      </c>
      <c r="L275" s="895">
        <v>0</v>
      </c>
      <c r="M275" s="895">
        <v>0</v>
      </c>
      <c r="N275" s="895">
        <v>0</v>
      </c>
      <c r="O275" s="689">
        <f t="shared" si="99"/>
        <v>0</v>
      </c>
      <c r="P275" s="689"/>
      <c r="Q275" s="885"/>
      <c r="R275" s="890" t="s">
        <v>84</v>
      </c>
      <c r="S275" s="885"/>
      <c r="T275" s="689"/>
      <c r="U275" s="887">
        <f t="shared" si="100"/>
        <v>0</v>
      </c>
      <c r="V275" s="887">
        <f t="shared" si="101"/>
        <v>0</v>
      </c>
      <c r="W275" s="887">
        <f t="shared" si="102"/>
        <v>0</v>
      </c>
      <c r="X275" s="887">
        <f t="shared" si="103"/>
        <v>0</v>
      </c>
      <c r="Y275" s="888">
        <f t="shared" si="104"/>
        <v>0</v>
      </c>
    </row>
    <row r="276" spans="1:25" s="898" customFormat="1" ht="12.75" customHeight="1" x14ac:dyDescent="0.2">
      <c r="A276" s="894" t="s">
        <v>208</v>
      </c>
      <c r="C276" s="864">
        <v>-38</v>
      </c>
      <c r="D276" s="864">
        <v>-38</v>
      </c>
      <c r="E276" s="864">
        <v>-38</v>
      </c>
      <c r="F276" s="864">
        <v>-39</v>
      </c>
      <c r="G276" s="864">
        <v>-38</v>
      </c>
      <c r="H276" s="864">
        <v>-38</v>
      </c>
      <c r="I276" s="864">
        <v>-38</v>
      </c>
      <c r="J276" s="864">
        <v>-39</v>
      </c>
      <c r="K276" s="864">
        <v>-38</v>
      </c>
      <c r="L276" s="864">
        <v>-38</v>
      </c>
      <c r="M276" s="864">
        <v>-38</v>
      </c>
      <c r="N276" s="864">
        <v>-39</v>
      </c>
      <c r="O276" s="691">
        <f t="shared" si="99"/>
        <v>-459</v>
      </c>
      <c r="P276" s="689"/>
      <c r="Q276" s="903"/>
      <c r="R276" s="890" t="s">
        <v>84</v>
      </c>
      <c r="S276" s="903"/>
      <c r="T276" s="689"/>
      <c r="U276" s="943">
        <f t="shared" si="100"/>
        <v>-114</v>
      </c>
      <c r="V276" s="943">
        <f t="shared" si="101"/>
        <v>-115</v>
      </c>
      <c r="W276" s="943">
        <f t="shared" si="102"/>
        <v>-115</v>
      </c>
      <c r="X276" s="943">
        <f t="shared" si="103"/>
        <v>-115</v>
      </c>
      <c r="Y276" s="893">
        <f t="shared" si="104"/>
        <v>-459</v>
      </c>
    </row>
    <row r="277" spans="1:25" s="898" customFormat="1" ht="12.75" customHeight="1" x14ac:dyDescent="0.2">
      <c r="A277" s="884" t="s">
        <v>91</v>
      </c>
      <c r="C277" s="904">
        <f t="shared" ref="C277:O277" si="105">SUM(C267:C276)</f>
        <v>-360</v>
      </c>
      <c r="D277" s="904">
        <f t="shared" si="105"/>
        <v>-371</v>
      </c>
      <c r="E277" s="904">
        <f t="shared" si="105"/>
        <v>-365</v>
      </c>
      <c r="F277" s="904">
        <f t="shared" si="105"/>
        <v>-384</v>
      </c>
      <c r="G277" s="904">
        <f t="shared" si="105"/>
        <v>-383</v>
      </c>
      <c r="H277" s="904">
        <f t="shared" si="105"/>
        <v>-410</v>
      </c>
      <c r="I277" s="904">
        <f t="shared" si="105"/>
        <v>-388</v>
      </c>
      <c r="J277" s="904">
        <f t="shared" si="105"/>
        <v>-391</v>
      </c>
      <c r="K277" s="904">
        <f t="shared" si="105"/>
        <v>-386</v>
      </c>
      <c r="L277" s="904">
        <f t="shared" si="105"/>
        <v>-381</v>
      </c>
      <c r="M277" s="904">
        <f t="shared" si="105"/>
        <v>-381</v>
      </c>
      <c r="N277" s="904">
        <f t="shared" si="105"/>
        <v>-394</v>
      </c>
      <c r="O277" s="904">
        <f t="shared" si="105"/>
        <v>-4594</v>
      </c>
      <c r="P277" s="689"/>
      <c r="Q277" s="903"/>
      <c r="R277" s="890"/>
      <c r="S277" s="903"/>
      <c r="T277" s="689"/>
      <c r="U277" s="904">
        <f>SUM(U267:U276)</f>
        <v>-1096</v>
      </c>
      <c r="V277" s="904">
        <f>SUM(V267:V276)</f>
        <v>-1177</v>
      </c>
      <c r="W277" s="904">
        <f>SUM(W267:W276)</f>
        <v>-1165</v>
      </c>
      <c r="X277" s="904">
        <f>SUM(X267:X276)</f>
        <v>-1156</v>
      </c>
      <c r="Y277" s="904">
        <f>SUM(Y267:Y276)</f>
        <v>-4594</v>
      </c>
    </row>
    <row r="278" spans="1:25" s="898" customFormat="1" ht="3.95" customHeight="1" x14ac:dyDescent="0.2">
      <c r="A278" s="894"/>
      <c r="C278" s="863"/>
      <c r="D278" s="863"/>
      <c r="E278" s="863"/>
      <c r="F278" s="863"/>
      <c r="G278" s="863"/>
      <c r="H278" s="863"/>
      <c r="I278" s="863"/>
      <c r="J278" s="863"/>
      <c r="K278" s="863"/>
      <c r="L278" s="863"/>
      <c r="M278" s="863"/>
      <c r="N278" s="863"/>
      <c r="O278" s="689"/>
      <c r="P278" s="689"/>
      <c r="Q278" s="903"/>
      <c r="R278" s="890"/>
      <c r="S278" s="903"/>
      <c r="T278" s="689"/>
      <c r="U278" s="902"/>
      <c r="V278" s="902"/>
      <c r="W278" s="902"/>
      <c r="X278" s="902"/>
      <c r="Y278" s="888"/>
    </row>
    <row r="279" spans="1:25" s="898" customFormat="1" ht="12.75" customHeight="1" x14ac:dyDescent="0.2">
      <c r="A279" s="884" t="s">
        <v>846</v>
      </c>
      <c r="B279" s="865"/>
      <c r="C279" s="855">
        <f>-3+3</f>
        <v>0</v>
      </c>
      <c r="D279" s="855">
        <f t="shared" ref="D279:M279" si="106">-3+3</f>
        <v>0</v>
      </c>
      <c r="E279" s="855">
        <f t="shared" si="106"/>
        <v>0</v>
      </c>
      <c r="F279" s="855">
        <f>-4+4</f>
        <v>0</v>
      </c>
      <c r="G279" s="855">
        <f t="shared" si="106"/>
        <v>0</v>
      </c>
      <c r="H279" s="855">
        <f t="shared" si="106"/>
        <v>0</v>
      </c>
      <c r="I279" s="855">
        <f t="shared" si="106"/>
        <v>0</v>
      </c>
      <c r="J279" s="855">
        <f>-4+4</f>
        <v>0</v>
      </c>
      <c r="K279" s="855">
        <f t="shared" si="106"/>
        <v>0</v>
      </c>
      <c r="L279" s="855">
        <f t="shared" si="106"/>
        <v>0</v>
      </c>
      <c r="M279" s="855">
        <f t="shared" si="106"/>
        <v>0</v>
      </c>
      <c r="N279" s="855">
        <f>-4+4</f>
        <v>0</v>
      </c>
      <c r="O279" s="129">
        <f>SUM(C279:N279)</f>
        <v>0</v>
      </c>
      <c r="P279" s="129"/>
      <c r="Q279" s="885"/>
      <c r="R279" s="886" t="s">
        <v>92</v>
      </c>
      <c r="S279" s="885"/>
      <c r="T279" s="129"/>
      <c r="U279" s="887">
        <f>C279+D279+E279</f>
        <v>0</v>
      </c>
      <c r="V279" s="887">
        <f>F279+G279+H279</f>
        <v>0</v>
      </c>
      <c r="W279" s="887">
        <f>I279+J279+K279</f>
        <v>0</v>
      </c>
      <c r="X279" s="887">
        <f>L279+M279+N279</f>
        <v>0</v>
      </c>
      <c r="Y279" s="888">
        <f>SUM(U279:X279)</f>
        <v>0</v>
      </c>
    </row>
    <row r="280" spans="1:25" s="898" customFormat="1" ht="3.95" customHeight="1" x14ac:dyDescent="0.2">
      <c r="A280" s="894"/>
      <c r="C280" s="863"/>
      <c r="D280" s="863"/>
      <c r="E280" s="863"/>
      <c r="F280" s="863"/>
      <c r="G280" s="863"/>
      <c r="H280" s="863"/>
      <c r="I280" s="863"/>
      <c r="J280" s="863"/>
      <c r="K280" s="863"/>
      <c r="L280" s="863"/>
      <c r="M280" s="863"/>
      <c r="N280" s="863"/>
      <c r="O280" s="689"/>
      <c r="P280" s="689"/>
      <c r="Q280" s="903"/>
      <c r="R280" s="890"/>
      <c r="S280" s="903"/>
      <c r="T280" s="689"/>
      <c r="U280" s="902"/>
      <c r="V280" s="902"/>
      <c r="W280" s="902"/>
      <c r="X280" s="902"/>
      <c r="Y280" s="888"/>
    </row>
    <row r="281" spans="1:25" x14ac:dyDescent="0.2">
      <c r="A281" s="884" t="s">
        <v>94</v>
      </c>
      <c r="C281" s="128">
        <v>-4</v>
      </c>
      <c r="D281" s="128">
        <v>-9</v>
      </c>
      <c r="E281" s="128">
        <v>-4</v>
      </c>
      <c r="F281" s="128">
        <v>-3</v>
      </c>
      <c r="G281" s="128">
        <v>-4</v>
      </c>
      <c r="H281" s="128">
        <v>-4</v>
      </c>
      <c r="I281" s="128">
        <v>-3</v>
      </c>
      <c r="J281" s="128">
        <v>-4</v>
      </c>
      <c r="K281" s="128">
        <v>-4</v>
      </c>
      <c r="L281" s="128">
        <v>-3</v>
      </c>
      <c r="M281" s="128">
        <v>-4</v>
      </c>
      <c r="N281" s="128">
        <v>-3</v>
      </c>
      <c r="O281" s="129">
        <f>SUM(C281:N281)</f>
        <v>-49</v>
      </c>
      <c r="P281" s="129"/>
      <c r="Q281" s="885"/>
      <c r="R281" s="886" t="s">
        <v>95</v>
      </c>
      <c r="S281" s="885"/>
      <c r="T281" s="129"/>
      <c r="U281" s="887">
        <f>C281+D281+E281</f>
        <v>-17</v>
      </c>
      <c r="V281" s="887">
        <f>F281+G281+H281</f>
        <v>-11</v>
      </c>
      <c r="W281" s="887">
        <f>I281+J281+K281</f>
        <v>-11</v>
      </c>
      <c r="X281" s="887">
        <f>L281+M281+N281</f>
        <v>-10</v>
      </c>
      <c r="Y281" s="888">
        <f>SUM(U281:X281)</f>
        <v>-49</v>
      </c>
    </row>
    <row r="282" spans="1:25" ht="3.95" customHeight="1" x14ac:dyDescent="0.2">
      <c r="A282" s="884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9"/>
      <c r="P282" s="129"/>
      <c r="Q282" s="885"/>
      <c r="R282" s="886"/>
      <c r="S282" s="885"/>
      <c r="T282" s="129"/>
      <c r="U282" s="887"/>
      <c r="V282" s="887"/>
      <c r="W282" s="887"/>
      <c r="X282" s="887"/>
      <c r="Y282" s="888"/>
    </row>
    <row r="283" spans="1:25" s="898" customFormat="1" ht="12.75" customHeight="1" x14ac:dyDescent="0.2">
      <c r="A283" s="915" t="s">
        <v>96</v>
      </c>
      <c r="C283" s="899">
        <f>SUM(C277:C281)</f>
        <v>-364</v>
      </c>
      <c r="D283" s="900">
        <f>SUM(D277:D281)</f>
        <v>-380</v>
      </c>
      <c r="E283" s="900">
        <f t="shared" ref="E283:O283" si="107">SUM(E277:E281)</f>
        <v>-369</v>
      </c>
      <c r="F283" s="900">
        <f t="shared" si="107"/>
        <v>-387</v>
      </c>
      <c r="G283" s="900">
        <f t="shared" si="107"/>
        <v>-387</v>
      </c>
      <c r="H283" s="900">
        <f t="shared" si="107"/>
        <v>-414</v>
      </c>
      <c r="I283" s="900">
        <f t="shared" si="107"/>
        <v>-391</v>
      </c>
      <c r="J283" s="900">
        <f t="shared" si="107"/>
        <v>-395</v>
      </c>
      <c r="K283" s="900">
        <f t="shared" si="107"/>
        <v>-390</v>
      </c>
      <c r="L283" s="900">
        <f t="shared" si="107"/>
        <v>-384</v>
      </c>
      <c r="M283" s="900">
        <f t="shared" si="107"/>
        <v>-385</v>
      </c>
      <c r="N283" s="900">
        <f t="shared" si="107"/>
        <v>-397</v>
      </c>
      <c r="O283" s="901">
        <f t="shared" si="107"/>
        <v>-4643</v>
      </c>
      <c r="P283" s="902"/>
      <c r="Q283" s="908"/>
      <c r="R283" s="904"/>
      <c r="S283" s="908"/>
      <c r="T283" s="902"/>
      <c r="U283" s="899">
        <f>SUM(U277:U281)</f>
        <v>-1113</v>
      </c>
      <c r="V283" s="900">
        <f>SUM(V277:V281)</f>
        <v>-1188</v>
      </c>
      <c r="W283" s="900">
        <f>SUM(W277:W281)</f>
        <v>-1176</v>
      </c>
      <c r="X283" s="900">
        <f>SUM(X277:X281)</f>
        <v>-1166</v>
      </c>
      <c r="Y283" s="901">
        <f>SUM(Y277:Y281)</f>
        <v>-4643</v>
      </c>
    </row>
    <row r="284" spans="1:25" s="898" customFormat="1" ht="12.75" customHeight="1" x14ac:dyDescent="0.2">
      <c r="A284" s="915"/>
      <c r="C284" s="896"/>
      <c r="D284" s="896"/>
      <c r="E284" s="896"/>
      <c r="F284" s="896"/>
      <c r="G284" s="896"/>
      <c r="H284" s="896"/>
      <c r="I284" s="896"/>
      <c r="J284" s="896"/>
      <c r="K284" s="896"/>
      <c r="L284" s="896"/>
      <c r="M284" s="896"/>
      <c r="N284" s="896"/>
      <c r="O284" s="910"/>
      <c r="P284" s="910"/>
      <c r="Q284" s="903"/>
      <c r="R284" s="896"/>
      <c r="S284" s="903"/>
      <c r="T284" s="910"/>
      <c r="U284" s="910"/>
      <c r="V284" s="910"/>
      <c r="W284" s="910"/>
      <c r="X284" s="910"/>
      <c r="Y284" s="896"/>
    </row>
    <row r="285" spans="1:25" s="898" customFormat="1" ht="12.75" customHeight="1" x14ac:dyDescent="0.2">
      <c r="A285" s="930" t="s">
        <v>209</v>
      </c>
      <c r="B285" s="916"/>
      <c r="C285" s="917">
        <f t="shared" ref="C285:O285" si="108">+C262+C264+C283</f>
        <v>-364</v>
      </c>
      <c r="D285" s="918">
        <f t="shared" si="108"/>
        <v>-380</v>
      </c>
      <c r="E285" s="918">
        <f t="shared" si="108"/>
        <v>-369</v>
      </c>
      <c r="F285" s="918">
        <f t="shared" si="108"/>
        <v>-387</v>
      </c>
      <c r="G285" s="918">
        <f t="shared" si="108"/>
        <v>-387</v>
      </c>
      <c r="H285" s="918">
        <f t="shared" si="108"/>
        <v>-414</v>
      </c>
      <c r="I285" s="918">
        <f t="shared" si="108"/>
        <v>-391</v>
      </c>
      <c r="J285" s="918">
        <f t="shared" si="108"/>
        <v>-395</v>
      </c>
      <c r="K285" s="918">
        <f t="shared" si="108"/>
        <v>-390</v>
      </c>
      <c r="L285" s="918">
        <f t="shared" si="108"/>
        <v>-384</v>
      </c>
      <c r="M285" s="918">
        <f t="shared" si="108"/>
        <v>-385</v>
      </c>
      <c r="N285" s="918">
        <f t="shared" si="108"/>
        <v>-397</v>
      </c>
      <c r="O285" s="919">
        <f t="shared" si="108"/>
        <v>-4643</v>
      </c>
      <c r="P285" s="920"/>
      <c r="Q285" s="946"/>
      <c r="R285" s="896"/>
      <c r="S285" s="946"/>
      <c r="T285" s="920"/>
      <c r="U285" s="917">
        <f>+U262+U264+U283</f>
        <v>-1113</v>
      </c>
      <c r="V285" s="918">
        <f>+V262+V264+V283</f>
        <v>-1188</v>
      </c>
      <c r="W285" s="918">
        <f>+W262+W264+W283</f>
        <v>-1176</v>
      </c>
      <c r="X285" s="918">
        <f>+X262+X264+X283</f>
        <v>-1166</v>
      </c>
      <c r="Y285" s="919">
        <f>+Y262+Y264+Y283</f>
        <v>-4643</v>
      </c>
    </row>
    <row r="286" spans="1:25" x14ac:dyDescent="0.2">
      <c r="A286" s="922"/>
      <c r="C286" s="888"/>
      <c r="D286" s="888"/>
      <c r="E286" s="888"/>
      <c r="F286" s="888"/>
      <c r="G286" s="888"/>
      <c r="H286" s="888"/>
      <c r="I286" s="888"/>
      <c r="J286" s="888"/>
      <c r="K286" s="888"/>
      <c r="L286" s="888"/>
      <c r="M286" s="888"/>
      <c r="N286" s="888"/>
      <c r="O286" s="887"/>
      <c r="P286" s="887"/>
      <c r="Q286" s="885"/>
      <c r="R286" s="888"/>
      <c r="S286" s="885"/>
      <c r="T286" s="887"/>
      <c r="U286" s="887"/>
      <c r="V286" s="887"/>
      <c r="W286" s="887"/>
      <c r="X286" s="887"/>
      <c r="Y286" s="888"/>
    </row>
    <row r="287" spans="1:25" x14ac:dyDescent="0.2">
      <c r="A287" s="880" t="s">
        <v>210</v>
      </c>
      <c r="C287" s="888"/>
      <c r="D287" s="888"/>
      <c r="E287" s="888"/>
      <c r="F287" s="888"/>
      <c r="G287" s="888"/>
      <c r="H287" s="888"/>
      <c r="I287" s="888"/>
      <c r="J287" s="888"/>
      <c r="K287" s="888"/>
      <c r="L287" s="888"/>
      <c r="M287" s="888"/>
      <c r="N287" s="888"/>
      <c r="O287" s="887"/>
      <c r="P287" s="887"/>
      <c r="Q287" s="885"/>
      <c r="R287" s="888"/>
      <c r="S287" s="885"/>
      <c r="T287" s="887"/>
      <c r="U287" s="887"/>
      <c r="V287" s="887"/>
      <c r="W287" s="887"/>
      <c r="X287" s="887"/>
      <c r="Y287" s="888"/>
    </row>
    <row r="288" spans="1:25" x14ac:dyDescent="0.2">
      <c r="A288" s="883" t="s">
        <v>75</v>
      </c>
      <c r="C288" s="888"/>
      <c r="D288" s="888"/>
      <c r="E288" s="888"/>
      <c r="F288" s="888"/>
      <c r="G288" s="888"/>
      <c r="H288" s="888"/>
      <c r="I288" s="888"/>
      <c r="J288" s="888"/>
      <c r="K288" s="888"/>
      <c r="L288" s="888"/>
      <c r="M288" s="888"/>
      <c r="N288" s="888"/>
      <c r="O288" s="887"/>
      <c r="P288" s="887"/>
      <c r="Q288" s="885"/>
      <c r="R288" s="888"/>
      <c r="S288" s="885"/>
      <c r="T288" s="887"/>
      <c r="U288" s="887"/>
      <c r="V288" s="887"/>
      <c r="W288" s="887"/>
      <c r="X288" s="887"/>
      <c r="Y288" s="888"/>
    </row>
    <row r="289" spans="1:25" x14ac:dyDescent="0.2">
      <c r="A289" s="884" t="s">
        <v>211</v>
      </c>
      <c r="C289" s="698">
        <v>-105</v>
      </c>
      <c r="D289" s="698">
        <v>-122</v>
      </c>
      <c r="E289" s="698">
        <v>-108</v>
      </c>
      <c r="F289" s="698">
        <v>-108</v>
      </c>
      <c r="G289" s="698">
        <v>-107</v>
      </c>
      <c r="H289" s="698">
        <v>-108</v>
      </c>
      <c r="I289" s="698">
        <v>-108</v>
      </c>
      <c r="J289" s="698">
        <v>-107</v>
      </c>
      <c r="K289" s="698">
        <v>-108</v>
      </c>
      <c r="L289" s="698">
        <v>-108</v>
      </c>
      <c r="M289" s="698">
        <v>-107</v>
      </c>
      <c r="N289" s="698">
        <v>-107</v>
      </c>
      <c r="O289" s="689">
        <f>SUM(C289:N289)</f>
        <v>-1303</v>
      </c>
      <c r="P289" s="689"/>
      <c r="Q289" s="885"/>
      <c r="R289" s="890" t="s">
        <v>84</v>
      </c>
      <c r="S289" s="885"/>
      <c r="T289" s="689"/>
      <c r="U289" s="887">
        <f>C289+D289+E289</f>
        <v>-335</v>
      </c>
      <c r="V289" s="887">
        <f>F289+G289+H289</f>
        <v>-323</v>
      </c>
      <c r="W289" s="887">
        <f>I289+J289+K289</f>
        <v>-323</v>
      </c>
      <c r="X289" s="887">
        <f>L289+M289+N289</f>
        <v>-322</v>
      </c>
      <c r="Y289" s="888">
        <f>SUM(U289:X289)</f>
        <v>-1303</v>
      </c>
    </row>
    <row r="290" spans="1:25" x14ac:dyDescent="0.2">
      <c r="A290" s="884" t="s">
        <v>212</v>
      </c>
      <c r="C290" s="895">
        <v>0</v>
      </c>
      <c r="D290" s="895">
        <v>0</v>
      </c>
      <c r="E290" s="895">
        <v>0</v>
      </c>
      <c r="F290" s="895">
        <v>0</v>
      </c>
      <c r="G290" s="895">
        <v>0</v>
      </c>
      <c r="H290" s="895">
        <v>0</v>
      </c>
      <c r="I290" s="895">
        <v>0</v>
      </c>
      <c r="J290" s="895">
        <v>0</v>
      </c>
      <c r="K290" s="895">
        <v>0</v>
      </c>
      <c r="L290" s="895">
        <v>0</v>
      </c>
      <c r="M290" s="895">
        <v>0</v>
      </c>
      <c r="N290" s="895">
        <v>0</v>
      </c>
      <c r="O290" s="689">
        <f>SUM(C290:N290)</f>
        <v>0</v>
      </c>
      <c r="P290" s="689"/>
      <c r="Q290" s="885"/>
      <c r="R290" s="890" t="s">
        <v>84</v>
      </c>
      <c r="S290" s="885"/>
      <c r="T290" s="689"/>
      <c r="U290" s="887">
        <f>C290+D290+E290</f>
        <v>0</v>
      </c>
      <c r="V290" s="887">
        <f>F290+G290+H290</f>
        <v>0</v>
      </c>
      <c r="W290" s="887">
        <f>I290+J290+K290</f>
        <v>0</v>
      </c>
      <c r="X290" s="887">
        <f>L290+M290+N290</f>
        <v>0</v>
      </c>
      <c r="Y290" s="888">
        <f>SUM(U290:X290)</f>
        <v>0</v>
      </c>
    </row>
    <row r="291" spans="1:25" ht="12.75" customHeight="1" x14ac:dyDescent="0.2">
      <c r="A291" s="884" t="s">
        <v>213</v>
      </c>
      <c r="C291" s="864">
        <v>0</v>
      </c>
      <c r="D291" s="864">
        <v>0</v>
      </c>
      <c r="E291" s="864">
        <v>0</v>
      </c>
      <c r="F291" s="864">
        <v>0</v>
      </c>
      <c r="G291" s="864">
        <v>0</v>
      </c>
      <c r="H291" s="864">
        <v>0</v>
      </c>
      <c r="I291" s="864">
        <v>0</v>
      </c>
      <c r="J291" s="864">
        <v>0</v>
      </c>
      <c r="K291" s="864">
        <v>0</v>
      </c>
      <c r="L291" s="864">
        <v>0</v>
      </c>
      <c r="M291" s="864">
        <v>0</v>
      </c>
      <c r="N291" s="864">
        <v>0</v>
      </c>
      <c r="O291" s="691">
        <f>SUM(C291:N291)</f>
        <v>0</v>
      </c>
      <c r="P291" s="689"/>
      <c r="Q291" s="903"/>
      <c r="R291" s="890" t="s">
        <v>84</v>
      </c>
      <c r="S291" s="903"/>
      <c r="T291" s="689"/>
      <c r="U291" s="943">
        <f>C291+D291+E291</f>
        <v>0</v>
      </c>
      <c r="V291" s="943">
        <f>F291+G291+H291</f>
        <v>0</v>
      </c>
      <c r="W291" s="943">
        <f>I291+J291+K291</f>
        <v>0</v>
      </c>
      <c r="X291" s="943">
        <f>L291+M291+N291</f>
        <v>0</v>
      </c>
      <c r="Y291" s="893">
        <f>SUM(U291:X291)</f>
        <v>0</v>
      </c>
    </row>
    <row r="292" spans="1:25" ht="12.75" customHeight="1" x14ac:dyDescent="0.2">
      <c r="A292" s="884" t="s">
        <v>91</v>
      </c>
      <c r="C292" s="904">
        <f t="shared" ref="C292:O292" si="109">SUM(C289:C291)</f>
        <v>-105</v>
      </c>
      <c r="D292" s="904">
        <f t="shared" si="109"/>
        <v>-122</v>
      </c>
      <c r="E292" s="904">
        <f t="shared" si="109"/>
        <v>-108</v>
      </c>
      <c r="F292" s="904">
        <f t="shared" si="109"/>
        <v>-108</v>
      </c>
      <c r="G292" s="904">
        <f t="shared" si="109"/>
        <v>-107</v>
      </c>
      <c r="H292" s="904">
        <f t="shared" si="109"/>
        <v>-108</v>
      </c>
      <c r="I292" s="904">
        <f t="shared" si="109"/>
        <v>-108</v>
      </c>
      <c r="J292" s="904">
        <f t="shared" si="109"/>
        <v>-107</v>
      </c>
      <c r="K292" s="904">
        <f t="shared" si="109"/>
        <v>-108</v>
      </c>
      <c r="L292" s="904">
        <f t="shared" si="109"/>
        <v>-108</v>
      </c>
      <c r="M292" s="904">
        <f t="shared" si="109"/>
        <v>-107</v>
      </c>
      <c r="N292" s="904">
        <f t="shared" si="109"/>
        <v>-107</v>
      </c>
      <c r="O292" s="904">
        <f t="shared" si="109"/>
        <v>-1303</v>
      </c>
      <c r="P292" s="689"/>
      <c r="Q292" s="903"/>
      <c r="R292" s="890"/>
      <c r="S292" s="903"/>
      <c r="T292" s="689"/>
      <c r="U292" s="904">
        <f>SUM(U289:U291)</f>
        <v>-335</v>
      </c>
      <c r="V292" s="904">
        <f>SUM(V289:V291)</f>
        <v>-323</v>
      </c>
      <c r="W292" s="904">
        <f>SUM(W289:W291)</f>
        <v>-323</v>
      </c>
      <c r="X292" s="904">
        <f>SUM(X289:X291)</f>
        <v>-322</v>
      </c>
      <c r="Y292" s="904">
        <f>SUM(Y289:Y291)</f>
        <v>-1303</v>
      </c>
    </row>
    <row r="293" spans="1:25" ht="3.95" customHeight="1" x14ac:dyDescent="0.2">
      <c r="A293" s="884"/>
      <c r="C293" s="863"/>
      <c r="D293" s="863"/>
      <c r="E293" s="863"/>
      <c r="F293" s="863"/>
      <c r="G293" s="863"/>
      <c r="H293" s="863"/>
      <c r="I293" s="863"/>
      <c r="J293" s="863"/>
      <c r="K293" s="863"/>
      <c r="L293" s="863"/>
      <c r="M293" s="863"/>
      <c r="N293" s="863"/>
      <c r="O293" s="689"/>
      <c r="P293" s="689"/>
      <c r="Q293" s="903"/>
      <c r="R293" s="890"/>
      <c r="S293" s="903"/>
      <c r="T293" s="689"/>
      <c r="U293" s="902"/>
      <c r="V293" s="902"/>
      <c r="W293" s="902"/>
      <c r="X293" s="902"/>
      <c r="Y293" s="888"/>
    </row>
    <row r="294" spans="1:25" ht="12.75" customHeight="1" x14ac:dyDescent="0.2">
      <c r="A294" s="884" t="s">
        <v>846</v>
      </c>
      <c r="C294" s="128">
        <v>0</v>
      </c>
      <c r="D294" s="128">
        <v>0</v>
      </c>
      <c r="E294" s="128">
        <v>0</v>
      </c>
      <c r="F294" s="128">
        <v>0</v>
      </c>
      <c r="G294" s="128">
        <v>0</v>
      </c>
      <c r="H294" s="128">
        <v>0</v>
      </c>
      <c r="I294" s="128">
        <v>0</v>
      </c>
      <c r="J294" s="128">
        <v>0</v>
      </c>
      <c r="K294" s="128">
        <v>0</v>
      </c>
      <c r="L294" s="128">
        <v>0</v>
      </c>
      <c r="M294" s="128">
        <v>0</v>
      </c>
      <c r="N294" s="128">
        <v>0</v>
      </c>
      <c r="O294" s="129">
        <f>SUM(C294:N294)</f>
        <v>0</v>
      </c>
      <c r="P294" s="129"/>
      <c r="Q294" s="885"/>
      <c r="R294" s="886" t="s">
        <v>92</v>
      </c>
      <c r="S294" s="885"/>
      <c r="T294" s="129"/>
      <c r="U294" s="887">
        <f>C294+D294+E294</f>
        <v>0</v>
      </c>
      <c r="V294" s="887">
        <f>F294+G294+H294</f>
        <v>0</v>
      </c>
      <c r="W294" s="887">
        <f>I294+J294+K294</f>
        <v>0</v>
      </c>
      <c r="X294" s="887">
        <f>L294+M294+N294</f>
        <v>0</v>
      </c>
      <c r="Y294" s="888">
        <f>SUM(U294:X294)</f>
        <v>0</v>
      </c>
    </row>
    <row r="295" spans="1:25" ht="3.95" customHeight="1" x14ac:dyDescent="0.2">
      <c r="A295" s="884"/>
      <c r="C295" s="863"/>
      <c r="D295" s="863"/>
      <c r="E295" s="863"/>
      <c r="F295" s="863"/>
      <c r="G295" s="863"/>
      <c r="H295" s="863"/>
      <c r="I295" s="863"/>
      <c r="J295" s="863"/>
      <c r="K295" s="863"/>
      <c r="L295" s="863"/>
      <c r="M295" s="863"/>
      <c r="N295" s="863"/>
      <c r="O295" s="689"/>
      <c r="P295" s="689"/>
      <c r="Q295" s="903"/>
      <c r="R295" s="890"/>
      <c r="S295" s="903"/>
      <c r="T295" s="689"/>
      <c r="U295" s="902"/>
      <c r="V295" s="902"/>
      <c r="W295" s="902"/>
      <c r="X295" s="902"/>
      <c r="Y295" s="888"/>
    </row>
    <row r="296" spans="1:25" s="952" customFormat="1" ht="12.75" customHeight="1" x14ac:dyDescent="0.2">
      <c r="A296" s="884" t="s">
        <v>94</v>
      </c>
      <c r="C296" s="128">
        <v>0</v>
      </c>
      <c r="D296" s="128">
        <v>0</v>
      </c>
      <c r="E296" s="128">
        <v>0</v>
      </c>
      <c r="F296" s="128">
        <v>0</v>
      </c>
      <c r="G296" s="128">
        <v>0</v>
      </c>
      <c r="H296" s="128">
        <v>0</v>
      </c>
      <c r="I296" s="128">
        <v>0</v>
      </c>
      <c r="J296" s="128">
        <v>0</v>
      </c>
      <c r="K296" s="128">
        <v>0</v>
      </c>
      <c r="L296" s="128">
        <v>0</v>
      </c>
      <c r="M296" s="128">
        <v>0</v>
      </c>
      <c r="N296" s="128">
        <v>0</v>
      </c>
      <c r="O296" s="129">
        <f>SUM(C296:N296)</f>
        <v>0</v>
      </c>
      <c r="P296" s="129"/>
      <c r="Q296" s="885"/>
      <c r="R296" s="886" t="s">
        <v>95</v>
      </c>
      <c r="S296" s="885"/>
      <c r="T296" s="129"/>
      <c r="U296" s="887">
        <f>C296+D296+E296</f>
        <v>0</v>
      </c>
      <c r="V296" s="887">
        <f>F296+G296+H296</f>
        <v>0</v>
      </c>
      <c r="W296" s="887">
        <f>I296+J296+K296</f>
        <v>0</v>
      </c>
      <c r="X296" s="887">
        <f>L296+M296+N296</f>
        <v>0</v>
      </c>
      <c r="Y296" s="888">
        <f>SUM(U296:X296)</f>
        <v>0</v>
      </c>
    </row>
    <row r="297" spans="1:25" s="952" customFormat="1" ht="3.95" customHeight="1" x14ac:dyDescent="0.2">
      <c r="A297" s="884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9"/>
      <c r="P297" s="129"/>
      <c r="Q297" s="885"/>
      <c r="R297" s="886"/>
      <c r="S297" s="885"/>
      <c r="T297" s="129"/>
      <c r="U297" s="887"/>
      <c r="V297" s="887"/>
      <c r="W297" s="887"/>
      <c r="X297" s="887"/>
      <c r="Y297" s="888"/>
    </row>
    <row r="298" spans="1:25" s="952" customFormat="1" ht="12.75" customHeight="1" x14ac:dyDescent="0.2">
      <c r="A298" s="897" t="s">
        <v>96</v>
      </c>
      <c r="C298" s="899">
        <f>SUM(C292:C296)</f>
        <v>-105</v>
      </c>
      <c r="D298" s="900">
        <f>SUM(D292:D296)</f>
        <v>-122</v>
      </c>
      <c r="E298" s="900">
        <f t="shared" ref="E298:O298" si="110">SUM(E292:E296)</f>
        <v>-108</v>
      </c>
      <c r="F298" s="900">
        <f t="shared" si="110"/>
        <v>-108</v>
      </c>
      <c r="G298" s="900">
        <f t="shared" si="110"/>
        <v>-107</v>
      </c>
      <c r="H298" s="900">
        <f t="shared" si="110"/>
        <v>-108</v>
      </c>
      <c r="I298" s="900">
        <f t="shared" si="110"/>
        <v>-108</v>
      </c>
      <c r="J298" s="900">
        <f t="shared" si="110"/>
        <v>-107</v>
      </c>
      <c r="K298" s="900">
        <f t="shared" si="110"/>
        <v>-108</v>
      </c>
      <c r="L298" s="900">
        <f t="shared" si="110"/>
        <v>-108</v>
      </c>
      <c r="M298" s="900">
        <f t="shared" si="110"/>
        <v>-107</v>
      </c>
      <c r="N298" s="900">
        <f t="shared" si="110"/>
        <v>-107</v>
      </c>
      <c r="O298" s="901">
        <f t="shared" si="110"/>
        <v>-1303</v>
      </c>
      <c r="P298" s="902"/>
      <c r="Q298" s="908"/>
      <c r="R298" s="904"/>
      <c r="S298" s="908"/>
      <c r="T298" s="902"/>
      <c r="U298" s="899">
        <f>SUM(U292:U296)</f>
        <v>-335</v>
      </c>
      <c r="V298" s="900">
        <f>SUM(V292:V296)</f>
        <v>-323</v>
      </c>
      <c r="W298" s="900">
        <f>SUM(W292:W296)</f>
        <v>-323</v>
      </c>
      <c r="X298" s="900">
        <f>SUM(X292:X296)</f>
        <v>-322</v>
      </c>
      <c r="Y298" s="901">
        <f>SUM(Y292:Y296)</f>
        <v>-1303</v>
      </c>
    </row>
    <row r="299" spans="1:25" x14ac:dyDescent="0.2">
      <c r="A299" s="922"/>
      <c r="C299" s="888"/>
      <c r="D299" s="888"/>
      <c r="E299" s="888"/>
      <c r="F299" s="888"/>
      <c r="G299" s="888"/>
      <c r="H299" s="888"/>
      <c r="I299" s="888"/>
      <c r="J299" s="888"/>
      <c r="K299" s="888"/>
      <c r="L299" s="888"/>
      <c r="M299" s="888"/>
      <c r="N299" s="888"/>
      <c r="O299" s="887"/>
      <c r="P299" s="887"/>
      <c r="Q299" s="885"/>
      <c r="R299" s="888"/>
      <c r="S299" s="885"/>
      <c r="T299" s="887"/>
      <c r="U299" s="887"/>
      <c r="V299" s="887"/>
      <c r="W299" s="887"/>
      <c r="X299" s="887"/>
      <c r="Y299" s="888"/>
    </row>
    <row r="300" spans="1:25" x14ac:dyDescent="0.2">
      <c r="C300" s="888"/>
      <c r="D300" s="888"/>
      <c r="E300" s="888"/>
      <c r="F300" s="888"/>
      <c r="G300" s="888"/>
      <c r="H300" s="888"/>
      <c r="I300" s="888"/>
      <c r="J300" s="888"/>
      <c r="K300" s="888"/>
      <c r="L300" s="888"/>
      <c r="M300" s="888"/>
      <c r="N300" s="888"/>
      <c r="O300" s="887"/>
      <c r="P300" s="887"/>
      <c r="Q300" s="885"/>
      <c r="R300" s="888"/>
      <c r="S300" s="885"/>
      <c r="T300" s="887"/>
      <c r="U300" s="887"/>
      <c r="V300" s="887"/>
      <c r="W300" s="887"/>
      <c r="X300" s="887"/>
      <c r="Y300" s="888"/>
    </row>
    <row r="301" spans="1:25" x14ac:dyDescent="0.2">
      <c r="A301" s="880" t="s">
        <v>214</v>
      </c>
      <c r="C301" s="888"/>
      <c r="D301" s="888"/>
      <c r="E301" s="888"/>
      <c r="F301" s="888"/>
      <c r="G301" s="888"/>
      <c r="H301" s="888"/>
      <c r="I301" s="888"/>
      <c r="J301" s="888"/>
      <c r="K301" s="888"/>
      <c r="L301" s="888"/>
      <c r="M301" s="888"/>
      <c r="N301" s="888"/>
      <c r="O301" s="887"/>
      <c r="P301" s="887"/>
      <c r="Q301" s="885"/>
      <c r="R301" s="888"/>
      <c r="S301" s="885"/>
      <c r="T301" s="887"/>
      <c r="U301" s="887"/>
      <c r="V301" s="887"/>
      <c r="W301" s="887"/>
      <c r="X301" s="887"/>
      <c r="Y301" s="888"/>
    </row>
    <row r="302" spans="1:25" x14ac:dyDescent="0.2">
      <c r="A302" s="883" t="s">
        <v>75</v>
      </c>
      <c r="C302" s="888"/>
      <c r="D302" s="888"/>
      <c r="E302" s="888"/>
      <c r="F302" s="888"/>
      <c r="G302" s="888"/>
      <c r="H302" s="888"/>
      <c r="I302" s="888"/>
      <c r="J302" s="888"/>
      <c r="K302" s="888"/>
      <c r="L302" s="888"/>
      <c r="M302" s="888"/>
      <c r="N302" s="888"/>
      <c r="O302" s="887"/>
      <c r="P302" s="887"/>
      <c r="Q302" s="885"/>
      <c r="R302" s="888"/>
      <c r="S302" s="885"/>
      <c r="T302" s="887"/>
      <c r="U302" s="887"/>
      <c r="V302" s="887"/>
      <c r="W302" s="887"/>
      <c r="X302" s="887"/>
      <c r="Y302" s="888"/>
    </row>
    <row r="303" spans="1:25" x14ac:dyDescent="0.2">
      <c r="A303" s="884" t="s">
        <v>215</v>
      </c>
      <c r="C303" s="698">
        <v>-23</v>
      </c>
      <c r="D303" s="698">
        <v>-23</v>
      </c>
      <c r="E303" s="698">
        <v>-22</v>
      </c>
      <c r="F303" s="698">
        <v>-23</v>
      </c>
      <c r="G303" s="698">
        <v>-23</v>
      </c>
      <c r="H303" s="698">
        <v>-22</v>
      </c>
      <c r="I303" s="698">
        <v>-23</v>
      </c>
      <c r="J303" s="698">
        <v>-23</v>
      </c>
      <c r="K303" s="698">
        <v>-22</v>
      </c>
      <c r="L303" s="698">
        <v>-23</v>
      </c>
      <c r="M303" s="698">
        <v>-23</v>
      </c>
      <c r="N303" s="698">
        <v>-23</v>
      </c>
      <c r="O303" s="689">
        <f>SUM(C303:N303)</f>
        <v>-273</v>
      </c>
      <c r="P303" s="689"/>
      <c r="Q303" s="885"/>
      <c r="R303" s="890" t="s">
        <v>84</v>
      </c>
      <c r="S303" s="885"/>
      <c r="T303" s="689"/>
      <c r="U303" s="887">
        <f>C303+D303+E303</f>
        <v>-68</v>
      </c>
      <c r="V303" s="887">
        <f>F303+G303+H303</f>
        <v>-68</v>
      </c>
      <c r="W303" s="887">
        <f>I303+J303+K303</f>
        <v>-68</v>
      </c>
      <c r="X303" s="887">
        <f>L303+M303+N303</f>
        <v>-69</v>
      </c>
      <c r="Y303" s="888">
        <f>SUM(U303:X303)</f>
        <v>-273</v>
      </c>
    </row>
    <row r="304" spans="1:25" x14ac:dyDescent="0.2">
      <c r="A304" s="884" t="s">
        <v>85</v>
      </c>
      <c r="C304" s="895">
        <v>0</v>
      </c>
      <c r="D304" s="895">
        <v>0</v>
      </c>
      <c r="E304" s="895">
        <v>0</v>
      </c>
      <c r="F304" s="895">
        <v>0</v>
      </c>
      <c r="G304" s="895">
        <v>0</v>
      </c>
      <c r="H304" s="895">
        <v>0</v>
      </c>
      <c r="I304" s="895">
        <v>0</v>
      </c>
      <c r="J304" s="895">
        <v>0</v>
      </c>
      <c r="K304" s="895">
        <v>0</v>
      </c>
      <c r="L304" s="895">
        <v>0</v>
      </c>
      <c r="M304" s="895">
        <v>0</v>
      </c>
      <c r="N304" s="895">
        <v>0</v>
      </c>
      <c r="O304" s="887">
        <f>C304+D304+E304+F304+G304+H304+I304+J304+K304+L304+M304+N304</f>
        <v>0</v>
      </c>
      <c r="P304" s="887"/>
      <c r="Q304" s="885"/>
      <c r="R304" s="890" t="s">
        <v>84</v>
      </c>
      <c r="S304" s="885"/>
      <c r="T304" s="887"/>
      <c r="U304" s="887">
        <f>C304+D304+E304</f>
        <v>0</v>
      </c>
      <c r="V304" s="887">
        <f>F304+G304+H304</f>
        <v>0</v>
      </c>
      <c r="W304" s="887">
        <f>I304+J304+K304</f>
        <v>0</v>
      </c>
      <c r="X304" s="887">
        <f>L304+M304+N304</f>
        <v>0</v>
      </c>
      <c r="Y304" s="888">
        <f>SUM(U304:X304)</f>
        <v>0</v>
      </c>
    </row>
    <row r="305" spans="1:25" s="898" customFormat="1" ht="12.75" customHeight="1" x14ac:dyDescent="0.2">
      <c r="A305" s="894" t="s">
        <v>216</v>
      </c>
      <c r="C305" s="864">
        <v>0</v>
      </c>
      <c r="D305" s="864">
        <v>0</v>
      </c>
      <c r="E305" s="864">
        <v>0</v>
      </c>
      <c r="F305" s="864">
        <v>0</v>
      </c>
      <c r="G305" s="864">
        <v>0</v>
      </c>
      <c r="H305" s="864">
        <v>0</v>
      </c>
      <c r="I305" s="864">
        <v>0</v>
      </c>
      <c r="J305" s="864">
        <v>0</v>
      </c>
      <c r="K305" s="864">
        <v>0</v>
      </c>
      <c r="L305" s="864">
        <v>0</v>
      </c>
      <c r="M305" s="864">
        <v>0</v>
      </c>
      <c r="N305" s="864">
        <v>0</v>
      </c>
      <c r="O305" s="691">
        <f>SUM(C305:N305)</f>
        <v>0</v>
      </c>
      <c r="P305" s="689"/>
      <c r="Q305" s="903"/>
      <c r="R305" s="890" t="s">
        <v>84</v>
      </c>
      <c r="S305" s="903"/>
      <c r="T305" s="689"/>
      <c r="U305" s="943">
        <f>C305+D305+E305</f>
        <v>0</v>
      </c>
      <c r="V305" s="943">
        <f>F305+G305+H305</f>
        <v>0</v>
      </c>
      <c r="W305" s="943">
        <f>I305+J305+K305</f>
        <v>0</v>
      </c>
      <c r="X305" s="943">
        <f>L305+M305+N305</f>
        <v>0</v>
      </c>
      <c r="Y305" s="893">
        <f>SUM(U305:X305)</f>
        <v>0</v>
      </c>
    </row>
    <row r="306" spans="1:25" s="898" customFormat="1" ht="12.75" customHeight="1" x14ac:dyDescent="0.2">
      <c r="A306" s="884" t="s">
        <v>91</v>
      </c>
      <c r="C306" s="904">
        <f t="shared" ref="C306:O306" si="111">SUM(C303:C305)</f>
        <v>-23</v>
      </c>
      <c r="D306" s="904">
        <f t="shared" si="111"/>
        <v>-23</v>
      </c>
      <c r="E306" s="904">
        <f t="shared" si="111"/>
        <v>-22</v>
      </c>
      <c r="F306" s="904">
        <f t="shared" si="111"/>
        <v>-23</v>
      </c>
      <c r="G306" s="904">
        <f t="shared" si="111"/>
        <v>-23</v>
      </c>
      <c r="H306" s="904">
        <f t="shared" si="111"/>
        <v>-22</v>
      </c>
      <c r="I306" s="904">
        <f t="shared" si="111"/>
        <v>-23</v>
      </c>
      <c r="J306" s="904">
        <f t="shared" si="111"/>
        <v>-23</v>
      </c>
      <c r="K306" s="904">
        <f t="shared" si="111"/>
        <v>-22</v>
      </c>
      <c r="L306" s="904">
        <f t="shared" si="111"/>
        <v>-23</v>
      </c>
      <c r="M306" s="904">
        <f t="shared" si="111"/>
        <v>-23</v>
      </c>
      <c r="N306" s="904">
        <f t="shared" si="111"/>
        <v>-23</v>
      </c>
      <c r="O306" s="904">
        <f t="shared" si="111"/>
        <v>-273</v>
      </c>
      <c r="P306" s="689"/>
      <c r="Q306" s="903"/>
      <c r="R306" s="890"/>
      <c r="S306" s="903"/>
      <c r="T306" s="689"/>
      <c r="U306" s="904">
        <f>SUM(U303:U305)</f>
        <v>-68</v>
      </c>
      <c r="V306" s="904">
        <f>SUM(V303:V305)</f>
        <v>-68</v>
      </c>
      <c r="W306" s="904">
        <f>SUM(W303:W305)</f>
        <v>-68</v>
      </c>
      <c r="X306" s="904">
        <f>SUM(X303:X305)</f>
        <v>-69</v>
      </c>
      <c r="Y306" s="904">
        <f>SUM(Y303:Y305)</f>
        <v>-273</v>
      </c>
    </row>
    <row r="307" spans="1:25" s="898" customFormat="1" ht="3.95" customHeight="1" x14ac:dyDescent="0.2">
      <c r="A307" s="894"/>
      <c r="C307" s="863"/>
      <c r="D307" s="863"/>
      <c r="E307" s="863"/>
      <c r="F307" s="863"/>
      <c r="G307" s="863"/>
      <c r="H307" s="863"/>
      <c r="I307" s="863"/>
      <c r="J307" s="863"/>
      <c r="K307" s="863"/>
      <c r="L307" s="863"/>
      <c r="M307" s="863"/>
      <c r="N307" s="863"/>
      <c r="O307" s="689"/>
      <c r="P307" s="689"/>
      <c r="Q307" s="903"/>
      <c r="R307" s="890"/>
      <c r="S307" s="903"/>
      <c r="T307" s="689"/>
      <c r="U307" s="902"/>
      <c r="V307" s="902"/>
      <c r="W307" s="902"/>
      <c r="X307" s="902"/>
      <c r="Y307" s="888"/>
    </row>
    <row r="308" spans="1:25" s="898" customFormat="1" ht="12.75" customHeight="1" x14ac:dyDescent="0.2">
      <c r="A308" s="884" t="s">
        <v>846</v>
      </c>
      <c r="B308" s="865"/>
      <c r="C308" s="128">
        <v>0</v>
      </c>
      <c r="D308" s="128">
        <v>0</v>
      </c>
      <c r="E308" s="128">
        <v>0</v>
      </c>
      <c r="F308" s="128">
        <v>0</v>
      </c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9">
        <f>SUM(C308:N308)</f>
        <v>0</v>
      </c>
      <c r="P308" s="129"/>
      <c r="Q308" s="885"/>
      <c r="R308" s="886" t="s">
        <v>92</v>
      </c>
      <c r="S308" s="885"/>
      <c r="T308" s="129"/>
      <c r="U308" s="887">
        <f>C308+D308+E308</f>
        <v>0</v>
      </c>
      <c r="V308" s="887">
        <f>F308+G308+H308</f>
        <v>0</v>
      </c>
      <c r="W308" s="887">
        <f>I308+J308+K308</f>
        <v>0</v>
      </c>
      <c r="X308" s="887">
        <f>L308+M308+N308</f>
        <v>0</v>
      </c>
      <c r="Y308" s="888">
        <f>SUM(U308:X308)</f>
        <v>0</v>
      </c>
    </row>
    <row r="309" spans="1:25" s="898" customFormat="1" ht="3.95" customHeight="1" x14ac:dyDescent="0.2">
      <c r="A309" s="894"/>
      <c r="C309" s="863"/>
      <c r="D309" s="863"/>
      <c r="E309" s="863"/>
      <c r="F309" s="863"/>
      <c r="G309" s="863"/>
      <c r="H309" s="863"/>
      <c r="I309" s="863"/>
      <c r="J309" s="863"/>
      <c r="K309" s="863"/>
      <c r="L309" s="863"/>
      <c r="M309" s="863"/>
      <c r="N309" s="863"/>
      <c r="O309" s="689"/>
      <c r="P309" s="689"/>
      <c r="Q309" s="903"/>
      <c r="R309" s="890"/>
      <c r="S309" s="903"/>
      <c r="T309" s="689"/>
      <c r="U309" s="902"/>
      <c r="V309" s="902"/>
      <c r="W309" s="902"/>
      <c r="X309" s="902"/>
      <c r="Y309" s="888"/>
    </row>
    <row r="310" spans="1:25" s="898" customFormat="1" ht="12.75" customHeight="1" x14ac:dyDescent="0.2">
      <c r="A310" s="884" t="s">
        <v>94</v>
      </c>
      <c r="B310" s="952"/>
      <c r="C310" s="128">
        <v>0</v>
      </c>
      <c r="D310" s="128">
        <v>0</v>
      </c>
      <c r="E310" s="128">
        <v>0</v>
      </c>
      <c r="F310" s="128">
        <v>0</v>
      </c>
      <c r="G310" s="128">
        <v>0</v>
      </c>
      <c r="H310" s="128">
        <v>0</v>
      </c>
      <c r="I310" s="128">
        <v>0</v>
      </c>
      <c r="J310" s="128">
        <v>0</v>
      </c>
      <c r="K310" s="128">
        <v>0</v>
      </c>
      <c r="L310" s="128">
        <v>0</v>
      </c>
      <c r="M310" s="128">
        <v>0</v>
      </c>
      <c r="N310" s="128">
        <v>0</v>
      </c>
      <c r="O310" s="129">
        <f>SUM(C310:N310)</f>
        <v>0</v>
      </c>
      <c r="P310" s="129"/>
      <c r="Q310" s="885"/>
      <c r="R310" s="886" t="s">
        <v>95</v>
      </c>
      <c r="S310" s="885"/>
      <c r="T310" s="129"/>
      <c r="U310" s="887">
        <f>C310+D310+E310</f>
        <v>0</v>
      </c>
      <c r="V310" s="887">
        <f>F310+G310+H310</f>
        <v>0</v>
      </c>
      <c r="W310" s="887">
        <f>I310+J310+K310</f>
        <v>0</v>
      </c>
      <c r="X310" s="887">
        <f>L310+M310+N310</f>
        <v>0</v>
      </c>
      <c r="Y310" s="888">
        <f>SUM(U310:X310)</f>
        <v>0</v>
      </c>
    </row>
    <row r="311" spans="1:25" s="898" customFormat="1" ht="3.95" customHeight="1" x14ac:dyDescent="0.2">
      <c r="A311" s="884"/>
      <c r="B311" s="952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9"/>
      <c r="P311" s="129"/>
      <c r="Q311" s="885"/>
      <c r="R311" s="886"/>
      <c r="S311" s="885"/>
      <c r="T311" s="129"/>
      <c r="U311" s="887"/>
      <c r="V311" s="887"/>
      <c r="W311" s="887"/>
      <c r="X311" s="887"/>
      <c r="Y311" s="888"/>
    </row>
    <row r="312" spans="1:25" s="898" customFormat="1" ht="12.75" customHeight="1" x14ac:dyDescent="0.2">
      <c r="A312" s="897" t="s">
        <v>96</v>
      </c>
      <c r="B312" s="952"/>
      <c r="C312" s="899">
        <f>SUM(C306:C310)</f>
        <v>-23</v>
      </c>
      <c r="D312" s="900">
        <f>SUM(D306:D310)</f>
        <v>-23</v>
      </c>
      <c r="E312" s="900">
        <f t="shared" ref="E312:O312" si="112">SUM(E306:E310)</f>
        <v>-22</v>
      </c>
      <c r="F312" s="900">
        <f t="shared" si="112"/>
        <v>-23</v>
      </c>
      <c r="G312" s="900">
        <f t="shared" si="112"/>
        <v>-23</v>
      </c>
      <c r="H312" s="900">
        <f t="shared" si="112"/>
        <v>-22</v>
      </c>
      <c r="I312" s="900">
        <f t="shared" si="112"/>
        <v>-23</v>
      </c>
      <c r="J312" s="900">
        <f t="shared" si="112"/>
        <v>-23</v>
      </c>
      <c r="K312" s="900">
        <f t="shared" si="112"/>
        <v>-22</v>
      </c>
      <c r="L312" s="900">
        <f t="shared" si="112"/>
        <v>-23</v>
      </c>
      <c r="M312" s="900">
        <f t="shared" si="112"/>
        <v>-23</v>
      </c>
      <c r="N312" s="900">
        <f t="shared" si="112"/>
        <v>-23</v>
      </c>
      <c r="O312" s="901">
        <f t="shared" si="112"/>
        <v>-273</v>
      </c>
      <c r="P312" s="902"/>
      <c r="Q312" s="908"/>
      <c r="R312" s="904"/>
      <c r="S312" s="908"/>
      <c r="T312" s="902"/>
      <c r="U312" s="899">
        <f>SUM(U306:U310)</f>
        <v>-68</v>
      </c>
      <c r="V312" s="900">
        <f>SUM(V306:V310)</f>
        <v>-68</v>
      </c>
      <c r="W312" s="900">
        <f>SUM(W306:W310)</f>
        <v>-68</v>
      </c>
      <c r="X312" s="900">
        <f>SUM(X306:X310)</f>
        <v>-69</v>
      </c>
      <c r="Y312" s="901">
        <f>SUM(Y306:Y310)</f>
        <v>-273</v>
      </c>
    </row>
    <row r="313" spans="1:25" s="898" customFormat="1" ht="12.75" customHeight="1" x14ac:dyDescent="0.2">
      <c r="A313" s="913"/>
      <c r="C313" s="904"/>
      <c r="D313" s="904"/>
      <c r="E313" s="904"/>
      <c r="F313" s="904"/>
      <c r="G313" s="904"/>
      <c r="H313" s="904"/>
      <c r="I313" s="904"/>
      <c r="J313" s="904"/>
      <c r="K313" s="904"/>
      <c r="L313" s="904"/>
      <c r="M313" s="904"/>
      <c r="N313" s="904"/>
      <c r="O313" s="902"/>
      <c r="P313" s="902"/>
      <c r="Q313" s="908"/>
      <c r="R313" s="904"/>
      <c r="S313" s="908"/>
      <c r="T313" s="902"/>
      <c r="U313" s="902"/>
      <c r="V313" s="902"/>
      <c r="W313" s="902"/>
      <c r="X313" s="902"/>
      <c r="Y313" s="904"/>
    </row>
    <row r="314" spans="1:25" x14ac:dyDescent="0.2">
      <c r="A314" s="936" t="s">
        <v>217</v>
      </c>
      <c r="C314" s="888"/>
      <c r="D314" s="888"/>
      <c r="E314" s="888"/>
      <c r="F314" s="888"/>
      <c r="G314" s="888"/>
      <c r="H314" s="888"/>
      <c r="I314" s="888"/>
      <c r="J314" s="888"/>
      <c r="K314" s="888"/>
      <c r="L314" s="888"/>
      <c r="M314" s="888"/>
      <c r="N314" s="888"/>
      <c r="O314" s="887"/>
      <c r="P314" s="887"/>
      <c r="Q314" s="885"/>
      <c r="R314" s="888"/>
      <c r="S314" s="885"/>
      <c r="T314" s="887"/>
      <c r="U314" s="887"/>
      <c r="V314" s="887"/>
      <c r="W314" s="887"/>
      <c r="X314" s="887"/>
      <c r="Y314" s="888"/>
    </row>
    <row r="315" spans="1:25" x14ac:dyDescent="0.2">
      <c r="A315" s="883" t="s">
        <v>75</v>
      </c>
      <c r="C315" s="888"/>
      <c r="D315" s="888"/>
      <c r="E315" s="888"/>
      <c r="F315" s="888"/>
      <c r="G315" s="888"/>
      <c r="H315" s="888"/>
      <c r="I315" s="888"/>
      <c r="J315" s="888"/>
      <c r="K315" s="888"/>
      <c r="L315" s="888"/>
      <c r="M315" s="888"/>
      <c r="N315" s="888"/>
      <c r="O315" s="887"/>
      <c r="P315" s="887"/>
      <c r="Q315" s="885"/>
      <c r="R315" s="888"/>
      <c r="S315" s="885"/>
      <c r="T315" s="887"/>
      <c r="U315" s="887"/>
      <c r="V315" s="887"/>
      <c r="W315" s="887"/>
      <c r="X315" s="887"/>
      <c r="Y315" s="888"/>
    </row>
    <row r="316" spans="1:25" x14ac:dyDescent="0.2">
      <c r="A316" s="884" t="s">
        <v>83</v>
      </c>
      <c r="C316" s="698"/>
      <c r="D316" s="698"/>
      <c r="E316" s="698"/>
      <c r="F316" s="698"/>
      <c r="G316" s="698"/>
      <c r="H316" s="698"/>
      <c r="I316" s="698"/>
      <c r="J316" s="698"/>
      <c r="K316" s="698"/>
      <c r="L316" s="698"/>
      <c r="M316" s="698"/>
      <c r="N316" s="698"/>
      <c r="O316" s="689">
        <f t="shared" ref="O316:O322" si="113">SUM(C316:N316)</f>
        <v>0</v>
      </c>
      <c r="P316" s="689"/>
      <c r="Q316" s="885"/>
      <c r="R316" s="947" t="s">
        <v>84</v>
      </c>
      <c r="S316" s="885"/>
      <c r="T316" s="689"/>
      <c r="U316" s="887">
        <f t="shared" ref="U316:U322" si="114">C316+D316+E316</f>
        <v>0</v>
      </c>
      <c r="V316" s="887">
        <f t="shared" ref="V316:V322" si="115">F316+G316+H316</f>
        <v>0</v>
      </c>
      <c r="W316" s="887">
        <f t="shared" ref="W316:W322" si="116">I316+J316+K316</f>
        <v>0</v>
      </c>
      <c r="X316" s="887">
        <f t="shared" ref="X316:X322" si="117">L316+M316+N316</f>
        <v>0</v>
      </c>
      <c r="Y316" s="888">
        <f t="shared" ref="Y316:Y322" si="118">SUM(U316:X316)</f>
        <v>0</v>
      </c>
    </row>
    <row r="317" spans="1:25" x14ac:dyDescent="0.2">
      <c r="A317" s="884" t="s">
        <v>218</v>
      </c>
      <c r="C317" s="895">
        <v>-12</v>
      </c>
      <c r="D317" s="895">
        <v>-14</v>
      </c>
      <c r="E317" s="895">
        <v>-12</v>
      </c>
      <c r="F317" s="895">
        <v>-12</v>
      </c>
      <c r="G317" s="895">
        <v>-12</v>
      </c>
      <c r="H317" s="895">
        <v>-13</v>
      </c>
      <c r="I317" s="895">
        <v>-12</v>
      </c>
      <c r="J317" s="895">
        <v>-12</v>
      </c>
      <c r="K317" s="895">
        <v>-12</v>
      </c>
      <c r="L317" s="895">
        <v>-13</v>
      </c>
      <c r="M317" s="895">
        <v>-12</v>
      </c>
      <c r="N317" s="895">
        <v>-12</v>
      </c>
      <c r="O317" s="689">
        <f t="shared" si="113"/>
        <v>-148</v>
      </c>
      <c r="P317" s="689"/>
      <c r="Q317" s="885"/>
      <c r="R317" s="947" t="s">
        <v>84</v>
      </c>
      <c r="S317" s="885"/>
      <c r="T317" s="689"/>
      <c r="U317" s="887">
        <f t="shared" si="114"/>
        <v>-38</v>
      </c>
      <c r="V317" s="887">
        <f t="shared" si="115"/>
        <v>-37</v>
      </c>
      <c r="W317" s="887">
        <f t="shared" si="116"/>
        <v>-36</v>
      </c>
      <c r="X317" s="887">
        <f t="shared" si="117"/>
        <v>-37</v>
      </c>
      <c r="Y317" s="888">
        <f t="shared" si="118"/>
        <v>-148</v>
      </c>
    </row>
    <row r="318" spans="1:25" x14ac:dyDescent="0.2">
      <c r="A318" s="884" t="s">
        <v>219</v>
      </c>
      <c r="C318" s="895">
        <v>-8</v>
      </c>
      <c r="D318" s="895">
        <v>-8</v>
      </c>
      <c r="E318" s="895">
        <v>-8</v>
      </c>
      <c r="F318" s="895">
        <v>-8</v>
      </c>
      <c r="G318" s="895">
        <v>-8</v>
      </c>
      <c r="H318" s="895">
        <v>-8</v>
      </c>
      <c r="I318" s="895">
        <v>-8</v>
      </c>
      <c r="J318" s="895">
        <v>-8</v>
      </c>
      <c r="K318" s="895">
        <v>-8</v>
      </c>
      <c r="L318" s="895">
        <v>-8</v>
      </c>
      <c r="M318" s="895">
        <v>-8</v>
      </c>
      <c r="N318" s="895">
        <v>-9</v>
      </c>
      <c r="O318" s="689">
        <f t="shared" si="113"/>
        <v>-97</v>
      </c>
      <c r="P318" s="689"/>
      <c r="Q318" s="885"/>
      <c r="R318" s="947" t="s">
        <v>84</v>
      </c>
      <c r="S318" s="885"/>
      <c r="T318" s="689"/>
      <c r="U318" s="887">
        <f t="shared" si="114"/>
        <v>-24</v>
      </c>
      <c r="V318" s="887">
        <f t="shared" si="115"/>
        <v>-24</v>
      </c>
      <c r="W318" s="887">
        <f t="shared" si="116"/>
        <v>-24</v>
      </c>
      <c r="X318" s="887">
        <f t="shared" si="117"/>
        <v>-25</v>
      </c>
      <c r="Y318" s="888">
        <f t="shared" si="118"/>
        <v>-97</v>
      </c>
    </row>
    <row r="319" spans="1:25" x14ac:dyDescent="0.2">
      <c r="A319" s="884" t="s">
        <v>220</v>
      </c>
      <c r="C319" s="895"/>
      <c r="D319" s="895"/>
      <c r="E319" s="895"/>
      <c r="F319" s="895"/>
      <c r="G319" s="895"/>
      <c r="H319" s="895"/>
      <c r="I319" s="895"/>
      <c r="J319" s="895"/>
      <c r="K319" s="895"/>
      <c r="L319" s="895"/>
      <c r="M319" s="895"/>
      <c r="N319" s="895"/>
      <c r="O319" s="689">
        <f t="shared" si="113"/>
        <v>0</v>
      </c>
      <c r="P319" s="689"/>
      <c r="Q319" s="885"/>
      <c r="R319" s="947" t="s">
        <v>84</v>
      </c>
      <c r="S319" s="885"/>
      <c r="T319" s="689"/>
      <c r="U319" s="887">
        <f t="shared" si="114"/>
        <v>0</v>
      </c>
      <c r="V319" s="887">
        <f t="shared" si="115"/>
        <v>0</v>
      </c>
      <c r="W319" s="887">
        <f t="shared" si="116"/>
        <v>0</v>
      </c>
      <c r="X319" s="887">
        <f t="shared" si="117"/>
        <v>0</v>
      </c>
      <c r="Y319" s="888">
        <f t="shared" si="118"/>
        <v>0</v>
      </c>
    </row>
    <row r="320" spans="1:25" x14ac:dyDescent="0.2">
      <c r="A320" s="884" t="s">
        <v>221</v>
      </c>
      <c r="C320" s="895"/>
      <c r="D320" s="895"/>
      <c r="E320" s="895"/>
      <c r="F320" s="895"/>
      <c r="G320" s="895"/>
      <c r="H320" s="895"/>
      <c r="I320" s="895"/>
      <c r="J320" s="895"/>
      <c r="K320" s="895"/>
      <c r="L320" s="895"/>
      <c r="M320" s="895"/>
      <c r="N320" s="895"/>
      <c r="O320" s="689">
        <f t="shared" si="113"/>
        <v>0</v>
      </c>
      <c r="P320" s="689"/>
      <c r="Q320" s="885"/>
      <c r="R320" s="947" t="s">
        <v>84</v>
      </c>
      <c r="S320" s="885"/>
      <c r="T320" s="689"/>
      <c r="U320" s="887">
        <f t="shared" si="114"/>
        <v>0</v>
      </c>
      <c r="V320" s="887">
        <f t="shared" si="115"/>
        <v>0</v>
      </c>
      <c r="W320" s="887">
        <f t="shared" si="116"/>
        <v>0</v>
      </c>
      <c r="X320" s="887">
        <f t="shared" si="117"/>
        <v>0</v>
      </c>
      <c r="Y320" s="888">
        <f t="shared" si="118"/>
        <v>0</v>
      </c>
    </row>
    <row r="321" spans="1:25" x14ac:dyDescent="0.2">
      <c r="A321" s="884" t="s">
        <v>222</v>
      </c>
      <c r="C321" s="895">
        <v>-12</v>
      </c>
      <c r="D321" s="895">
        <v>-14</v>
      </c>
      <c r="E321" s="895">
        <v>-12</v>
      </c>
      <c r="F321" s="895">
        <v>-13</v>
      </c>
      <c r="G321" s="895">
        <v>-12</v>
      </c>
      <c r="H321" s="895">
        <v>-13</v>
      </c>
      <c r="I321" s="895">
        <v>-12</v>
      </c>
      <c r="J321" s="895">
        <v>-13</v>
      </c>
      <c r="K321" s="895">
        <v>-12</v>
      </c>
      <c r="L321" s="895">
        <v>-13</v>
      </c>
      <c r="M321" s="895">
        <v>-12</v>
      </c>
      <c r="N321" s="895">
        <v>-12</v>
      </c>
      <c r="O321" s="689">
        <f t="shared" si="113"/>
        <v>-150</v>
      </c>
      <c r="P321" s="689"/>
      <c r="Q321" s="885"/>
      <c r="R321" s="947" t="s">
        <v>84</v>
      </c>
      <c r="S321" s="885"/>
      <c r="T321" s="689"/>
      <c r="U321" s="887">
        <f t="shared" si="114"/>
        <v>-38</v>
      </c>
      <c r="V321" s="887">
        <f t="shared" si="115"/>
        <v>-38</v>
      </c>
      <c r="W321" s="887">
        <f t="shared" si="116"/>
        <v>-37</v>
      </c>
      <c r="X321" s="887">
        <f t="shared" si="117"/>
        <v>-37</v>
      </c>
      <c r="Y321" s="888">
        <f t="shared" si="118"/>
        <v>-150</v>
      </c>
    </row>
    <row r="322" spans="1:25" ht="12.75" customHeight="1" x14ac:dyDescent="0.2">
      <c r="A322" s="894" t="s">
        <v>223</v>
      </c>
      <c r="B322" s="898"/>
      <c r="C322" s="864">
        <v>0</v>
      </c>
      <c r="D322" s="864">
        <v>0</v>
      </c>
      <c r="E322" s="864">
        <v>0</v>
      </c>
      <c r="F322" s="864">
        <v>0</v>
      </c>
      <c r="G322" s="864">
        <v>0</v>
      </c>
      <c r="H322" s="864">
        <v>0</v>
      </c>
      <c r="I322" s="864">
        <v>0</v>
      </c>
      <c r="J322" s="864">
        <v>0</v>
      </c>
      <c r="K322" s="864">
        <v>0</v>
      </c>
      <c r="L322" s="864">
        <v>0</v>
      </c>
      <c r="M322" s="864">
        <v>0</v>
      </c>
      <c r="N322" s="864">
        <v>0</v>
      </c>
      <c r="O322" s="691">
        <f t="shared" si="113"/>
        <v>0</v>
      </c>
      <c r="P322" s="689"/>
      <c r="Q322" s="903"/>
      <c r="R322" s="890" t="s">
        <v>84</v>
      </c>
      <c r="S322" s="903"/>
      <c r="T322" s="689"/>
      <c r="U322" s="943">
        <f t="shared" si="114"/>
        <v>0</v>
      </c>
      <c r="V322" s="943">
        <f t="shared" si="115"/>
        <v>0</v>
      </c>
      <c r="W322" s="943">
        <f t="shared" si="116"/>
        <v>0</v>
      </c>
      <c r="X322" s="943">
        <f t="shared" si="117"/>
        <v>0</v>
      </c>
      <c r="Y322" s="893">
        <f t="shared" si="118"/>
        <v>0</v>
      </c>
    </row>
    <row r="323" spans="1:25" ht="12.75" customHeight="1" x14ac:dyDescent="0.2">
      <c r="A323" s="884" t="s">
        <v>91</v>
      </c>
      <c r="B323" s="898"/>
      <c r="C323" s="904">
        <f t="shared" ref="C323:O323" si="119">SUM(C316:C322)</f>
        <v>-32</v>
      </c>
      <c r="D323" s="904">
        <f t="shared" si="119"/>
        <v>-36</v>
      </c>
      <c r="E323" s="904">
        <f t="shared" si="119"/>
        <v>-32</v>
      </c>
      <c r="F323" s="904">
        <f t="shared" si="119"/>
        <v>-33</v>
      </c>
      <c r="G323" s="904">
        <f t="shared" si="119"/>
        <v>-32</v>
      </c>
      <c r="H323" s="904">
        <f t="shared" si="119"/>
        <v>-34</v>
      </c>
      <c r="I323" s="904">
        <f t="shared" si="119"/>
        <v>-32</v>
      </c>
      <c r="J323" s="904">
        <f t="shared" si="119"/>
        <v>-33</v>
      </c>
      <c r="K323" s="904">
        <f t="shared" si="119"/>
        <v>-32</v>
      </c>
      <c r="L323" s="904">
        <f t="shared" si="119"/>
        <v>-34</v>
      </c>
      <c r="M323" s="904">
        <f t="shared" si="119"/>
        <v>-32</v>
      </c>
      <c r="N323" s="904">
        <f t="shared" si="119"/>
        <v>-33</v>
      </c>
      <c r="O323" s="904">
        <f t="shared" si="119"/>
        <v>-395</v>
      </c>
      <c r="P323" s="689"/>
      <c r="Q323" s="903"/>
      <c r="R323" s="890"/>
      <c r="S323" s="903"/>
      <c r="T323" s="689"/>
      <c r="U323" s="904">
        <f>SUM(U316:U322)</f>
        <v>-100</v>
      </c>
      <c r="V323" s="904">
        <f>SUM(V316:V322)</f>
        <v>-99</v>
      </c>
      <c r="W323" s="904">
        <f>SUM(W316:W322)</f>
        <v>-97</v>
      </c>
      <c r="X323" s="904">
        <f>SUM(X316:X322)</f>
        <v>-99</v>
      </c>
      <c r="Y323" s="904">
        <f>SUM(Y316:Y322)</f>
        <v>-395</v>
      </c>
    </row>
    <row r="324" spans="1:25" ht="3.95" customHeight="1" x14ac:dyDescent="0.2">
      <c r="A324" s="894"/>
      <c r="C324" s="863"/>
      <c r="D324" s="863"/>
      <c r="E324" s="863"/>
      <c r="F324" s="863"/>
      <c r="G324" s="863"/>
      <c r="H324" s="863"/>
      <c r="I324" s="863"/>
      <c r="J324" s="863"/>
      <c r="K324" s="863"/>
      <c r="L324" s="863"/>
      <c r="M324" s="863"/>
      <c r="N324" s="863"/>
      <c r="O324" s="689"/>
      <c r="P324" s="689"/>
      <c r="Q324" s="908"/>
      <c r="R324" s="947"/>
      <c r="S324" s="908"/>
      <c r="T324" s="689"/>
      <c r="U324" s="887"/>
      <c r="V324" s="887"/>
      <c r="W324" s="887"/>
      <c r="X324" s="887"/>
      <c r="Y324" s="888"/>
    </row>
    <row r="325" spans="1:25" ht="12.75" customHeight="1" x14ac:dyDescent="0.2">
      <c r="A325" s="884" t="s">
        <v>846</v>
      </c>
      <c r="C325" s="128">
        <v>0</v>
      </c>
      <c r="D325" s="128">
        <v>0</v>
      </c>
      <c r="E325" s="128">
        <v>0</v>
      </c>
      <c r="F325" s="128">
        <v>0</v>
      </c>
      <c r="G325" s="128">
        <v>0</v>
      </c>
      <c r="H325" s="128">
        <v>0</v>
      </c>
      <c r="I325" s="128">
        <v>0</v>
      </c>
      <c r="J325" s="128">
        <v>0</v>
      </c>
      <c r="K325" s="128">
        <v>0</v>
      </c>
      <c r="L325" s="128">
        <v>0</v>
      </c>
      <c r="M325" s="128">
        <v>0</v>
      </c>
      <c r="N325" s="128">
        <v>0</v>
      </c>
      <c r="O325" s="129">
        <f>SUM(C325:N325)</f>
        <v>0</v>
      </c>
      <c r="P325" s="129"/>
      <c r="Q325" s="885"/>
      <c r="R325" s="886" t="s">
        <v>92</v>
      </c>
      <c r="S325" s="885"/>
      <c r="T325" s="129"/>
      <c r="U325" s="887">
        <f>C325+D325+E325</f>
        <v>0</v>
      </c>
      <c r="V325" s="887">
        <f>F325+G325+H325</f>
        <v>0</v>
      </c>
      <c r="W325" s="887">
        <f>I325+J325+K325</f>
        <v>0</v>
      </c>
      <c r="X325" s="887">
        <f>L325+M325+N325</f>
        <v>0</v>
      </c>
      <c r="Y325" s="888">
        <f>SUM(U325:X325)</f>
        <v>0</v>
      </c>
    </row>
    <row r="326" spans="1:25" ht="3.95" customHeight="1" x14ac:dyDescent="0.2">
      <c r="A326" s="894"/>
      <c r="C326" s="863"/>
      <c r="D326" s="863"/>
      <c r="E326" s="863"/>
      <c r="F326" s="863"/>
      <c r="G326" s="863"/>
      <c r="H326" s="863"/>
      <c r="I326" s="863"/>
      <c r="J326" s="863"/>
      <c r="K326" s="863"/>
      <c r="L326" s="863"/>
      <c r="M326" s="863"/>
      <c r="N326" s="863"/>
      <c r="O326" s="689"/>
      <c r="P326" s="689"/>
      <c r="Q326" s="908"/>
      <c r="R326" s="947"/>
      <c r="S326" s="908"/>
      <c r="T326" s="689"/>
      <c r="U326" s="887"/>
      <c r="V326" s="887"/>
      <c r="W326" s="887"/>
      <c r="X326" s="887"/>
      <c r="Y326" s="888"/>
    </row>
    <row r="327" spans="1:25" x14ac:dyDescent="0.2">
      <c r="A327" s="884" t="s">
        <v>94</v>
      </c>
      <c r="B327" s="952"/>
      <c r="C327" s="128">
        <v>0</v>
      </c>
      <c r="D327" s="128">
        <v>0</v>
      </c>
      <c r="E327" s="128">
        <v>0</v>
      </c>
      <c r="F327" s="128">
        <v>0</v>
      </c>
      <c r="G327" s="128">
        <v>0</v>
      </c>
      <c r="H327" s="128">
        <v>0</v>
      </c>
      <c r="I327" s="128">
        <v>0</v>
      </c>
      <c r="J327" s="128">
        <v>0</v>
      </c>
      <c r="K327" s="128">
        <v>0</v>
      </c>
      <c r="L327" s="128">
        <v>0</v>
      </c>
      <c r="M327" s="128">
        <v>0</v>
      </c>
      <c r="N327" s="128">
        <v>0</v>
      </c>
      <c r="O327" s="129">
        <f>SUM(C327:N327)</f>
        <v>0</v>
      </c>
      <c r="P327" s="129"/>
      <c r="Q327" s="908"/>
      <c r="R327" s="886" t="s">
        <v>95</v>
      </c>
      <c r="S327" s="908"/>
      <c r="T327" s="129"/>
      <c r="U327" s="902">
        <f>C327+D327+E327</f>
        <v>0</v>
      </c>
      <c r="V327" s="902">
        <f>F327+G327+H327</f>
        <v>0</v>
      </c>
      <c r="W327" s="902">
        <f>I327+J327+K327</f>
        <v>0</v>
      </c>
      <c r="X327" s="902">
        <f>L327+M327+N327</f>
        <v>0</v>
      </c>
      <c r="Y327" s="888">
        <f>SUM(U327:X327)</f>
        <v>0</v>
      </c>
    </row>
    <row r="328" spans="1:25" ht="3.95" customHeight="1" x14ac:dyDescent="0.2">
      <c r="A328" s="884"/>
      <c r="B328" s="952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9"/>
      <c r="P328" s="129"/>
      <c r="Q328" s="908"/>
      <c r="R328" s="886"/>
      <c r="S328" s="908"/>
      <c r="T328" s="129"/>
      <c r="U328" s="902"/>
      <c r="V328" s="902"/>
      <c r="W328" s="902"/>
      <c r="X328" s="902"/>
      <c r="Y328" s="888"/>
    </row>
    <row r="329" spans="1:25" ht="12.75" customHeight="1" x14ac:dyDescent="0.2">
      <c r="A329" s="897" t="s">
        <v>96</v>
      </c>
      <c r="B329" s="952"/>
      <c r="C329" s="899">
        <f>SUM(C323:C327)</f>
        <v>-32</v>
      </c>
      <c r="D329" s="900">
        <f>SUM(D323:D327)</f>
        <v>-36</v>
      </c>
      <c r="E329" s="900">
        <f t="shared" ref="E329:O329" si="120">SUM(E323:E327)</f>
        <v>-32</v>
      </c>
      <c r="F329" s="900">
        <f t="shared" si="120"/>
        <v>-33</v>
      </c>
      <c r="G329" s="900">
        <f t="shared" si="120"/>
        <v>-32</v>
      </c>
      <c r="H329" s="900">
        <f t="shared" si="120"/>
        <v>-34</v>
      </c>
      <c r="I329" s="900">
        <f t="shared" si="120"/>
        <v>-32</v>
      </c>
      <c r="J329" s="900">
        <f t="shared" si="120"/>
        <v>-33</v>
      </c>
      <c r="K329" s="900">
        <f t="shared" si="120"/>
        <v>-32</v>
      </c>
      <c r="L329" s="900">
        <f t="shared" si="120"/>
        <v>-34</v>
      </c>
      <c r="M329" s="900">
        <f t="shared" si="120"/>
        <v>-32</v>
      </c>
      <c r="N329" s="900">
        <f t="shared" si="120"/>
        <v>-33</v>
      </c>
      <c r="O329" s="901">
        <f t="shared" si="120"/>
        <v>-395</v>
      </c>
      <c r="P329" s="902"/>
      <c r="Q329" s="908"/>
      <c r="R329" s="904"/>
      <c r="S329" s="908"/>
      <c r="T329" s="902"/>
      <c r="U329" s="899">
        <f>SUM(U323:U327)</f>
        <v>-100</v>
      </c>
      <c r="V329" s="900">
        <f>SUM(V323:V327)</f>
        <v>-99</v>
      </c>
      <c r="W329" s="900">
        <f>SUM(W323:W327)</f>
        <v>-97</v>
      </c>
      <c r="X329" s="900">
        <f>SUM(X323:X327)</f>
        <v>-99</v>
      </c>
      <c r="Y329" s="901">
        <f>SUM(Y323:Y327)</f>
        <v>-395</v>
      </c>
    </row>
    <row r="330" spans="1:25" x14ac:dyDescent="0.2">
      <c r="A330" s="922"/>
      <c r="C330" s="888"/>
      <c r="D330" s="888"/>
      <c r="E330" s="888"/>
      <c r="F330" s="888"/>
      <c r="G330" s="888"/>
      <c r="H330" s="888"/>
      <c r="I330" s="888"/>
      <c r="J330" s="888"/>
      <c r="K330" s="888"/>
      <c r="L330" s="888"/>
      <c r="M330" s="888"/>
      <c r="N330" s="888"/>
      <c r="O330" s="887"/>
      <c r="P330" s="887"/>
      <c r="Q330" s="885"/>
      <c r="R330" s="888"/>
      <c r="S330" s="885"/>
      <c r="T330" s="887"/>
      <c r="U330" s="887"/>
      <c r="V330" s="887"/>
      <c r="W330" s="887"/>
      <c r="X330" s="887"/>
      <c r="Y330" s="888"/>
    </row>
    <row r="331" spans="1:25" s="952" customFormat="1" ht="12.75" customHeight="1" x14ac:dyDescent="0.2">
      <c r="A331" s="953" t="s">
        <v>224</v>
      </c>
      <c r="C331" s="917">
        <f t="shared" ref="C331:O331" si="121">C128+C150+C178+C256+C285+C298+C312+C329</f>
        <v>9053</v>
      </c>
      <c r="D331" s="918">
        <f t="shared" si="121"/>
        <v>7245</v>
      </c>
      <c r="E331" s="918">
        <f t="shared" si="121"/>
        <v>8649</v>
      </c>
      <c r="F331" s="918">
        <f t="shared" si="121"/>
        <v>8287</v>
      </c>
      <c r="G331" s="918">
        <f t="shared" si="121"/>
        <v>8916</v>
      </c>
      <c r="H331" s="918">
        <f t="shared" si="121"/>
        <v>9478</v>
      </c>
      <c r="I331" s="918">
        <f t="shared" si="121"/>
        <v>10280</v>
      </c>
      <c r="J331" s="918">
        <f t="shared" si="121"/>
        <v>10085</v>
      </c>
      <c r="K331" s="918">
        <f t="shared" si="121"/>
        <v>9556</v>
      </c>
      <c r="L331" s="918">
        <f t="shared" si="121"/>
        <v>10045</v>
      </c>
      <c r="M331" s="918">
        <f t="shared" si="121"/>
        <v>9987</v>
      </c>
      <c r="N331" s="918">
        <f t="shared" si="121"/>
        <v>10185</v>
      </c>
      <c r="O331" s="919">
        <f t="shared" si="121"/>
        <v>111766</v>
      </c>
      <c r="P331" s="920"/>
      <c r="Q331" s="921"/>
      <c r="R331" s="904"/>
      <c r="S331" s="921"/>
      <c r="T331" s="920"/>
      <c r="U331" s="917">
        <f>U128+U150+U178+U256+U285+U298+U312+U329</f>
        <v>24947</v>
      </c>
      <c r="V331" s="918">
        <f>V128+V150+V178+V256+V285+V298+V312+V329</f>
        <v>26681</v>
      </c>
      <c r="W331" s="918">
        <f>W128+W150+W178+W256+W285+W298+W312+W329</f>
        <v>29921</v>
      </c>
      <c r="X331" s="918">
        <f>X128+X150+X178+X256+X285+X298+X312+X329</f>
        <v>30217</v>
      </c>
      <c r="Y331" s="919">
        <f>Y128+Y150+Y178+Y256+Y285+Y298+Y312+Y329</f>
        <v>111766</v>
      </c>
    </row>
    <row r="332" spans="1:25" s="952" customFormat="1" ht="6" customHeight="1" x14ac:dyDescent="0.2">
      <c r="A332" s="953"/>
      <c r="C332" s="920"/>
      <c r="D332" s="920"/>
      <c r="E332" s="920"/>
      <c r="F332" s="920"/>
      <c r="G332" s="920"/>
      <c r="H332" s="920"/>
      <c r="I332" s="920"/>
      <c r="J332" s="920"/>
      <c r="K332" s="920"/>
      <c r="L332" s="920"/>
      <c r="M332" s="920"/>
      <c r="N332" s="920"/>
      <c r="O332" s="920"/>
      <c r="P332" s="920"/>
      <c r="Q332" s="921"/>
      <c r="R332" s="904"/>
      <c r="S332" s="921"/>
      <c r="T332" s="920"/>
      <c r="U332" s="920"/>
      <c r="V332" s="920"/>
      <c r="W332" s="920"/>
      <c r="X332" s="920"/>
      <c r="Y332" s="920"/>
    </row>
    <row r="333" spans="1:25" x14ac:dyDescent="0.2">
      <c r="A333" s="883" t="s">
        <v>225</v>
      </c>
      <c r="C333" s="888"/>
      <c r="D333" s="888"/>
      <c r="E333" s="888"/>
      <c r="F333" s="888"/>
      <c r="G333" s="888"/>
      <c r="H333" s="888"/>
      <c r="I333" s="888"/>
      <c r="J333" s="888"/>
      <c r="K333" s="888"/>
      <c r="L333" s="888"/>
      <c r="M333" s="888"/>
      <c r="N333" s="888"/>
      <c r="O333" s="887"/>
      <c r="P333" s="887"/>
      <c r="Q333" s="885"/>
      <c r="R333" s="888"/>
      <c r="S333" s="885"/>
      <c r="T333" s="887"/>
      <c r="U333" s="887"/>
      <c r="V333" s="887"/>
      <c r="W333" s="887"/>
      <c r="X333" s="887"/>
      <c r="Y333" s="888"/>
    </row>
    <row r="334" spans="1:25" x14ac:dyDescent="0.2">
      <c r="A334" s="884" t="s">
        <v>226</v>
      </c>
      <c r="C334" s="895"/>
      <c r="D334" s="895"/>
      <c r="E334" s="895"/>
      <c r="F334" s="895"/>
      <c r="G334" s="895"/>
      <c r="H334" s="895"/>
      <c r="I334" s="895"/>
      <c r="J334" s="895"/>
      <c r="K334" s="895"/>
      <c r="L334" s="895"/>
      <c r="M334" s="895"/>
      <c r="N334" s="895"/>
      <c r="O334" s="142">
        <f t="shared" ref="O334:O340" si="122">SUM(C334:N334)</f>
        <v>0</v>
      </c>
      <c r="P334" s="142"/>
      <c r="Q334" s="885"/>
      <c r="R334" s="888"/>
      <c r="S334" s="885"/>
      <c r="T334" s="142"/>
      <c r="U334" s="887">
        <f t="shared" ref="U334:U340" si="123">C334+D334+E334</f>
        <v>0</v>
      </c>
      <c r="V334" s="887">
        <f t="shared" ref="V334:V340" si="124">F334+G334+H334</f>
        <v>0</v>
      </c>
      <c r="W334" s="887">
        <f t="shared" ref="W334:W340" si="125">I334+J334+K334</f>
        <v>0</v>
      </c>
      <c r="X334" s="887">
        <f t="shared" ref="X334:X340" si="126">L334+M334+N334</f>
        <v>0</v>
      </c>
      <c r="Y334" s="888">
        <f t="shared" ref="Y334:Y340" si="127">SUM(U334:X334)</f>
        <v>0</v>
      </c>
    </row>
    <row r="335" spans="1:25" x14ac:dyDescent="0.2">
      <c r="A335" s="884" t="s">
        <v>227</v>
      </c>
      <c r="C335" s="895"/>
      <c r="D335" s="895"/>
      <c r="E335" s="895"/>
      <c r="F335" s="895"/>
      <c r="G335" s="895"/>
      <c r="H335" s="895"/>
      <c r="I335" s="895"/>
      <c r="J335" s="895"/>
      <c r="K335" s="895"/>
      <c r="L335" s="895"/>
      <c r="M335" s="895"/>
      <c r="N335" s="895"/>
      <c r="O335" s="142">
        <f t="shared" si="122"/>
        <v>0</v>
      </c>
      <c r="P335" s="142"/>
      <c r="Q335" s="885"/>
      <c r="R335" s="888"/>
      <c r="S335" s="885"/>
      <c r="T335" s="142"/>
      <c r="U335" s="887">
        <f t="shared" si="123"/>
        <v>0</v>
      </c>
      <c r="V335" s="887">
        <f t="shared" si="124"/>
        <v>0</v>
      </c>
      <c r="W335" s="887">
        <f t="shared" si="125"/>
        <v>0</v>
      </c>
      <c r="X335" s="887">
        <f t="shared" si="126"/>
        <v>0</v>
      </c>
      <c r="Y335" s="888">
        <f t="shared" si="127"/>
        <v>0</v>
      </c>
    </row>
    <row r="336" spans="1:25" x14ac:dyDescent="0.2">
      <c r="A336" s="884" t="s">
        <v>228</v>
      </c>
      <c r="C336" s="895"/>
      <c r="D336" s="895"/>
      <c r="E336" s="895"/>
      <c r="F336" s="895"/>
      <c r="G336" s="895"/>
      <c r="H336" s="895"/>
      <c r="I336" s="895"/>
      <c r="J336" s="895"/>
      <c r="K336" s="895"/>
      <c r="L336" s="895"/>
      <c r="M336" s="895"/>
      <c r="N336" s="895"/>
      <c r="O336" s="142">
        <f t="shared" si="122"/>
        <v>0</v>
      </c>
      <c r="P336" s="142"/>
      <c r="Q336" s="885"/>
      <c r="R336" s="888"/>
      <c r="S336" s="885"/>
      <c r="T336" s="142"/>
      <c r="U336" s="887">
        <f t="shared" si="123"/>
        <v>0</v>
      </c>
      <c r="V336" s="887">
        <f t="shared" si="124"/>
        <v>0</v>
      </c>
      <c r="W336" s="887">
        <f t="shared" si="125"/>
        <v>0</v>
      </c>
      <c r="X336" s="887">
        <f t="shared" si="126"/>
        <v>0</v>
      </c>
      <c r="Y336" s="888">
        <f t="shared" si="127"/>
        <v>0</v>
      </c>
    </row>
    <row r="337" spans="1:25" x14ac:dyDescent="0.2">
      <c r="A337" s="884" t="s">
        <v>229</v>
      </c>
      <c r="C337" s="895"/>
      <c r="D337" s="895"/>
      <c r="E337" s="895"/>
      <c r="F337" s="895"/>
      <c r="G337" s="895"/>
      <c r="H337" s="895"/>
      <c r="I337" s="895"/>
      <c r="J337" s="895"/>
      <c r="K337" s="895"/>
      <c r="L337" s="895"/>
      <c r="M337" s="895"/>
      <c r="N337" s="895"/>
      <c r="O337" s="142">
        <f t="shared" si="122"/>
        <v>0</v>
      </c>
      <c r="P337" s="142"/>
      <c r="Q337" s="885"/>
      <c r="R337" s="888"/>
      <c r="S337" s="885"/>
      <c r="T337" s="142"/>
      <c r="U337" s="887">
        <f t="shared" si="123"/>
        <v>0</v>
      </c>
      <c r="V337" s="887">
        <f t="shared" si="124"/>
        <v>0</v>
      </c>
      <c r="W337" s="887">
        <f t="shared" si="125"/>
        <v>0</v>
      </c>
      <c r="X337" s="887">
        <f t="shared" si="126"/>
        <v>0</v>
      </c>
      <c r="Y337" s="888">
        <f t="shared" si="127"/>
        <v>0</v>
      </c>
    </row>
    <row r="338" spans="1:25" x14ac:dyDescent="0.2">
      <c r="A338" s="884" t="s">
        <v>230</v>
      </c>
      <c r="C338" s="895"/>
      <c r="D338" s="895"/>
      <c r="E338" s="895"/>
      <c r="F338" s="895"/>
      <c r="G338" s="895"/>
      <c r="H338" s="895"/>
      <c r="I338" s="895"/>
      <c r="J338" s="895"/>
      <c r="K338" s="895"/>
      <c r="L338" s="895"/>
      <c r="M338" s="895"/>
      <c r="N338" s="895"/>
      <c r="O338" s="142">
        <f t="shared" si="122"/>
        <v>0</v>
      </c>
      <c r="P338" s="142"/>
      <c r="Q338" s="885"/>
      <c r="R338" s="888"/>
      <c r="S338" s="885"/>
      <c r="T338" s="142"/>
      <c r="U338" s="887">
        <f t="shared" si="123"/>
        <v>0</v>
      </c>
      <c r="V338" s="887">
        <f t="shared" si="124"/>
        <v>0</v>
      </c>
      <c r="W338" s="887">
        <f t="shared" si="125"/>
        <v>0</v>
      </c>
      <c r="X338" s="887">
        <f t="shared" si="126"/>
        <v>0</v>
      </c>
      <c r="Y338" s="888">
        <f t="shared" si="127"/>
        <v>0</v>
      </c>
    </row>
    <row r="339" spans="1:25" x14ac:dyDescent="0.2">
      <c r="A339" s="884" t="s">
        <v>231</v>
      </c>
      <c r="C339" s="895"/>
      <c r="D339" s="895"/>
      <c r="E339" s="895"/>
      <c r="F339" s="895"/>
      <c r="G339" s="895"/>
      <c r="H339" s="895"/>
      <c r="I339" s="895"/>
      <c r="J339" s="895"/>
      <c r="K339" s="895"/>
      <c r="L339" s="895"/>
      <c r="M339" s="895"/>
      <c r="N339" s="895"/>
      <c r="O339" s="142">
        <f t="shared" si="122"/>
        <v>0</v>
      </c>
      <c r="P339" s="142"/>
      <c r="Q339" s="885"/>
      <c r="R339" s="888"/>
      <c r="S339" s="885"/>
      <c r="T339" s="142"/>
      <c r="U339" s="887">
        <f t="shared" si="123"/>
        <v>0</v>
      </c>
      <c r="V339" s="887">
        <f t="shared" si="124"/>
        <v>0</v>
      </c>
      <c r="W339" s="887">
        <f t="shared" si="125"/>
        <v>0</v>
      </c>
      <c r="X339" s="887">
        <f t="shared" si="126"/>
        <v>0</v>
      </c>
      <c r="Y339" s="888">
        <f t="shared" si="127"/>
        <v>0</v>
      </c>
    </row>
    <row r="340" spans="1:25" s="898" customFormat="1" ht="12.75" customHeight="1" x14ac:dyDescent="0.2">
      <c r="A340" s="929" t="s">
        <v>232</v>
      </c>
      <c r="C340" s="863"/>
      <c r="D340" s="863"/>
      <c r="E340" s="863"/>
      <c r="F340" s="863"/>
      <c r="G340" s="863"/>
      <c r="H340" s="863"/>
      <c r="I340" s="863"/>
      <c r="J340" s="863"/>
      <c r="K340" s="863"/>
      <c r="L340" s="863"/>
      <c r="M340" s="863"/>
      <c r="N340" s="863"/>
      <c r="O340" s="142">
        <f t="shared" si="122"/>
        <v>0</v>
      </c>
      <c r="P340" s="142"/>
      <c r="Q340" s="921"/>
      <c r="R340" s="909"/>
      <c r="S340" s="921"/>
      <c r="T340" s="142"/>
      <c r="U340" s="902">
        <f t="shared" si="123"/>
        <v>0</v>
      </c>
      <c r="V340" s="902">
        <f t="shared" si="124"/>
        <v>0</v>
      </c>
      <c r="W340" s="902">
        <f t="shared" si="125"/>
        <v>0</v>
      </c>
      <c r="X340" s="902">
        <f t="shared" si="126"/>
        <v>0</v>
      </c>
      <c r="Y340" s="888">
        <f t="shared" si="127"/>
        <v>0</v>
      </c>
    </row>
    <row r="341" spans="1:25" s="898" customFormat="1" ht="6" customHeight="1" thickBot="1" x14ac:dyDescent="0.25">
      <c r="A341" s="913"/>
      <c r="C341" s="904"/>
      <c r="D341" s="904"/>
      <c r="E341" s="904"/>
      <c r="F341" s="904"/>
      <c r="G341" s="904"/>
      <c r="H341" s="904"/>
      <c r="I341" s="904"/>
      <c r="J341" s="904"/>
      <c r="K341" s="904"/>
      <c r="L341" s="904"/>
      <c r="M341" s="904"/>
      <c r="N341" s="904"/>
      <c r="O341" s="902"/>
      <c r="P341" s="902"/>
      <c r="Q341" s="908"/>
      <c r="R341" s="904"/>
      <c r="S341" s="908"/>
      <c r="T341" s="902"/>
      <c r="U341" s="902"/>
      <c r="V341" s="902"/>
      <c r="W341" s="902"/>
      <c r="X341" s="902"/>
      <c r="Y341" s="904"/>
    </row>
    <row r="342" spans="1:25" s="898" customFormat="1" ht="12.75" customHeight="1" thickBot="1" x14ac:dyDescent="0.25">
      <c r="A342" s="930" t="s">
        <v>233</v>
      </c>
      <c r="C342" s="954">
        <f t="shared" ref="C342:O342" si="128">SUM(C331:C340)</f>
        <v>9053</v>
      </c>
      <c r="D342" s="955">
        <f t="shared" si="128"/>
        <v>7245</v>
      </c>
      <c r="E342" s="955">
        <f t="shared" si="128"/>
        <v>8649</v>
      </c>
      <c r="F342" s="955">
        <f t="shared" si="128"/>
        <v>8287</v>
      </c>
      <c r="G342" s="955">
        <f t="shared" si="128"/>
        <v>8916</v>
      </c>
      <c r="H342" s="955">
        <f t="shared" si="128"/>
        <v>9478</v>
      </c>
      <c r="I342" s="955">
        <f t="shared" si="128"/>
        <v>10280</v>
      </c>
      <c r="J342" s="955">
        <f t="shared" si="128"/>
        <v>10085</v>
      </c>
      <c r="K342" s="955">
        <f t="shared" si="128"/>
        <v>9556</v>
      </c>
      <c r="L342" s="955">
        <f t="shared" si="128"/>
        <v>10045</v>
      </c>
      <c r="M342" s="955">
        <f t="shared" si="128"/>
        <v>9987</v>
      </c>
      <c r="N342" s="955">
        <f t="shared" si="128"/>
        <v>10185</v>
      </c>
      <c r="O342" s="956">
        <f t="shared" si="128"/>
        <v>111766</v>
      </c>
      <c r="P342" s="920"/>
      <c r="Q342" s="957"/>
      <c r="R342" s="902"/>
      <c r="S342" s="957"/>
      <c r="T342" s="920"/>
      <c r="U342" s="954">
        <f>SUM(U331:U340)</f>
        <v>24947</v>
      </c>
      <c r="V342" s="955">
        <f>SUM(V331:V340)</f>
        <v>26681</v>
      </c>
      <c r="W342" s="955">
        <f>SUM(W331:W340)</f>
        <v>29921</v>
      </c>
      <c r="X342" s="955">
        <f>SUM(X331:X340)</f>
        <v>30217</v>
      </c>
      <c r="Y342" s="956">
        <f>SUM(Y331:Y340)</f>
        <v>111766</v>
      </c>
    </row>
    <row r="343" spans="1:25" s="898" customFormat="1" ht="6" customHeight="1" x14ac:dyDescent="0.2">
      <c r="A343" s="930"/>
      <c r="C343" s="920"/>
      <c r="D343" s="920"/>
      <c r="E343" s="920"/>
      <c r="F343" s="920"/>
      <c r="G343" s="920"/>
      <c r="H343" s="920"/>
      <c r="I343" s="920"/>
      <c r="J343" s="920"/>
      <c r="K343" s="920"/>
      <c r="L343" s="920"/>
      <c r="M343" s="920"/>
      <c r="N343" s="920"/>
      <c r="O343" s="920"/>
      <c r="P343" s="920"/>
      <c r="Q343" s="957"/>
      <c r="R343" s="902"/>
      <c r="S343" s="957"/>
      <c r="T343" s="920"/>
      <c r="U343" s="920"/>
      <c r="V343" s="920"/>
      <c r="W343" s="920"/>
      <c r="X343" s="920"/>
      <c r="Y343" s="920"/>
    </row>
    <row r="344" spans="1:25" x14ac:dyDescent="0.2">
      <c r="A344" s="884" t="s">
        <v>234</v>
      </c>
      <c r="C344" s="887">
        <f>-IntDeduct!C7</f>
        <v>0</v>
      </c>
      <c r="D344" s="887">
        <f>-IntDeduct!D7</f>
        <v>0</v>
      </c>
      <c r="E344" s="887">
        <f>-IntDeduct!E7</f>
        <v>0</v>
      </c>
      <c r="F344" s="887">
        <f>-IntDeduct!F7</f>
        <v>0</v>
      </c>
      <c r="G344" s="887">
        <f>-IntDeduct!G7</f>
        <v>0</v>
      </c>
      <c r="H344" s="887">
        <f>-IntDeduct!H7</f>
        <v>0</v>
      </c>
      <c r="I344" s="887">
        <f>-IntDeduct!I7</f>
        <v>0</v>
      </c>
      <c r="J344" s="887">
        <f>-IntDeduct!J7</f>
        <v>0</v>
      </c>
      <c r="K344" s="887">
        <f>-IntDeduct!K7</f>
        <v>0</v>
      </c>
      <c r="L344" s="887">
        <f>-IntDeduct!L7</f>
        <v>0</v>
      </c>
      <c r="M344" s="887">
        <f>-IntDeduct!M7</f>
        <v>0</v>
      </c>
      <c r="N344" s="887">
        <f>-IntDeduct!N7</f>
        <v>0</v>
      </c>
      <c r="O344" s="142">
        <f t="shared" ref="O344:O352" si="129">SUM(C344:N344)</f>
        <v>0</v>
      </c>
      <c r="P344" s="142"/>
      <c r="Q344" s="958"/>
      <c r="R344" s="909" t="s">
        <v>235</v>
      </c>
      <c r="S344" s="958"/>
      <c r="T344" s="142"/>
      <c r="U344" s="902">
        <f t="shared" ref="U344:U352" si="130">C344+D344+E344</f>
        <v>0</v>
      </c>
      <c r="V344" s="902">
        <f t="shared" ref="V344:V352" si="131">F344+G344+H344</f>
        <v>0</v>
      </c>
      <c r="W344" s="902">
        <f t="shared" ref="W344:W352" si="132">I344+J344+K344</f>
        <v>0</v>
      </c>
      <c r="X344" s="902">
        <f t="shared" ref="X344:X352" si="133">L344+M344+N344</f>
        <v>0</v>
      </c>
      <c r="Y344" s="888">
        <f t="shared" ref="Y344:Y352" si="134">SUM(U344:X344)</f>
        <v>0</v>
      </c>
    </row>
    <row r="345" spans="1:25" x14ac:dyDescent="0.2">
      <c r="A345" s="884" t="s">
        <v>236</v>
      </c>
      <c r="C345" s="887">
        <f>-IntDeduct!C8</f>
        <v>0</v>
      </c>
      <c r="D345" s="887">
        <f>-IntDeduct!D8</f>
        <v>0</v>
      </c>
      <c r="E345" s="887">
        <f>-IntDeduct!E8</f>
        <v>0</v>
      </c>
      <c r="F345" s="887">
        <f>-IntDeduct!F8</f>
        <v>0</v>
      </c>
      <c r="G345" s="887">
        <f>-IntDeduct!G8</f>
        <v>0</v>
      </c>
      <c r="H345" s="887">
        <f>-IntDeduct!H8</f>
        <v>0</v>
      </c>
      <c r="I345" s="887">
        <f>-IntDeduct!I8</f>
        <v>0</v>
      </c>
      <c r="J345" s="887">
        <f>-IntDeduct!J8</f>
        <v>0</v>
      </c>
      <c r="K345" s="887">
        <f>-IntDeduct!K8</f>
        <v>0</v>
      </c>
      <c r="L345" s="887">
        <f>-IntDeduct!L8</f>
        <v>0</v>
      </c>
      <c r="M345" s="887">
        <f>-IntDeduct!M8</f>
        <v>0</v>
      </c>
      <c r="N345" s="887">
        <f>-IntDeduct!N8</f>
        <v>0</v>
      </c>
      <c r="O345" s="142">
        <f t="shared" si="129"/>
        <v>0</v>
      </c>
      <c r="P345" s="142"/>
      <c r="Q345" s="958"/>
      <c r="R345" s="909" t="s">
        <v>235</v>
      </c>
      <c r="S345" s="958"/>
      <c r="T345" s="142"/>
      <c r="U345" s="902">
        <f t="shared" si="130"/>
        <v>0</v>
      </c>
      <c r="V345" s="902">
        <f t="shared" si="131"/>
        <v>0</v>
      </c>
      <c r="W345" s="902">
        <f t="shared" si="132"/>
        <v>0</v>
      </c>
      <c r="X345" s="902">
        <f t="shared" si="133"/>
        <v>0</v>
      </c>
      <c r="Y345" s="888">
        <f t="shared" si="134"/>
        <v>0</v>
      </c>
    </row>
    <row r="346" spans="1:25" x14ac:dyDescent="0.2">
      <c r="A346" s="884" t="s">
        <v>237</v>
      </c>
      <c r="C346" s="887">
        <f>-IntDeduct!C9</f>
        <v>0</v>
      </c>
      <c r="D346" s="887">
        <f>-IntDeduct!D9</f>
        <v>0</v>
      </c>
      <c r="E346" s="887">
        <f>-IntDeduct!E9</f>
        <v>0</v>
      </c>
      <c r="F346" s="887">
        <f>-IntDeduct!F9</f>
        <v>0</v>
      </c>
      <c r="G346" s="887">
        <f>-IntDeduct!G9</f>
        <v>0</v>
      </c>
      <c r="H346" s="887">
        <f>-IntDeduct!H9</f>
        <v>0</v>
      </c>
      <c r="I346" s="887">
        <f>-IntDeduct!I9</f>
        <v>0</v>
      </c>
      <c r="J346" s="887">
        <f>-IntDeduct!J9</f>
        <v>0</v>
      </c>
      <c r="K346" s="887">
        <f>-IntDeduct!K9</f>
        <v>0</v>
      </c>
      <c r="L346" s="887">
        <f>-IntDeduct!L9</f>
        <v>0</v>
      </c>
      <c r="M346" s="887">
        <f>-IntDeduct!M9</f>
        <v>0</v>
      </c>
      <c r="N346" s="887">
        <f>-IntDeduct!N9</f>
        <v>0</v>
      </c>
      <c r="O346" s="142">
        <f t="shared" si="129"/>
        <v>0</v>
      </c>
      <c r="P346" s="142"/>
      <c r="Q346" s="958"/>
      <c r="R346" s="909" t="s">
        <v>235</v>
      </c>
      <c r="S346" s="958"/>
      <c r="T346" s="142"/>
      <c r="U346" s="902">
        <f t="shared" si="130"/>
        <v>0</v>
      </c>
      <c r="V346" s="902">
        <f t="shared" si="131"/>
        <v>0</v>
      </c>
      <c r="W346" s="902">
        <f t="shared" si="132"/>
        <v>0</v>
      </c>
      <c r="X346" s="902">
        <f t="shared" si="133"/>
        <v>0</v>
      </c>
      <c r="Y346" s="888">
        <f t="shared" si="134"/>
        <v>0</v>
      </c>
    </row>
    <row r="347" spans="1:25" x14ac:dyDescent="0.2">
      <c r="A347" s="884" t="s">
        <v>238</v>
      </c>
      <c r="C347" s="887">
        <f>-IntDeduct!C10</f>
        <v>0</v>
      </c>
      <c r="D347" s="887">
        <f>-IntDeduct!D10</f>
        <v>0</v>
      </c>
      <c r="E347" s="887">
        <f>-IntDeduct!E10</f>
        <v>0</v>
      </c>
      <c r="F347" s="887">
        <f>-IntDeduct!F10</f>
        <v>0</v>
      </c>
      <c r="G347" s="887">
        <f>-IntDeduct!G10</f>
        <v>0</v>
      </c>
      <c r="H347" s="887">
        <f>-IntDeduct!H10</f>
        <v>0</v>
      </c>
      <c r="I347" s="887">
        <f>-IntDeduct!I10</f>
        <v>0</v>
      </c>
      <c r="J347" s="887">
        <f>-IntDeduct!J10</f>
        <v>0</v>
      </c>
      <c r="K347" s="887">
        <f>-IntDeduct!K10</f>
        <v>0</v>
      </c>
      <c r="L347" s="887">
        <f>-IntDeduct!L10</f>
        <v>0</v>
      </c>
      <c r="M347" s="887">
        <f>-IntDeduct!M10</f>
        <v>0</v>
      </c>
      <c r="N347" s="887">
        <f>-IntDeduct!N10</f>
        <v>0</v>
      </c>
      <c r="O347" s="142">
        <f t="shared" si="129"/>
        <v>0</v>
      </c>
      <c r="P347" s="142"/>
      <c r="Q347" s="958"/>
      <c r="R347" s="909" t="s">
        <v>235</v>
      </c>
      <c r="S347" s="958"/>
      <c r="T347" s="142"/>
      <c r="U347" s="902">
        <f t="shared" si="130"/>
        <v>0</v>
      </c>
      <c r="V347" s="902">
        <f t="shared" si="131"/>
        <v>0</v>
      </c>
      <c r="W347" s="902">
        <f t="shared" si="132"/>
        <v>0</v>
      </c>
      <c r="X347" s="902">
        <f t="shared" si="133"/>
        <v>0</v>
      </c>
      <c r="Y347" s="888">
        <f t="shared" si="134"/>
        <v>0</v>
      </c>
    </row>
    <row r="348" spans="1:25" x14ac:dyDescent="0.2">
      <c r="A348" s="884" t="s">
        <v>842</v>
      </c>
      <c r="C348" s="887">
        <f>-IntDeduct!C11</f>
        <v>0</v>
      </c>
      <c r="D348" s="887">
        <f>-IntDeduct!D11</f>
        <v>0</v>
      </c>
      <c r="E348" s="887">
        <f>-IntDeduct!E11</f>
        <v>0</v>
      </c>
      <c r="F348" s="887">
        <f>-IntDeduct!F11</f>
        <v>0</v>
      </c>
      <c r="G348" s="887">
        <f>-IntDeduct!G11</f>
        <v>0</v>
      </c>
      <c r="H348" s="887">
        <f>-IntDeduct!H11</f>
        <v>0</v>
      </c>
      <c r="I348" s="887">
        <f>-IntDeduct!I11</f>
        <v>0</v>
      </c>
      <c r="J348" s="887">
        <f>-IntDeduct!J11</f>
        <v>0</v>
      </c>
      <c r="K348" s="887">
        <f>-IntDeduct!K11</f>
        <v>0</v>
      </c>
      <c r="L348" s="887">
        <f>-IntDeduct!L11</f>
        <v>0</v>
      </c>
      <c r="M348" s="887">
        <f>-IntDeduct!M11</f>
        <v>0</v>
      </c>
      <c r="N348" s="887">
        <f>-IntDeduct!N11</f>
        <v>0</v>
      </c>
      <c r="O348" s="142">
        <f t="shared" si="129"/>
        <v>0</v>
      </c>
      <c r="P348" s="142"/>
      <c r="Q348" s="958"/>
      <c r="R348" s="909" t="s">
        <v>235</v>
      </c>
      <c r="S348" s="958"/>
      <c r="T348" s="142"/>
      <c r="U348" s="902">
        <f t="shared" si="130"/>
        <v>0</v>
      </c>
      <c r="V348" s="902">
        <f t="shared" si="131"/>
        <v>0</v>
      </c>
      <c r="W348" s="902">
        <f t="shared" si="132"/>
        <v>0</v>
      </c>
      <c r="X348" s="902">
        <f t="shared" si="133"/>
        <v>0</v>
      </c>
      <c r="Y348" s="888">
        <f t="shared" si="134"/>
        <v>0</v>
      </c>
    </row>
    <row r="349" spans="1:25" x14ac:dyDescent="0.2">
      <c r="A349" s="884" t="s">
        <v>239</v>
      </c>
      <c r="C349" s="887">
        <f>-IntDeduct!C12</f>
        <v>0</v>
      </c>
      <c r="D349" s="887">
        <f>-IntDeduct!D12</f>
        <v>0</v>
      </c>
      <c r="E349" s="887">
        <f>-IntDeduct!E12</f>
        <v>0</v>
      </c>
      <c r="F349" s="887">
        <f>-IntDeduct!F12</f>
        <v>0</v>
      </c>
      <c r="G349" s="887">
        <f>-IntDeduct!G12</f>
        <v>0</v>
      </c>
      <c r="H349" s="887">
        <f>-IntDeduct!H12</f>
        <v>0</v>
      </c>
      <c r="I349" s="887">
        <f>-IntDeduct!I12</f>
        <v>0</v>
      </c>
      <c r="J349" s="887">
        <f>-IntDeduct!J12</f>
        <v>0</v>
      </c>
      <c r="K349" s="887">
        <f>-IntDeduct!K12</f>
        <v>0</v>
      </c>
      <c r="L349" s="887">
        <f>-IntDeduct!L12</f>
        <v>0</v>
      </c>
      <c r="M349" s="887">
        <f>-IntDeduct!M12</f>
        <v>0</v>
      </c>
      <c r="N349" s="887">
        <f>-IntDeduct!N12</f>
        <v>0</v>
      </c>
      <c r="O349" s="142">
        <f t="shared" si="129"/>
        <v>0</v>
      </c>
      <c r="P349" s="142"/>
      <c r="Q349" s="958"/>
      <c r="R349" s="909" t="s">
        <v>235</v>
      </c>
      <c r="S349" s="958"/>
      <c r="T349" s="142"/>
      <c r="U349" s="902">
        <f t="shared" si="130"/>
        <v>0</v>
      </c>
      <c r="V349" s="902">
        <f t="shared" si="131"/>
        <v>0</v>
      </c>
      <c r="W349" s="902">
        <f t="shared" si="132"/>
        <v>0</v>
      </c>
      <c r="X349" s="902">
        <f t="shared" si="133"/>
        <v>0</v>
      </c>
      <c r="Y349" s="888">
        <f t="shared" si="134"/>
        <v>0</v>
      </c>
    </row>
    <row r="350" spans="1:25" x14ac:dyDescent="0.2">
      <c r="A350" s="884" t="s">
        <v>240</v>
      </c>
      <c r="C350" s="887">
        <f>-IntDeduct!C13</f>
        <v>0</v>
      </c>
      <c r="D350" s="887">
        <f>-IntDeduct!D13</f>
        <v>0</v>
      </c>
      <c r="E350" s="887">
        <f>-IntDeduct!E13</f>
        <v>0</v>
      </c>
      <c r="F350" s="887">
        <f>-IntDeduct!F13</f>
        <v>0</v>
      </c>
      <c r="G350" s="887">
        <f>-IntDeduct!G13</f>
        <v>0</v>
      </c>
      <c r="H350" s="887">
        <f>-IntDeduct!H13</f>
        <v>0</v>
      </c>
      <c r="I350" s="887">
        <f>-IntDeduct!I13</f>
        <v>0</v>
      </c>
      <c r="J350" s="887">
        <f>-IntDeduct!J13</f>
        <v>0</v>
      </c>
      <c r="K350" s="887">
        <f>-IntDeduct!K13</f>
        <v>0</v>
      </c>
      <c r="L350" s="887">
        <f>-IntDeduct!L13</f>
        <v>0</v>
      </c>
      <c r="M350" s="887">
        <f>-IntDeduct!M13</f>
        <v>0</v>
      </c>
      <c r="N350" s="887">
        <f>-IntDeduct!N13</f>
        <v>0</v>
      </c>
      <c r="O350" s="142">
        <f t="shared" si="129"/>
        <v>0</v>
      </c>
      <c r="P350" s="142"/>
      <c r="Q350" s="958"/>
      <c r="R350" s="909" t="s">
        <v>235</v>
      </c>
      <c r="S350" s="958"/>
      <c r="T350" s="142"/>
      <c r="U350" s="902">
        <f t="shared" si="130"/>
        <v>0</v>
      </c>
      <c r="V350" s="902">
        <f t="shared" si="131"/>
        <v>0</v>
      </c>
      <c r="W350" s="902">
        <f t="shared" si="132"/>
        <v>0</v>
      </c>
      <c r="X350" s="902">
        <f t="shared" si="133"/>
        <v>0</v>
      </c>
      <c r="Y350" s="888">
        <f t="shared" si="134"/>
        <v>0</v>
      </c>
    </row>
    <row r="351" spans="1:25" x14ac:dyDescent="0.2">
      <c r="A351" s="884" t="s">
        <v>66</v>
      </c>
      <c r="C351" s="887">
        <f>-IntDeduct!C14</f>
        <v>0</v>
      </c>
      <c r="D351" s="887">
        <f>-IntDeduct!D14</f>
        <v>0</v>
      </c>
      <c r="E351" s="887">
        <f>-IntDeduct!E14</f>
        <v>0</v>
      </c>
      <c r="F351" s="887">
        <f>-IntDeduct!F14</f>
        <v>0</v>
      </c>
      <c r="G351" s="887">
        <f>-IntDeduct!G14</f>
        <v>0</v>
      </c>
      <c r="H351" s="887">
        <f>-IntDeduct!H14</f>
        <v>0</v>
      </c>
      <c r="I351" s="887">
        <f>-IntDeduct!I14</f>
        <v>0</v>
      </c>
      <c r="J351" s="887">
        <f>-IntDeduct!J14</f>
        <v>0</v>
      </c>
      <c r="K351" s="887">
        <f>-IntDeduct!K14</f>
        <v>0</v>
      </c>
      <c r="L351" s="887">
        <f>-IntDeduct!L14</f>
        <v>0</v>
      </c>
      <c r="M351" s="887">
        <f>-IntDeduct!M14</f>
        <v>0</v>
      </c>
      <c r="N351" s="887">
        <f>-IntDeduct!N14</f>
        <v>0</v>
      </c>
      <c r="O351" s="142">
        <f t="shared" si="129"/>
        <v>0</v>
      </c>
      <c r="P351" s="142"/>
      <c r="Q351" s="958"/>
      <c r="R351" s="909" t="s">
        <v>235</v>
      </c>
      <c r="S351" s="958"/>
      <c r="T351" s="142"/>
      <c r="U351" s="902">
        <f t="shared" si="130"/>
        <v>0</v>
      </c>
      <c r="V351" s="902">
        <f t="shared" si="131"/>
        <v>0</v>
      </c>
      <c r="W351" s="902">
        <f t="shared" si="132"/>
        <v>0</v>
      </c>
      <c r="X351" s="902">
        <f t="shared" si="133"/>
        <v>0</v>
      </c>
      <c r="Y351" s="888">
        <f t="shared" si="134"/>
        <v>0</v>
      </c>
    </row>
    <row r="352" spans="1:25" x14ac:dyDescent="0.2">
      <c r="A352" s="884" t="s">
        <v>57</v>
      </c>
      <c r="C352" s="887">
        <f>-IntDeduct!C15</f>
        <v>0</v>
      </c>
      <c r="D352" s="887">
        <f>-IntDeduct!D15</f>
        <v>0</v>
      </c>
      <c r="E352" s="887">
        <f>-IntDeduct!E15</f>
        <v>0</v>
      </c>
      <c r="F352" s="887">
        <f>-IntDeduct!F15</f>
        <v>0</v>
      </c>
      <c r="G352" s="887">
        <f>-IntDeduct!G15</f>
        <v>0</v>
      </c>
      <c r="H352" s="887">
        <f>-IntDeduct!H15</f>
        <v>0</v>
      </c>
      <c r="I352" s="887">
        <f>-IntDeduct!I15</f>
        <v>0</v>
      </c>
      <c r="J352" s="887">
        <f>-IntDeduct!J15</f>
        <v>0</v>
      </c>
      <c r="K352" s="887">
        <f>-IntDeduct!K15</f>
        <v>0</v>
      </c>
      <c r="L352" s="887">
        <f>-IntDeduct!L15</f>
        <v>0</v>
      </c>
      <c r="M352" s="887">
        <f>-IntDeduct!M15</f>
        <v>0</v>
      </c>
      <c r="N352" s="887">
        <f>-IntDeduct!N15</f>
        <v>0</v>
      </c>
      <c r="O352" s="143">
        <f t="shared" si="129"/>
        <v>0</v>
      </c>
      <c r="P352" s="142"/>
      <c r="Q352" s="958"/>
      <c r="R352" s="909" t="s">
        <v>235</v>
      </c>
      <c r="S352" s="958"/>
      <c r="T352" s="142"/>
      <c r="U352" s="943">
        <f t="shared" si="130"/>
        <v>0</v>
      </c>
      <c r="V352" s="943">
        <f t="shared" si="131"/>
        <v>0</v>
      </c>
      <c r="W352" s="943">
        <f t="shared" si="132"/>
        <v>0</v>
      </c>
      <c r="X352" s="943">
        <f t="shared" si="133"/>
        <v>0</v>
      </c>
      <c r="Y352" s="893">
        <f t="shared" si="134"/>
        <v>0</v>
      </c>
    </row>
    <row r="353" spans="1:25" x14ac:dyDescent="0.2">
      <c r="A353" s="884" t="s">
        <v>995</v>
      </c>
      <c r="C353" s="892">
        <f>SUM(C344:C352)</f>
        <v>0</v>
      </c>
      <c r="D353" s="892">
        <f t="shared" ref="D353:O353" si="135">SUM(D344:D352)</f>
        <v>0</v>
      </c>
      <c r="E353" s="892">
        <f t="shared" si="135"/>
        <v>0</v>
      </c>
      <c r="F353" s="892">
        <f t="shared" si="135"/>
        <v>0</v>
      </c>
      <c r="G353" s="892">
        <f t="shared" si="135"/>
        <v>0</v>
      </c>
      <c r="H353" s="892">
        <f t="shared" si="135"/>
        <v>0</v>
      </c>
      <c r="I353" s="892">
        <f t="shared" si="135"/>
        <v>0</v>
      </c>
      <c r="J353" s="892">
        <f t="shared" si="135"/>
        <v>0</v>
      </c>
      <c r="K353" s="892">
        <f t="shared" si="135"/>
        <v>0</v>
      </c>
      <c r="L353" s="892">
        <f t="shared" si="135"/>
        <v>0</v>
      </c>
      <c r="M353" s="892">
        <f t="shared" si="135"/>
        <v>0</v>
      </c>
      <c r="N353" s="892">
        <f t="shared" si="135"/>
        <v>0</v>
      </c>
      <c r="O353" s="892">
        <f t="shared" si="135"/>
        <v>0</v>
      </c>
      <c r="P353" s="142"/>
      <c r="Q353" s="958"/>
      <c r="R353" s="909"/>
      <c r="S353" s="958"/>
      <c r="T353" s="142"/>
      <c r="U353" s="892">
        <f>SUM(U344:U352)</f>
        <v>0</v>
      </c>
      <c r="V353" s="892">
        <f>SUM(V344:V352)</f>
        <v>0</v>
      </c>
      <c r="W353" s="892">
        <f>SUM(W344:W352)</f>
        <v>0</v>
      </c>
      <c r="X353" s="892">
        <f>SUM(X344:X352)</f>
        <v>0</v>
      </c>
      <c r="Y353" s="892">
        <f>SUM(Y344:Y352)</f>
        <v>0</v>
      </c>
    </row>
    <row r="354" spans="1:25" ht="6" customHeight="1" x14ac:dyDescent="0.2">
      <c r="A354" s="884"/>
      <c r="C354" s="959"/>
      <c r="D354" s="959"/>
      <c r="E354" s="959"/>
      <c r="F354" s="959"/>
      <c r="G354" s="959"/>
      <c r="H354" s="959"/>
      <c r="I354" s="959"/>
      <c r="J354" s="959"/>
      <c r="K354" s="959"/>
      <c r="L354" s="959"/>
      <c r="M354" s="959"/>
      <c r="N354" s="959"/>
      <c r="O354" s="959"/>
      <c r="P354" s="959"/>
      <c r="Q354" s="958"/>
      <c r="R354" s="909"/>
      <c r="S354" s="958"/>
      <c r="T354" s="959"/>
      <c r="U354" s="959"/>
      <c r="V354" s="959"/>
      <c r="W354" s="959"/>
      <c r="X354" s="959"/>
      <c r="Y354" s="959"/>
    </row>
    <row r="355" spans="1:25" x14ac:dyDescent="0.2">
      <c r="A355" s="884" t="s">
        <v>241</v>
      </c>
      <c r="C355" s="887">
        <f>-IntDeduct!C24</f>
        <v>700</v>
      </c>
      <c r="D355" s="887">
        <f>-IntDeduct!D24</f>
        <v>700</v>
      </c>
      <c r="E355" s="887">
        <f>-IntDeduct!E24</f>
        <v>700</v>
      </c>
      <c r="F355" s="887">
        <f>-IntDeduct!F24</f>
        <v>700</v>
      </c>
      <c r="G355" s="887">
        <f>-IntDeduct!G24</f>
        <v>700</v>
      </c>
      <c r="H355" s="887">
        <f>-IntDeduct!H24</f>
        <v>700</v>
      </c>
      <c r="I355" s="887">
        <f>-IntDeduct!I24</f>
        <v>700</v>
      </c>
      <c r="J355" s="887">
        <f>-IntDeduct!J24</f>
        <v>800</v>
      </c>
      <c r="K355" s="887">
        <f>-IntDeduct!K24</f>
        <v>700</v>
      </c>
      <c r="L355" s="887">
        <f>-IntDeduct!L24</f>
        <v>800</v>
      </c>
      <c r="M355" s="887">
        <f>-IntDeduct!M24</f>
        <v>800</v>
      </c>
      <c r="N355" s="887">
        <f>-IntDeduct!N24</f>
        <v>800</v>
      </c>
      <c r="O355" s="142">
        <f>SUM(C355:N355)</f>
        <v>8800</v>
      </c>
      <c r="P355" s="142"/>
      <c r="Q355" s="958"/>
      <c r="R355" s="947" t="s">
        <v>242</v>
      </c>
      <c r="S355" s="958"/>
      <c r="T355" s="142"/>
      <c r="U355" s="902">
        <f>C355+D355+E355</f>
        <v>2100</v>
      </c>
      <c r="V355" s="902">
        <f>F355+G355+H355</f>
        <v>2100</v>
      </c>
      <c r="W355" s="902">
        <f>I355+J355+K355</f>
        <v>2200</v>
      </c>
      <c r="X355" s="902">
        <f>L355+M355+N355</f>
        <v>2400</v>
      </c>
      <c r="Y355" s="888">
        <f>SUM(U355:X355)</f>
        <v>8800</v>
      </c>
    </row>
    <row r="356" spans="1:25" ht="6" customHeight="1" x14ac:dyDescent="0.2">
      <c r="A356" s="884"/>
      <c r="C356" s="959"/>
      <c r="D356" s="959"/>
      <c r="E356" s="959"/>
      <c r="F356" s="959"/>
      <c r="G356" s="959"/>
      <c r="H356" s="959"/>
      <c r="I356" s="959"/>
      <c r="J356" s="959"/>
      <c r="K356" s="959"/>
      <c r="L356" s="959"/>
      <c r="M356" s="959"/>
      <c r="N356" s="959"/>
      <c r="O356" s="959"/>
      <c r="P356" s="959"/>
      <c r="Q356" s="958"/>
      <c r="R356" s="909"/>
      <c r="S356" s="958"/>
      <c r="T356" s="959"/>
      <c r="U356" s="959"/>
      <c r="V356" s="959"/>
      <c r="W356" s="959"/>
      <c r="X356" s="959"/>
      <c r="Y356" s="959"/>
    </row>
    <row r="357" spans="1:25" x14ac:dyDescent="0.2">
      <c r="A357" s="884" t="s">
        <v>243</v>
      </c>
      <c r="C357" s="887">
        <f>-IntDeduct!C21</f>
        <v>-89</v>
      </c>
      <c r="D357" s="887">
        <f>-IntDeduct!D21</f>
        <v>-89</v>
      </c>
      <c r="E357" s="887">
        <f>-IntDeduct!E21</f>
        <v>-89</v>
      </c>
      <c r="F357" s="887">
        <f>-IntDeduct!F21</f>
        <v>-88</v>
      </c>
      <c r="G357" s="887">
        <f>-IntDeduct!G21</f>
        <v>-89</v>
      </c>
      <c r="H357" s="887">
        <f>-IntDeduct!H21</f>
        <v>-89</v>
      </c>
      <c r="I357" s="887">
        <f>-IntDeduct!I21</f>
        <v>-89</v>
      </c>
      <c r="J357" s="887">
        <f>-IntDeduct!J21</f>
        <v>-89</v>
      </c>
      <c r="K357" s="887">
        <f>-IntDeduct!K21</f>
        <v>-89</v>
      </c>
      <c r="L357" s="887">
        <f>-IntDeduct!L21</f>
        <v>-88</v>
      </c>
      <c r="M357" s="887">
        <f>-IntDeduct!M21</f>
        <v>-59</v>
      </c>
      <c r="N357" s="887">
        <f>-IntDeduct!N21</f>
        <v>-59</v>
      </c>
      <c r="O357" s="142">
        <f>SUM(C357:N357)</f>
        <v>-1006</v>
      </c>
      <c r="P357" s="142"/>
      <c r="Q357" s="958"/>
      <c r="R357" s="909" t="s">
        <v>235</v>
      </c>
      <c r="S357" s="958"/>
      <c r="T357" s="142"/>
      <c r="U357" s="902">
        <f>C357+D357+E357</f>
        <v>-267</v>
      </c>
      <c r="V357" s="902">
        <f>F357+G357+H357</f>
        <v>-266</v>
      </c>
      <c r="W357" s="902">
        <f>I357+J357+K357</f>
        <v>-267</v>
      </c>
      <c r="X357" s="902">
        <f>L357+M357+N357</f>
        <v>-206</v>
      </c>
      <c r="Y357" s="888">
        <f>SUM(U357:X357)</f>
        <v>-1006</v>
      </c>
    </row>
    <row r="358" spans="1:25" x14ac:dyDescent="0.2">
      <c r="A358" s="884" t="s">
        <v>244</v>
      </c>
      <c r="C358" s="887">
        <f>-IntDeduct!C22</f>
        <v>-1</v>
      </c>
      <c r="D358" s="887">
        <f>-IntDeduct!D22</f>
        <v>-1</v>
      </c>
      <c r="E358" s="887">
        <f>-IntDeduct!E22</f>
        <v>-1</v>
      </c>
      <c r="F358" s="887">
        <f>-IntDeduct!F22</f>
        <v>-1</v>
      </c>
      <c r="G358" s="887">
        <f>-IntDeduct!G22</f>
        <v>-1</v>
      </c>
      <c r="H358" s="887">
        <f>-IntDeduct!H22</f>
        <v>-1</v>
      </c>
      <c r="I358" s="887">
        <f>-IntDeduct!I22</f>
        <v>-1</v>
      </c>
      <c r="J358" s="887">
        <f>-IntDeduct!J22</f>
        <v>-1</v>
      </c>
      <c r="K358" s="887">
        <f>-IntDeduct!K22</f>
        <v>-1</v>
      </c>
      <c r="L358" s="887">
        <f>-IntDeduct!L22</f>
        <v>-1</v>
      </c>
      <c r="M358" s="887">
        <f>-IntDeduct!M22</f>
        <v>-1</v>
      </c>
      <c r="N358" s="887">
        <f>-IntDeduct!N22</f>
        <v>-1</v>
      </c>
      <c r="O358" s="142">
        <f>SUM(C358:N358)</f>
        <v>-12</v>
      </c>
      <c r="P358" s="142"/>
      <c r="Q358" s="958"/>
      <c r="R358" s="909" t="s">
        <v>235</v>
      </c>
      <c r="S358" s="958"/>
      <c r="T358" s="142"/>
      <c r="U358" s="902">
        <f>C358+D358+E358</f>
        <v>-3</v>
      </c>
      <c r="V358" s="902">
        <f>F358+G358+H358</f>
        <v>-3</v>
      </c>
      <c r="W358" s="902">
        <f>I358+J358+K358</f>
        <v>-3</v>
      </c>
      <c r="X358" s="902">
        <f>L358+M358+N358</f>
        <v>-3</v>
      </c>
      <c r="Y358" s="888">
        <f>SUM(U358:X358)</f>
        <v>-12</v>
      </c>
    </row>
    <row r="359" spans="1:25" x14ac:dyDescent="0.2">
      <c r="A359" s="884" t="s">
        <v>245</v>
      </c>
      <c r="C359" s="887">
        <f>-IntDeduct!C23</f>
        <v>0</v>
      </c>
      <c r="D359" s="887">
        <f>-IntDeduct!D23</f>
        <v>0</v>
      </c>
      <c r="E359" s="887">
        <f>-IntDeduct!E23</f>
        <v>0</v>
      </c>
      <c r="F359" s="887">
        <f>-IntDeduct!F23</f>
        <v>0</v>
      </c>
      <c r="G359" s="887">
        <f>-IntDeduct!G23</f>
        <v>0</v>
      </c>
      <c r="H359" s="887">
        <f>-IntDeduct!H23</f>
        <v>0</v>
      </c>
      <c r="I359" s="887">
        <f>-IntDeduct!I23</f>
        <v>0</v>
      </c>
      <c r="J359" s="887">
        <f>-IntDeduct!J23</f>
        <v>0</v>
      </c>
      <c r="K359" s="887">
        <f>-IntDeduct!K23</f>
        <v>0</v>
      </c>
      <c r="L359" s="887">
        <f>-IntDeduct!L23</f>
        <v>0</v>
      </c>
      <c r="M359" s="887">
        <f>-IntDeduct!M23</f>
        <v>0</v>
      </c>
      <c r="N359" s="887">
        <f>-IntDeduct!N23</f>
        <v>0</v>
      </c>
      <c r="O359" s="142">
        <f>SUM(C359:N359)</f>
        <v>0</v>
      </c>
      <c r="P359" s="142"/>
      <c r="Q359" s="958"/>
      <c r="R359" s="909" t="s">
        <v>235</v>
      </c>
      <c r="S359" s="958"/>
      <c r="T359" s="142"/>
      <c r="U359" s="902">
        <f>C359+D359+E359</f>
        <v>0</v>
      </c>
      <c r="V359" s="902">
        <f>F359+G359+H359</f>
        <v>0</v>
      </c>
      <c r="W359" s="902">
        <f>I359+J359+K359</f>
        <v>0</v>
      </c>
      <c r="X359" s="902">
        <f>L359+M359+N359</f>
        <v>0</v>
      </c>
      <c r="Y359" s="888">
        <f>SUM(U359:X359)</f>
        <v>0</v>
      </c>
    </row>
    <row r="360" spans="1:25" x14ac:dyDescent="0.2">
      <c r="A360" s="884" t="s">
        <v>623</v>
      </c>
      <c r="C360" s="887">
        <f>-IntDeduct!C25</f>
        <v>0</v>
      </c>
      <c r="D360" s="887">
        <f>-IntDeduct!D25</f>
        <v>0</v>
      </c>
      <c r="E360" s="887">
        <f>-IntDeduct!E25</f>
        <v>0</v>
      </c>
      <c r="F360" s="887">
        <f>-IntDeduct!F25</f>
        <v>0</v>
      </c>
      <c r="G360" s="887">
        <f>-IntDeduct!G25</f>
        <v>0</v>
      </c>
      <c r="H360" s="887">
        <f>-IntDeduct!H25</f>
        <v>0</v>
      </c>
      <c r="I360" s="887">
        <f>-IntDeduct!I25</f>
        <v>0</v>
      </c>
      <c r="J360" s="887">
        <f>-IntDeduct!J25</f>
        <v>0</v>
      </c>
      <c r="K360" s="887">
        <f>-IntDeduct!K25</f>
        <v>0</v>
      </c>
      <c r="L360" s="887">
        <f>-IntDeduct!L25</f>
        <v>0</v>
      </c>
      <c r="M360" s="887">
        <f>-IntDeduct!M25</f>
        <v>0</v>
      </c>
      <c r="N360" s="887">
        <f>-IntDeduct!N25</f>
        <v>0</v>
      </c>
      <c r="O360" s="142">
        <f>SUM(C360:N360)</f>
        <v>0</v>
      </c>
      <c r="P360" s="142"/>
      <c r="Q360" s="958"/>
      <c r="R360" s="909" t="s">
        <v>235</v>
      </c>
      <c r="S360" s="958"/>
      <c r="T360" s="142"/>
      <c r="U360" s="902">
        <f>C360+D360+E360</f>
        <v>0</v>
      </c>
      <c r="V360" s="902">
        <f>F360+G360+H360</f>
        <v>0</v>
      </c>
      <c r="W360" s="902">
        <f>I360+J360+K360</f>
        <v>0</v>
      </c>
      <c r="X360" s="902">
        <f>L360+M360+N360</f>
        <v>0</v>
      </c>
      <c r="Y360" s="888">
        <f>SUM(U360:X360)</f>
        <v>0</v>
      </c>
    </row>
    <row r="361" spans="1:25" ht="6" customHeight="1" x14ac:dyDescent="0.2">
      <c r="A361" s="922"/>
      <c r="C361" s="959"/>
      <c r="D361" s="959"/>
      <c r="E361" s="959"/>
      <c r="F361" s="959"/>
      <c r="G361" s="959"/>
      <c r="H361" s="959"/>
      <c r="I361" s="959"/>
      <c r="J361" s="959"/>
      <c r="K361" s="959"/>
      <c r="L361" s="959"/>
      <c r="M361" s="959"/>
      <c r="N361" s="959"/>
      <c r="O361" s="959"/>
      <c r="P361" s="959"/>
      <c r="Q361" s="958"/>
      <c r="R361" s="909"/>
      <c r="S361" s="958"/>
      <c r="T361" s="959"/>
      <c r="U361" s="959"/>
      <c r="V361" s="959"/>
      <c r="W361" s="959"/>
      <c r="X361" s="959"/>
      <c r="Y361" s="959"/>
    </row>
    <row r="362" spans="1:25" x14ac:dyDescent="0.2">
      <c r="A362" s="884" t="s">
        <v>718</v>
      </c>
      <c r="B362" s="994" t="s">
        <v>387</v>
      </c>
      <c r="C362" s="887">
        <f>-IntDeduct!C35</f>
        <v>8</v>
      </c>
      <c r="D362" s="887">
        <f>-IntDeduct!D35</f>
        <v>14</v>
      </c>
      <c r="E362" s="887">
        <f>-IntDeduct!E35</f>
        <v>11</v>
      </c>
      <c r="F362" s="887">
        <f>-IntDeduct!F35</f>
        <v>21</v>
      </c>
      <c r="G362" s="887">
        <f>-IntDeduct!G35</f>
        <v>32</v>
      </c>
      <c r="H362" s="887">
        <f>-IntDeduct!H35</f>
        <v>38</v>
      </c>
      <c r="I362" s="887">
        <f>-IntDeduct!I35</f>
        <v>40</v>
      </c>
      <c r="J362" s="887">
        <f>-IntDeduct!J35</f>
        <v>39</v>
      </c>
      <c r="K362" s="887">
        <f>-IntDeduct!K35</f>
        <v>37</v>
      </c>
      <c r="L362" s="887">
        <f>-IntDeduct!L35</f>
        <v>35</v>
      </c>
      <c r="M362" s="887">
        <f>-IntDeduct!M35</f>
        <v>39</v>
      </c>
      <c r="N362" s="887">
        <f>-IntDeduct!N35</f>
        <v>39</v>
      </c>
      <c r="O362" s="142">
        <f>SUM(C362:N362)</f>
        <v>353</v>
      </c>
      <c r="P362" s="142"/>
      <c r="Q362" s="912"/>
      <c r="R362" s="909" t="s">
        <v>917</v>
      </c>
      <c r="S362" s="912"/>
      <c r="T362" s="142"/>
      <c r="U362" s="902">
        <f>C362+D362+E362</f>
        <v>33</v>
      </c>
      <c r="V362" s="902">
        <f>F362+G362+H362</f>
        <v>91</v>
      </c>
      <c r="W362" s="902">
        <f>I362+J362+K362</f>
        <v>116</v>
      </c>
      <c r="X362" s="902">
        <f>L362+M362+N362</f>
        <v>113</v>
      </c>
      <c r="Y362" s="888">
        <f>SUM(U362:X362)</f>
        <v>353</v>
      </c>
    </row>
    <row r="363" spans="1:25" ht="6" customHeight="1" thickBot="1" x14ac:dyDescent="0.25">
      <c r="A363" s="884"/>
      <c r="C363" s="887"/>
      <c r="D363" s="887"/>
      <c r="E363" s="887"/>
      <c r="F363" s="887"/>
      <c r="G363" s="887"/>
      <c r="H363" s="887"/>
      <c r="I363" s="887"/>
      <c r="J363" s="887"/>
      <c r="K363" s="887"/>
      <c r="L363" s="887"/>
      <c r="M363" s="887"/>
      <c r="N363" s="887"/>
      <c r="O363" s="142"/>
      <c r="P363" s="142"/>
      <c r="Q363" s="912"/>
      <c r="R363" s="909"/>
      <c r="S363" s="912"/>
      <c r="T363" s="142"/>
      <c r="U363" s="887"/>
      <c r="V363" s="887"/>
      <c r="W363" s="887"/>
      <c r="X363" s="887"/>
      <c r="Y363" s="888"/>
    </row>
    <row r="364" spans="1:25" ht="13.5" thickBot="1" x14ac:dyDescent="0.25">
      <c r="A364" s="935" t="s">
        <v>246</v>
      </c>
      <c r="C364" s="960">
        <f t="shared" ref="C364:O364" si="136">C342+SUM(C353:C362)</f>
        <v>9671</v>
      </c>
      <c r="D364" s="960">
        <f t="shared" si="136"/>
        <v>7869</v>
      </c>
      <c r="E364" s="960">
        <f t="shared" si="136"/>
        <v>9270</v>
      </c>
      <c r="F364" s="960">
        <f t="shared" si="136"/>
        <v>8919</v>
      </c>
      <c r="G364" s="960">
        <f t="shared" si="136"/>
        <v>9558</v>
      </c>
      <c r="H364" s="960">
        <f t="shared" si="136"/>
        <v>10126</v>
      </c>
      <c r="I364" s="960">
        <f t="shared" si="136"/>
        <v>10930</v>
      </c>
      <c r="J364" s="960">
        <f t="shared" si="136"/>
        <v>10834</v>
      </c>
      <c r="K364" s="960">
        <f t="shared" si="136"/>
        <v>10203</v>
      </c>
      <c r="L364" s="960">
        <f t="shared" si="136"/>
        <v>10791</v>
      </c>
      <c r="M364" s="960">
        <f t="shared" si="136"/>
        <v>10766</v>
      </c>
      <c r="N364" s="960">
        <f t="shared" si="136"/>
        <v>10964</v>
      </c>
      <c r="O364" s="960">
        <f t="shared" si="136"/>
        <v>119901</v>
      </c>
      <c r="P364" s="959"/>
      <c r="Q364" s="958"/>
      <c r="R364" s="887"/>
      <c r="S364" s="958"/>
      <c r="T364" s="959"/>
      <c r="U364" s="964">
        <f>U342+SUM(U353:U362)</f>
        <v>26810</v>
      </c>
      <c r="V364" s="961">
        <f>V342+SUM(V353:V362)</f>
        <v>28603</v>
      </c>
      <c r="W364" s="961">
        <f>W342+SUM(W353:W362)</f>
        <v>31967</v>
      </c>
      <c r="X364" s="961">
        <f>X342+SUM(X353:X362)</f>
        <v>32521</v>
      </c>
      <c r="Y364" s="965">
        <f>Y342+SUM(Y353:Y362)</f>
        <v>119901</v>
      </c>
    </row>
    <row r="365" spans="1:25" ht="6" customHeight="1" x14ac:dyDescent="0.2">
      <c r="A365" s="935"/>
      <c r="C365" s="959"/>
      <c r="D365" s="959"/>
      <c r="E365" s="959"/>
      <c r="F365" s="959"/>
      <c r="G365" s="959"/>
      <c r="H365" s="959"/>
      <c r="I365" s="959"/>
      <c r="J365" s="959"/>
      <c r="K365" s="959"/>
      <c r="L365" s="959"/>
      <c r="M365" s="959"/>
      <c r="N365" s="959"/>
      <c r="O365" s="959"/>
      <c r="P365" s="959"/>
      <c r="Q365" s="958"/>
      <c r="R365" s="887"/>
      <c r="S365" s="958"/>
      <c r="T365" s="959"/>
      <c r="U365" s="959"/>
      <c r="V365" s="959"/>
      <c r="W365" s="959"/>
      <c r="X365" s="959"/>
      <c r="Y365" s="959"/>
    </row>
    <row r="366" spans="1:25" s="898" customFormat="1" ht="12.75" customHeight="1" x14ac:dyDescent="0.2">
      <c r="A366" s="894" t="s">
        <v>247</v>
      </c>
      <c r="C366" s="902">
        <f>-IncomeState!C51</f>
        <v>-3478</v>
      </c>
      <c r="D366" s="902">
        <f>-IncomeState!D51</f>
        <v>-2752</v>
      </c>
      <c r="E366" s="902">
        <f>-IncomeState!E51</f>
        <v>-3308</v>
      </c>
      <c r="F366" s="902">
        <f>-IncomeState!F51</f>
        <v>-3124</v>
      </c>
      <c r="G366" s="902">
        <f>-IncomeState!G51</f>
        <v>-3318</v>
      </c>
      <c r="H366" s="902">
        <f>-IncomeState!H51</f>
        <v>-3511</v>
      </c>
      <c r="I366" s="902">
        <f>-IncomeState!I51</f>
        <v>-3819</v>
      </c>
      <c r="J366" s="902">
        <f>-IncomeState!J51</f>
        <v>-3782</v>
      </c>
      <c r="K366" s="902">
        <f>-IncomeState!K51</f>
        <v>-3009</v>
      </c>
      <c r="L366" s="902">
        <f>-IncomeState!L51</f>
        <v>-3795</v>
      </c>
      <c r="M366" s="902">
        <f>-IncomeState!M51</f>
        <v>-4350</v>
      </c>
      <c r="N366" s="902">
        <f>-IncomeState!N51</f>
        <v>-3846</v>
      </c>
      <c r="O366" s="142">
        <f>SUM(C366:N366)</f>
        <v>-42092</v>
      </c>
      <c r="P366" s="142"/>
      <c r="Q366" s="957"/>
      <c r="R366" s="947" t="s">
        <v>248</v>
      </c>
      <c r="S366" s="957"/>
      <c r="T366" s="142"/>
      <c r="U366" s="902">
        <f>C366+D366+E366</f>
        <v>-9538</v>
      </c>
      <c r="V366" s="902">
        <f>F366+G366+H366</f>
        <v>-9953</v>
      </c>
      <c r="W366" s="902">
        <f>I366+J366+K366</f>
        <v>-10610</v>
      </c>
      <c r="X366" s="902">
        <f>L366+M366+N366</f>
        <v>-11991</v>
      </c>
      <c r="Y366" s="888">
        <f>SUM(U366:X366)</f>
        <v>-42092</v>
      </c>
    </row>
    <row r="367" spans="1:25" s="898" customFormat="1" ht="12.75" customHeight="1" x14ac:dyDescent="0.2">
      <c r="A367" s="894" t="s">
        <v>249</v>
      </c>
      <c r="C367" s="943">
        <f>-IncomeState!C52</f>
        <v>-304</v>
      </c>
      <c r="D367" s="943">
        <f>-IncomeState!D52</f>
        <v>-329</v>
      </c>
      <c r="E367" s="943">
        <f>-IncomeState!E52</f>
        <v>-318</v>
      </c>
      <c r="F367" s="943">
        <f>-IncomeState!F52</f>
        <v>-366</v>
      </c>
      <c r="G367" s="943">
        <f>-IncomeState!G52</f>
        <v>-420</v>
      </c>
      <c r="H367" s="943">
        <f>-IncomeState!H52</f>
        <v>-448</v>
      </c>
      <c r="I367" s="943">
        <f>-IncomeState!I52</f>
        <v>-453</v>
      </c>
      <c r="J367" s="943">
        <f>-IncomeState!J52</f>
        <v>-452</v>
      </c>
      <c r="K367" s="943">
        <f>-IncomeState!K52</f>
        <v>-980</v>
      </c>
      <c r="L367" s="943">
        <f>-IncomeState!L52</f>
        <v>-423</v>
      </c>
      <c r="M367" s="943">
        <f>-IncomeState!M52</f>
        <v>142</v>
      </c>
      <c r="N367" s="943">
        <f>-IncomeState!N52</f>
        <v>-439</v>
      </c>
      <c r="O367" s="143">
        <f>SUM(C367:N367)</f>
        <v>-4790</v>
      </c>
      <c r="P367" s="143"/>
      <c r="Q367" s="957"/>
      <c r="R367" s="947" t="s">
        <v>250</v>
      </c>
      <c r="S367" s="957"/>
      <c r="T367" s="143"/>
      <c r="U367" s="943">
        <f>C367+D367+E367</f>
        <v>-951</v>
      </c>
      <c r="V367" s="943">
        <f>F367+G367+H367</f>
        <v>-1234</v>
      </c>
      <c r="W367" s="943">
        <f>I367+J367+K367</f>
        <v>-1885</v>
      </c>
      <c r="X367" s="943">
        <f>L367+M367+N367</f>
        <v>-720</v>
      </c>
      <c r="Y367" s="893">
        <f>SUM(U367:X367)</f>
        <v>-4790</v>
      </c>
    </row>
    <row r="368" spans="1:25" s="898" customFormat="1" ht="12.75" customHeight="1" x14ac:dyDescent="0.2">
      <c r="A368" s="894" t="s">
        <v>251</v>
      </c>
      <c r="C368" s="902">
        <f t="shared" ref="C368:N368" si="137">+C366+C367</f>
        <v>-3782</v>
      </c>
      <c r="D368" s="902">
        <f t="shared" si="137"/>
        <v>-3081</v>
      </c>
      <c r="E368" s="902">
        <f t="shared" si="137"/>
        <v>-3626</v>
      </c>
      <c r="F368" s="902">
        <f t="shared" si="137"/>
        <v>-3490</v>
      </c>
      <c r="G368" s="902">
        <f t="shared" si="137"/>
        <v>-3738</v>
      </c>
      <c r="H368" s="902">
        <f t="shared" si="137"/>
        <v>-3959</v>
      </c>
      <c r="I368" s="902">
        <f t="shared" si="137"/>
        <v>-4272</v>
      </c>
      <c r="J368" s="902">
        <f t="shared" si="137"/>
        <v>-4234</v>
      </c>
      <c r="K368" s="902">
        <f t="shared" si="137"/>
        <v>-3989</v>
      </c>
      <c r="L368" s="902">
        <f t="shared" si="137"/>
        <v>-4218</v>
      </c>
      <c r="M368" s="902">
        <f t="shared" si="137"/>
        <v>-4208</v>
      </c>
      <c r="N368" s="902">
        <f t="shared" si="137"/>
        <v>-4285</v>
      </c>
      <c r="O368" s="902">
        <f>C368+D368+E368+F368+G368+H368+I368+J368+K368+L368+M368+N368</f>
        <v>-46882</v>
      </c>
      <c r="P368" s="902"/>
      <c r="Q368" s="962"/>
      <c r="R368" s="909" t="s">
        <v>252</v>
      </c>
      <c r="S368" s="962"/>
      <c r="T368" s="902"/>
      <c r="U368" s="902">
        <f>C368+D368+E368</f>
        <v>-10489</v>
      </c>
      <c r="V368" s="902">
        <f>F368+G368+H368</f>
        <v>-11187</v>
      </c>
      <c r="W368" s="902">
        <f>I368+J368+K368</f>
        <v>-12495</v>
      </c>
      <c r="X368" s="902">
        <f>L368+M368+N368</f>
        <v>-12711</v>
      </c>
      <c r="Y368" s="888">
        <f>SUM(U368:X368)</f>
        <v>-46882</v>
      </c>
    </row>
    <row r="369" spans="1:26" ht="6" customHeight="1" thickBot="1" x14ac:dyDescent="0.25">
      <c r="A369" s="935"/>
      <c r="C369" s="959"/>
      <c r="D369" s="959"/>
      <c r="E369" s="959"/>
      <c r="F369" s="959"/>
      <c r="G369" s="959"/>
      <c r="H369" s="959"/>
      <c r="I369" s="959"/>
      <c r="J369" s="959"/>
      <c r="K369" s="959"/>
      <c r="L369" s="959"/>
      <c r="M369" s="959"/>
      <c r="N369" s="959"/>
      <c r="O369" s="959"/>
      <c r="P369" s="959"/>
      <c r="Q369" s="958"/>
      <c r="R369" s="887"/>
      <c r="S369" s="958"/>
      <c r="T369" s="959"/>
      <c r="U369" s="959"/>
      <c r="V369" s="959"/>
      <c r="W369" s="959"/>
      <c r="X369" s="959"/>
      <c r="Y369" s="959"/>
    </row>
    <row r="370" spans="1:26" ht="13.5" thickBot="1" x14ac:dyDescent="0.25">
      <c r="A370" s="883" t="s">
        <v>996</v>
      </c>
      <c r="C370" s="960">
        <f t="shared" ref="C370:O370" si="138">+C364+C368</f>
        <v>5889</v>
      </c>
      <c r="D370" s="960">
        <f t="shared" si="138"/>
        <v>4788</v>
      </c>
      <c r="E370" s="960">
        <f t="shared" si="138"/>
        <v>5644</v>
      </c>
      <c r="F370" s="960">
        <f t="shared" si="138"/>
        <v>5429</v>
      </c>
      <c r="G370" s="960">
        <f t="shared" si="138"/>
        <v>5820</v>
      </c>
      <c r="H370" s="960">
        <f t="shared" si="138"/>
        <v>6167</v>
      </c>
      <c r="I370" s="960">
        <f t="shared" si="138"/>
        <v>6658</v>
      </c>
      <c r="J370" s="960">
        <f t="shared" si="138"/>
        <v>6600</v>
      </c>
      <c r="K370" s="960">
        <f t="shared" si="138"/>
        <v>6214</v>
      </c>
      <c r="L370" s="960">
        <f t="shared" si="138"/>
        <v>6573</v>
      </c>
      <c r="M370" s="960">
        <f t="shared" si="138"/>
        <v>6558</v>
      </c>
      <c r="N370" s="960">
        <f t="shared" si="138"/>
        <v>6679</v>
      </c>
      <c r="O370" s="961">
        <f t="shared" si="138"/>
        <v>73019</v>
      </c>
      <c r="P370" s="959"/>
      <c r="Q370" s="958"/>
      <c r="R370" s="959"/>
      <c r="S370" s="958"/>
      <c r="T370" s="959"/>
      <c r="U370" s="964">
        <f>+U364+U368</f>
        <v>16321</v>
      </c>
      <c r="V370" s="961">
        <f>+V364+V368</f>
        <v>17416</v>
      </c>
      <c r="W370" s="961">
        <f>+W364+W368</f>
        <v>19472</v>
      </c>
      <c r="X370" s="961">
        <f>+X364+X368</f>
        <v>19810</v>
      </c>
      <c r="Y370" s="965">
        <f>+Y364+Y368</f>
        <v>73019</v>
      </c>
    </row>
    <row r="371" spans="1:26" ht="6" customHeight="1" x14ac:dyDescent="0.2">
      <c r="A371" s="883"/>
      <c r="C371" s="959"/>
      <c r="D371" s="959"/>
      <c r="E371" s="959"/>
      <c r="F371" s="959"/>
      <c r="G371" s="959"/>
      <c r="H371" s="959"/>
      <c r="I371" s="959"/>
      <c r="J371" s="959"/>
      <c r="K371" s="959"/>
      <c r="L371" s="959"/>
      <c r="M371" s="959"/>
      <c r="N371" s="959"/>
      <c r="O371" s="959"/>
      <c r="P371" s="959"/>
      <c r="Q371" s="958"/>
      <c r="R371" s="959"/>
      <c r="S371" s="958"/>
      <c r="T371" s="959"/>
      <c r="U371" s="959"/>
      <c r="V371" s="959"/>
      <c r="W371" s="959"/>
      <c r="X371" s="959"/>
      <c r="Y371" s="959"/>
    </row>
    <row r="372" spans="1:26" x14ac:dyDescent="0.2">
      <c r="A372" s="883" t="s">
        <v>253</v>
      </c>
      <c r="C372" s="911">
        <v>0</v>
      </c>
      <c r="D372" s="911">
        <v>0</v>
      </c>
      <c r="E372" s="911">
        <v>0</v>
      </c>
      <c r="F372" s="911">
        <v>0</v>
      </c>
      <c r="G372" s="911">
        <v>0</v>
      </c>
      <c r="H372" s="911">
        <v>0</v>
      </c>
      <c r="I372" s="911">
        <v>0</v>
      </c>
      <c r="J372" s="911">
        <v>0</v>
      </c>
      <c r="K372" s="911">
        <v>0</v>
      </c>
      <c r="L372" s="911">
        <v>0</v>
      </c>
      <c r="M372" s="911">
        <v>0</v>
      </c>
      <c r="N372" s="911">
        <v>0</v>
      </c>
      <c r="O372" s="142">
        <f>SUM(C372:N372)</f>
        <v>0</v>
      </c>
      <c r="P372" s="142"/>
      <c r="Q372" s="958"/>
      <c r="R372" s="886" t="s">
        <v>254</v>
      </c>
      <c r="S372" s="958"/>
      <c r="T372" s="142"/>
      <c r="U372" s="887">
        <f>C372+D372+E372</f>
        <v>0</v>
      </c>
      <c r="V372" s="887">
        <f>F372+G372+H372</f>
        <v>0</v>
      </c>
      <c r="W372" s="887">
        <f>I372+J372+K372</f>
        <v>0</v>
      </c>
      <c r="X372" s="887">
        <f>L372+M372+N372</f>
        <v>0</v>
      </c>
      <c r="Y372" s="888">
        <f>SUM(U372:X372)</f>
        <v>0</v>
      </c>
    </row>
    <row r="373" spans="1:26" ht="6" customHeight="1" thickBot="1" x14ac:dyDescent="0.25">
      <c r="A373" s="922"/>
      <c r="C373" s="959"/>
      <c r="D373" s="959"/>
      <c r="E373" s="959"/>
      <c r="F373" s="959"/>
      <c r="G373" s="959"/>
      <c r="H373" s="959"/>
      <c r="I373" s="959"/>
      <c r="J373" s="959"/>
      <c r="K373" s="959"/>
      <c r="L373" s="959"/>
      <c r="M373" s="959"/>
      <c r="N373" s="959"/>
      <c r="O373" s="959"/>
      <c r="P373" s="959"/>
      <c r="Q373" s="958"/>
      <c r="R373" s="963"/>
      <c r="S373" s="958"/>
      <c r="T373" s="959"/>
      <c r="U373" s="959"/>
      <c r="V373" s="959"/>
      <c r="W373" s="959"/>
      <c r="X373" s="959"/>
      <c r="Y373" s="959"/>
    </row>
    <row r="374" spans="1:26" ht="13.5" thickBot="1" x14ac:dyDescent="0.25">
      <c r="A374" s="883" t="s">
        <v>997</v>
      </c>
      <c r="C374" s="960">
        <f t="shared" ref="C374:O374" si="139">SUM(C370:C373)</f>
        <v>5889</v>
      </c>
      <c r="D374" s="960">
        <f t="shared" si="139"/>
        <v>4788</v>
      </c>
      <c r="E374" s="964">
        <f t="shared" si="139"/>
        <v>5644</v>
      </c>
      <c r="F374" s="965">
        <f t="shared" si="139"/>
        <v>5429</v>
      </c>
      <c r="G374" s="960">
        <f t="shared" si="139"/>
        <v>5820</v>
      </c>
      <c r="H374" s="960">
        <f t="shared" si="139"/>
        <v>6167</v>
      </c>
      <c r="I374" s="960">
        <f t="shared" si="139"/>
        <v>6658</v>
      </c>
      <c r="J374" s="960">
        <f t="shared" si="139"/>
        <v>6600</v>
      </c>
      <c r="K374" s="960">
        <f t="shared" si="139"/>
        <v>6214</v>
      </c>
      <c r="L374" s="960">
        <f t="shared" si="139"/>
        <v>6573</v>
      </c>
      <c r="M374" s="960">
        <f t="shared" si="139"/>
        <v>6558</v>
      </c>
      <c r="N374" s="964">
        <f t="shared" si="139"/>
        <v>6679</v>
      </c>
      <c r="O374" s="960">
        <f t="shared" si="139"/>
        <v>73019</v>
      </c>
      <c r="P374" s="959"/>
      <c r="Q374" s="958"/>
      <c r="R374" s="963"/>
      <c r="S374" s="958"/>
      <c r="T374" s="959"/>
      <c r="U374" s="964">
        <f>SUM(U370:U373)</f>
        <v>16321</v>
      </c>
      <c r="V374" s="961">
        <f>SUM(V370:V373)</f>
        <v>17416</v>
      </c>
      <c r="W374" s="961">
        <f>SUM(W370:W373)</f>
        <v>19472</v>
      </c>
      <c r="X374" s="961">
        <f>SUM(X370:X373)</f>
        <v>19810</v>
      </c>
      <c r="Y374" s="965">
        <f>SUM(Y370:Y373)</f>
        <v>73019</v>
      </c>
    </row>
    <row r="375" spans="1:26" x14ac:dyDescent="0.2">
      <c r="A375" s="935"/>
      <c r="C375" s="959"/>
      <c r="D375" s="959"/>
      <c r="E375" s="959"/>
      <c r="F375" s="959"/>
      <c r="G375" s="959"/>
      <c r="H375" s="959"/>
      <c r="I375" s="959"/>
      <c r="J375" s="959"/>
      <c r="K375" s="959"/>
      <c r="L375" s="959"/>
      <c r="M375" s="959"/>
      <c r="N375" s="959"/>
      <c r="O375" s="959"/>
      <c r="P375" s="959"/>
      <c r="Q375" s="958"/>
      <c r="R375" s="959"/>
      <c r="S375" s="958"/>
      <c r="T375" s="959"/>
      <c r="U375" s="959"/>
      <c r="V375" s="959"/>
      <c r="W375" s="959"/>
      <c r="X375" s="959"/>
      <c r="Y375" s="959"/>
    </row>
    <row r="376" spans="1:26" x14ac:dyDescent="0.2">
      <c r="A376" s="975" t="s">
        <v>998</v>
      </c>
      <c r="C376" s="991">
        <f>+C342-IncomeState!C38</f>
        <v>0</v>
      </c>
      <c r="D376" s="991">
        <f>+D342-IncomeState!D38</f>
        <v>0</v>
      </c>
      <c r="E376" s="991">
        <f>+E342-IncomeState!E38</f>
        <v>0</v>
      </c>
      <c r="F376" s="991">
        <f>+F342-IncomeState!F38</f>
        <v>0</v>
      </c>
      <c r="G376" s="991">
        <f>+G342-IncomeState!G38</f>
        <v>0</v>
      </c>
      <c r="H376" s="991">
        <f>+H342-IncomeState!H38</f>
        <v>0</v>
      </c>
      <c r="I376" s="991">
        <f>+I342-IncomeState!I38</f>
        <v>0</v>
      </c>
      <c r="J376" s="991">
        <f>+J342-IncomeState!J38</f>
        <v>0</v>
      </c>
      <c r="K376" s="991">
        <f>+K342-IncomeState!K38</f>
        <v>0</v>
      </c>
      <c r="L376" s="991">
        <f>+L342-IncomeState!L38</f>
        <v>0</v>
      </c>
      <c r="M376" s="991">
        <f>+M342-IncomeState!M38</f>
        <v>0</v>
      </c>
      <c r="N376" s="991">
        <f>+N342-IncomeState!N38</f>
        <v>0</v>
      </c>
      <c r="O376" s="991">
        <f>+O342-IncomeState!O38</f>
        <v>0</v>
      </c>
      <c r="P376" s="959"/>
      <c r="Q376" s="958"/>
      <c r="R376" s="959"/>
      <c r="S376" s="958"/>
      <c r="T376" s="959"/>
      <c r="U376" s="959"/>
      <c r="V376" s="959"/>
      <c r="W376" s="959"/>
      <c r="X376" s="959"/>
      <c r="Y376" s="959"/>
    </row>
    <row r="377" spans="1:26" x14ac:dyDescent="0.2">
      <c r="A377" s="976" t="s">
        <v>999</v>
      </c>
      <c r="C377" s="991">
        <f>+C370-IncomeState!C56</f>
        <v>0</v>
      </c>
      <c r="D377" s="991">
        <f>+D370-IncomeState!D56</f>
        <v>0</v>
      </c>
      <c r="E377" s="991">
        <f>+E370-IncomeState!E56</f>
        <v>0</v>
      </c>
      <c r="F377" s="991">
        <f>+F370-IncomeState!F56</f>
        <v>0</v>
      </c>
      <c r="G377" s="991">
        <f>+G370-IncomeState!G56</f>
        <v>0</v>
      </c>
      <c r="H377" s="991">
        <f>+H370-IncomeState!H56</f>
        <v>0</v>
      </c>
      <c r="I377" s="991">
        <f>+I370-IncomeState!I56</f>
        <v>0</v>
      </c>
      <c r="J377" s="991">
        <f>+J370-IncomeState!J56</f>
        <v>0</v>
      </c>
      <c r="K377" s="991">
        <f>+K370-IncomeState!K56</f>
        <v>0</v>
      </c>
      <c r="L377" s="991">
        <f>+L370-IncomeState!L56</f>
        <v>0</v>
      </c>
      <c r="M377" s="991">
        <f>+M370-IncomeState!M56</f>
        <v>0</v>
      </c>
      <c r="N377" s="991">
        <f>+N370-IncomeState!N56</f>
        <v>0</v>
      </c>
      <c r="O377" s="991">
        <f>+O370-IncomeState!O56</f>
        <v>0</v>
      </c>
      <c r="Q377" s="958"/>
      <c r="R377" s="865"/>
      <c r="S377" s="958"/>
      <c r="T377" s="865"/>
    </row>
    <row r="378" spans="1:26" x14ac:dyDescent="0.2">
      <c r="Q378" s="958"/>
      <c r="R378" s="865"/>
      <c r="S378" s="958"/>
      <c r="T378" s="865"/>
      <c r="Z378" s="959"/>
    </row>
    <row r="379" spans="1:26" ht="13.5" thickBot="1" x14ac:dyDescent="0.25">
      <c r="Q379" s="958"/>
      <c r="R379" s="865"/>
      <c r="S379" s="958"/>
      <c r="T379" s="865"/>
      <c r="Z379" s="959"/>
    </row>
    <row r="380" spans="1:26" x14ac:dyDescent="0.2">
      <c r="A380" s="922"/>
      <c r="C380" s="966"/>
      <c r="D380" s="966"/>
      <c r="E380" s="966"/>
      <c r="F380" s="966"/>
      <c r="G380" s="966"/>
      <c r="H380" s="966"/>
      <c r="I380" s="966"/>
      <c r="J380" s="966"/>
      <c r="K380" s="966"/>
      <c r="L380" s="966"/>
      <c r="M380" s="966"/>
      <c r="N380" s="966"/>
      <c r="O380" s="966"/>
      <c r="P380" s="959"/>
      <c r="Q380" s="885"/>
      <c r="R380" s="967"/>
      <c r="S380" s="885"/>
      <c r="T380" s="959"/>
      <c r="U380" s="966"/>
      <c r="V380" s="966"/>
      <c r="W380" s="966"/>
      <c r="X380" s="966"/>
      <c r="Y380" s="959"/>
      <c r="Z380" s="959"/>
    </row>
    <row r="381" spans="1:26" x14ac:dyDescent="0.2">
      <c r="A381" s="930" t="s">
        <v>184</v>
      </c>
      <c r="C381" s="959"/>
      <c r="D381" s="959"/>
      <c r="E381" s="959"/>
      <c r="F381" s="959"/>
      <c r="G381" s="959"/>
      <c r="H381" s="959"/>
      <c r="I381" s="959"/>
      <c r="J381" s="959"/>
      <c r="K381" s="959"/>
      <c r="L381" s="959"/>
      <c r="M381" s="959"/>
      <c r="N381" s="959"/>
      <c r="O381" s="959"/>
      <c r="P381" s="959"/>
      <c r="Q381" s="885"/>
      <c r="R381" s="967"/>
      <c r="S381" s="885"/>
      <c r="T381" s="959"/>
      <c r="U381" s="959"/>
      <c r="V381" s="959"/>
      <c r="W381" s="959"/>
      <c r="X381" s="959"/>
      <c r="Y381" s="959"/>
      <c r="Z381" s="959"/>
    </row>
    <row r="382" spans="1:26" x14ac:dyDescent="0.2">
      <c r="A382" s="897" t="s">
        <v>255</v>
      </c>
      <c r="B382" s="898"/>
      <c r="C382" s="902"/>
      <c r="D382" s="902"/>
      <c r="E382" s="902"/>
      <c r="F382" s="902"/>
      <c r="G382" s="902"/>
      <c r="H382" s="902"/>
      <c r="I382" s="902"/>
      <c r="J382" s="902"/>
      <c r="K382" s="902"/>
      <c r="L382" s="902"/>
      <c r="M382" s="902"/>
      <c r="N382" s="902"/>
      <c r="O382" s="902"/>
      <c r="P382" s="902"/>
      <c r="Q382" s="885"/>
      <c r="R382" s="968"/>
      <c r="S382" s="885"/>
      <c r="T382" s="902"/>
      <c r="U382" s="887"/>
      <c r="V382" s="887"/>
      <c r="W382" s="887"/>
      <c r="X382" s="887"/>
      <c r="Y382" s="904"/>
      <c r="Z382" s="888"/>
    </row>
    <row r="383" spans="1:26" x14ac:dyDescent="0.2">
      <c r="A383" s="894" t="s">
        <v>256</v>
      </c>
      <c r="B383" s="898"/>
      <c r="C383" s="904">
        <f t="shared" ref="C383:N383" si="140">SUM(C7:C10)+SUM(C107:C110)</f>
        <v>0</v>
      </c>
      <c r="D383" s="904">
        <f t="shared" si="140"/>
        <v>0</v>
      </c>
      <c r="E383" s="904">
        <f t="shared" si="140"/>
        <v>0</v>
      </c>
      <c r="F383" s="904">
        <f t="shared" si="140"/>
        <v>0</v>
      </c>
      <c r="G383" s="904">
        <f t="shared" si="140"/>
        <v>0</v>
      </c>
      <c r="H383" s="904">
        <f t="shared" si="140"/>
        <v>0</v>
      </c>
      <c r="I383" s="904">
        <f t="shared" si="140"/>
        <v>0</v>
      </c>
      <c r="J383" s="904">
        <f t="shared" si="140"/>
        <v>0</v>
      </c>
      <c r="K383" s="904">
        <f t="shared" si="140"/>
        <v>0</v>
      </c>
      <c r="L383" s="904">
        <f t="shared" si="140"/>
        <v>0</v>
      </c>
      <c r="M383" s="904">
        <f t="shared" si="140"/>
        <v>0</v>
      </c>
      <c r="N383" s="904">
        <f t="shared" si="140"/>
        <v>0</v>
      </c>
      <c r="O383" s="142">
        <f t="shared" ref="O383:O394" si="141">SUM(C383:N383)</f>
        <v>0</v>
      </c>
      <c r="P383" s="142"/>
      <c r="Q383" s="885"/>
      <c r="R383" s="969"/>
      <c r="S383" s="885"/>
      <c r="T383" s="142"/>
      <c r="U383" s="902">
        <f t="shared" ref="U383:U394" si="142">C383+D383+E383</f>
        <v>0</v>
      </c>
      <c r="V383" s="902">
        <f t="shared" ref="V383:V394" si="143">F383+G383+H383</f>
        <v>0</v>
      </c>
      <c r="W383" s="902">
        <f t="shared" ref="W383:W394" si="144">I383+J383+K383</f>
        <v>0</v>
      </c>
      <c r="X383" s="902">
        <f t="shared" ref="X383:X394" si="145">L383+M383+N383</f>
        <v>0</v>
      </c>
      <c r="Y383" s="888">
        <f t="shared" ref="Y383:Y394" si="146">SUM(U383:X383)</f>
        <v>0</v>
      </c>
      <c r="Z383" s="888"/>
    </row>
    <row r="384" spans="1:26" x14ac:dyDescent="0.2">
      <c r="A384" s="894" t="s">
        <v>257</v>
      </c>
      <c r="B384" s="898"/>
      <c r="C384" s="904">
        <f>SUM(C12:C28)</f>
        <v>13565</v>
      </c>
      <c r="D384" s="904">
        <f t="shared" ref="D384:N384" si="147">SUM(D12:D28)</f>
        <v>12079</v>
      </c>
      <c r="E384" s="904">
        <f t="shared" si="147"/>
        <v>13229</v>
      </c>
      <c r="F384" s="904">
        <f t="shared" si="147"/>
        <v>12985</v>
      </c>
      <c r="G384" s="904">
        <f t="shared" si="147"/>
        <v>13446</v>
      </c>
      <c r="H384" s="904">
        <f t="shared" si="147"/>
        <v>14152</v>
      </c>
      <c r="I384" s="904">
        <f t="shared" si="147"/>
        <v>15196</v>
      </c>
      <c r="J384" s="904">
        <f t="shared" si="147"/>
        <v>15187</v>
      </c>
      <c r="K384" s="904">
        <f t="shared" si="147"/>
        <v>14659</v>
      </c>
      <c r="L384" s="904">
        <f t="shared" si="147"/>
        <v>15005</v>
      </c>
      <c r="M384" s="904">
        <f t="shared" si="147"/>
        <v>15160</v>
      </c>
      <c r="N384" s="904">
        <f t="shared" si="147"/>
        <v>15579</v>
      </c>
      <c r="O384" s="142">
        <f t="shared" si="141"/>
        <v>170242</v>
      </c>
      <c r="P384" s="142"/>
      <c r="Q384" s="885"/>
      <c r="R384" s="969"/>
      <c r="S384" s="885"/>
      <c r="T384" s="142"/>
      <c r="U384" s="902">
        <f t="shared" si="142"/>
        <v>38873</v>
      </c>
      <c r="V384" s="902">
        <f t="shared" si="143"/>
        <v>40583</v>
      </c>
      <c r="W384" s="902">
        <f t="shared" si="144"/>
        <v>45042</v>
      </c>
      <c r="X384" s="902">
        <f t="shared" si="145"/>
        <v>45744</v>
      </c>
      <c r="Y384" s="888">
        <f t="shared" si="146"/>
        <v>170242</v>
      </c>
      <c r="Z384" s="888"/>
    </row>
    <row r="385" spans="1:26" s="898" customFormat="1" ht="12.75" customHeight="1" x14ac:dyDescent="0.2">
      <c r="A385" s="894" t="s">
        <v>258</v>
      </c>
      <c r="C385" s="904">
        <f t="shared" ref="C385:N385" si="148">SUM(C35:C49)</f>
        <v>24</v>
      </c>
      <c r="D385" s="904">
        <f t="shared" si="148"/>
        <v>24</v>
      </c>
      <c r="E385" s="904">
        <f t="shared" si="148"/>
        <v>23</v>
      </c>
      <c r="F385" s="904">
        <f t="shared" si="148"/>
        <v>24</v>
      </c>
      <c r="G385" s="904">
        <f t="shared" si="148"/>
        <v>24</v>
      </c>
      <c r="H385" s="904">
        <f t="shared" si="148"/>
        <v>23</v>
      </c>
      <c r="I385" s="904">
        <f t="shared" si="148"/>
        <v>24</v>
      </c>
      <c r="J385" s="904">
        <f t="shared" si="148"/>
        <v>24</v>
      </c>
      <c r="K385" s="904">
        <f t="shared" si="148"/>
        <v>23</v>
      </c>
      <c r="L385" s="904">
        <f t="shared" si="148"/>
        <v>24</v>
      </c>
      <c r="M385" s="904">
        <f t="shared" si="148"/>
        <v>24</v>
      </c>
      <c r="N385" s="904">
        <f t="shared" si="148"/>
        <v>24</v>
      </c>
      <c r="O385" s="142">
        <f t="shared" si="141"/>
        <v>285</v>
      </c>
      <c r="P385" s="142"/>
      <c r="Q385" s="908"/>
      <c r="R385" s="970"/>
      <c r="S385" s="908"/>
      <c r="T385" s="142"/>
      <c r="U385" s="902">
        <f t="shared" si="142"/>
        <v>71</v>
      </c>
      <c r="V385" s="902">
        <f t="shared" si="143"/>
        <v>71</v>
      </c>
      <c r="W385" s="902">
        <f t="shared" si="144"/>
        <v>71</v>
      </c>
      <c r="X385" s="902">
        <f t="shared" si="145"/>
        <v>72</v>
      </c>
      <c r="Y385" s="904">
        <f t="shared" si="146"/>
        <v>285</v>
      </c>
      <c r="Z385" s="904"/>
    </row>
    <row r="386" spans="1:26" x14ac:dyDescent="0.2">
      <c r="A386" s="894" t="s">
        <v>259</v>
      </c>
      <c r="B386" s="898"/>
      <c r="C386" s="904">
        <f t="shared" ref="C386:N386" si="149">+C93</f>
        <v>-219</v>
      </c>
      <c r="D386" s="904">
        <f t="shared" si="149"/>
        <v>-252</v>
      </c>
      <c r="E386" s="904">
        <f t="shared" si="149"/>
        <v>-214</v>
      </c>
      <c r="F386" s="904">
        <f t="shared" si="149"/>
        <v>-219</v>
      </c>
      <c r="G386" s="904">
        <f t="shared" si="149"/>
        <v>-229</v>
      </c>
      <c r="H386" s="904">
        <f t="shared" si="149"/>
        <v>-234</v>
      </c>
      <c r="I386" s="904">
        <f t="shared" si="149"/>
        <v>-210</v>
      </c>
      <c r="J386" s="904">
        <f t="shared" si="149"/>
        <v>-210</v>
      </c>
      <c r="K386" s="904">
        <f t="shared" si="149"/>
        <v>-248</v>
      </c>
      <c r="L386" s="904">
        <f t="shared" si="149"/>
        <v>-213</v>
      </c>
      <c r="M386" s="904">
        <f t="shared" si="149"/>
        <v>-218</v>
      </c>
      <c r="N386" s="904">
        <f t="shared" si="149"/>
        <v>-232</v>
      </c>
      <c r="O386" s="142">
        <f t="shared" si="141"/>
        <v>-2698</v>
      </c>
      <c r="P386" s="142"/>
      <c r="Q386" s="885"/>
      <c r="R386" s="969"/>
      <c r="S386" s="885"/>
      <c r="T386" s="142"/>
      <c r="U386" s="902">
        <f t="shared" si="142"/>
        <v>-685</v>
      </c>
      <c r="V386" s="902">
        <f t="shared" si="143"/>
        <v>-682</v>
      </c>
      <c r="W386" s="902">
        <f t="shared" si="144"/>
        <v>-668</v>
      </c>
      <c r="X386" s="902">
        <f t="shared" si="145"/>
        <v>-663</v>
      </c>
      <c r="Y386" s="904">
        <f t="shared" si="146"/>
        <v>-2698</v>
      </c>
      <c r="Z386" s="888"/>
    </row>
    <row r="387" spans="1:26" x14ac:dyDescent="0.2">
      <c r="A387" s="894" t="s">
        <v>260</v>
      </c>
      <c r="B387" s="898"/>
      <c r="C387" s="904">
        <f t="shared" ref="C387:N387" si="150">+C78</f>
        <v>-640</v>
      </c>
      <c r="D387" s="904">
        <f t="shared" si="150"/>
        <v>-625</v>
      </c>
      <c r="E387" s="904">
        <f t="shared" si="150"/>
        <v>-638</v>
      </c>
      <c r="F387" s="904">
        <f t="shared" si="150"/>
        <v>-633</v>
      </c>
      <c r="G387" s="904">
        <f t="shared" si="150"/>
        <v>-636</v>
      </c>
      <c r="H387" s="904">
        <f t="shared" si="150"/>
        <v>-634</v>
      </c>
      <c r="I387" s="904">
        <f t="shared" si="150"/>
        <v>-633</v>
      </c>
      <c r="J387" s="904">
        <f t="shared" si="150"/>
        <v>-642</v>
      </c>
      <c r="K387" s="904">
        <f t="shared" si="150"/>
        <v>-641</v>
      </c>
      <c r="L387" s="904">
        <f t="shared" si="150"/>
        <v>-644</v>
      </c>
      <c r="M387" s="904">
        <f t="shared" si="150"/>
        <v>-628</v>
      </c>
      <c r="N387" s="904">
        <f t="shared" si="150"/>
        <v>-639</v>
      </c>
      <c r="O387" s="142">
        <f t="shared" si="141"/>
        <v>-7633</v>
      </c>
      <c r="P387" s="142"/>
      <c r="Q387" s="885"/>
      <c r="R387" s="969"/>
      <c r="S387" s="885"/>
      <c r="T387" s="142"/>
      <c r="U387" s="902">
        <f t="shared" si="142"/>
        <v>-1903</v>
      </c>
      <c r="V387" s="902">
        <f t="shared" si="143"/>
        <v>-1903</v>
      </c>
      <c r="W387" s="902">
        <f t="shared" si="144"/>
        <v>-1916</v>
      </c>
      <c r="X387" s="902">
        <f t="shared" si="145"/>
        <v>-1911</v>
      </c>
      <c r="Y387" s="904">
        <f t="shared" si="146"/>
        <v>-7633</v>
      </c>
      <c r="Z387" s="888"/>
    </row>
    <row r="388" spans="1:26" x14ac:dyDescent="0.2">
      <c r="A388" s="894" t="s">
        <v>261</v>
      </c>
      <c r="B388" s="898"/>
      <c r="C388" s="904">
        <f t="shared" ref="C388:N388" si="151">SUM(C30:C33)+SUM(C97:C100)</f>
        <v>2786</v>
      </c>
      <c r="D388" s="904">
        <f t="shared" si="151"/>
        <v>2481</v>
      </c>
      <c r="E388" s="904">
        <f t="shared" si="151"/>
        <v>2652</v>
      </c>
      <c r="F388" s="904">
        <f t="shared" si="151"/>
        <v>2393</v>
      </c>
      <c r="G388" s="904">
        <f t="shared" si="151"/>
        <v>2465</v>
      </c>
      <c r="H388" s="904">
        <f t="shared" si="151"/>
        <v>2312</v>
      </c>
      <c r="I388" s="904">
        <f t="shared" si="151"/>
        <v>2639</v>
      </c>
      <c r="J388" s="904">
        <f t="shared" si="151"/>
        <v>2486</v>
      </c>
      <c r="K388" s="904">
        <f t="shared" si="151"/>
        <v>2559</v>
      </c>
      <c r="L388" s="904">
        <f t="shared" si="151"/>
        <v>2678</v>
      </c>
      <c r="M388" s="904">
        <f t="shared" si="151"/>
        <v>2376</v>
      </c>
      <c r="N388" s="904">
        <f t="shared" si="151"/>
        <v>2280</v>
      </c>
      <c r="O388" s="142">
        <f t="shared" si="141"/>
        <v>30107</v>
      </c>
      <c r="P388" s="142"/>
      <c r="Q388" s="885"/>
      <c r="R388" s="969"/>
      <c r="S388" s="885"/>
      <c r="T388" s="142"/>
      <c r="U388" s="902">
        <f t="shared" si="142"/>
        <v>7919</v>
      </c>
      <c r="V388" s="902">
        <f t="shared" si="143"/>
        <v>7170</v>
      </c>
      <c r="W388" s="902">
        <f t="shared" si="144"/>
        <v>7684</v>
      </c>
      <c r="X388" s="902">
        <f t="shared" si="145"/>
        <v>7334</v>
      </c>
      <c r="Y388" s="904">
        <f t="shared" si="146"/>
        <v>30107</v>
      </c>
      <c r="Z388" s="888"/>
    </row>
    <row r="389" spans="1:26" x14ac:dyDescent="0.2">
      <c r="A389" s="894" t="s">
        <v>262</v>
      </c>
      <c r="B389" s="898"/>
      <c r="C389" s="904">
        <f>SUM(C82:C84)</f>
        <v>0</v>
      </c>
      <c r="D389" s="904">
        <f t="shared" ref="D389:N389" si="152">SUM(D82:D84)</f>
        <v>0</v>
      </c>
      <c r="E389" s="904">
        <f t="shared" si="152"/>
        <v>0</v>
      </c>
      <c r="F389" s="904">
        <f t="shared" si="152"/>
        <v>0</v>
      </c>
      <c r="G389" s="904">
        <f t="shared" si="152"/>
        <v>0</v>
      </c>
      <c r="H389" s="904">
        <f t="shared" si="152"/>
        <v>0</v>
      </c>
      <c r="I389" s="904">
        <f t="shared" si="152"/>
        <v>0</v>
      </c>
      <c r="J389" s="904">
        <f t="shared" si="152"/>
        <v>0</v>
      </c>
      <c r="K389" s="904">
        <f t="shared" si="152"/>
        <v>0</v>
      </c>
      <c r="L389" s="904">
        <f t="shared" si="152"/>
        <v>0</v>
      </c>
      <c r="M389" s="904">
        <f t="shared" si="152"/>
        <v>0</v>
      </c>
      <c r="N389" s="904">
        <f t="shared" si="152"/>
        <v>0</v>
      </c>
      <c r="O389" s="142">
        <f t="shared" si="141"/>
        <v>0</v>
      </c>
      <c r="P389" s="142"/>
      <c r="Q389" s="885"/>
      <c r="R389" s="969"/>
      <c r="S389" s="885"/>
      <c r="T389" s="142"/>
      <c r="U389" s="902">
        <f t="shared" si="142"/>
        <v>0</v>
      </c>
      <c r="V389" s="902">
        <f t="shared" si="143"/>
        <v>0</v>
      </c>
      <c r="W389" s="902">
        <f t="shared" si="144"/>
        <v>0</v>
      </c>
      <c r="X389" s="902">
        <f t="shared" si="145"/>
        <v>0</v>
      </c>
      <c r="Y389" s="904">
        <f t="shared" si="146"/>
        <v>0</v>
      </c>
      <c r="Z389" s="888"/>
    </row>
    <row r="390" spans="1:26" x14ac:dyDescent="0.2">
      <c r="A390" s="894" t="s">
        <v>263</v>
      </c>
      <c r="B390" s="898"/>
      <c r="C390" s="904">
        <f t="shared" ref="C390:N390" si="153">+C95</f>
        <v>0</v>
      </c>
      <c r="D390" s="904">
        <f t="shared" si="153"/>
        <v>0</v>
      </c>
      <c r="E390" s="904">
        <f t="shared" si="153"/>
        <v>0</v>
      </c>
      <c r="F390" s="904">
        <f t="shared" si="153"/>
        <v>0</v>
      </c>
      <c r="G390" s="904">
        <f t="shared" si="153"/>
        <v>0</v>
      </c>
      <c r="H390" s="904">
        <f t="shared" si="153"/>
        <v>0</v>
      </c>
      <c r="I390" s="904">
        <f t="shared" si="153"/>
        <v>0</v>
      </c>
      <c r="J390" s="904">
        <f t="shared" si="153"/>
        <v>0</v>
      </c>
      <c r="K390" s="904">
        <f t="shared" si="153"/>
        <v>0</v>
      </c>
      <c r="L390" s="904">
        <f t="shared" si="153"/>
        <v>0</v>
      </c>
      <c r="M390" s="904">
        <f t="shared" si="153"/>
        <v>0</v>
      </c>
      <c r="N390" s="904">
        <f t="shared" si="153"/>
        <v>0</v>
      </c>
      <c r="O390" s="142">
        <f t="shared" si="141"/>
        <v>0</v>
      </c>
      <c r="P390" s="142"/>
      <c r="Q390" s="885"/>
      <c r="R390" s="969"/>
      <c r="S390" s="885"/>
      <c r="T390" s="142"/>
      <c r="U390" s="902">
        <f t="shared" si="142"/>
        <v>0</v>
      </c>
      <c r="V390" s="902">
        <f t="shared" si="143"/>
        <v>0</v>
      </c>
      <c r="W390" s="902">
        <f t="shared" si="144"/>
        <v>0</v>
      </c>
      <c r="X390" s="902">
        <f t="shared" si="145"/>
        <v>0</v>
      </c>
      <c r="Y390" s="904">
        <f t="shared" si="146"/>
        <v>0</v>
      </c>
      <c r="Z390" s="888"/>
    </row>
    <row r="391" spans="1:26" s="898" customFormat="1" ht="12.75" customHeight="1" x14ac:dyDescent="0.2">
      <c r="A391" s="894" t="s">
        <v>264</v>
      </c>
      <c r="C391" s="904">
        <f t="shared" ref="C391:N391" si="154">+C102</f>
        <v>-6</v>
      </c>
      <c r="D391" s="904">
        <f t="shared" si="154"/>
        <v>-23</v>
      </c>
      <c r="E391" s="904">
        <f t="shared" si="154"/>
        <v>-6</v>
      </c>
      <c r="F391" s="904">
        <f t="shared" si="154"/>
        <v>-5</v>
      </c>
      <c r="G391" s="904">
        <f t="shared" si="154"/>
        <v>-6</v>
      </c>
      <c r="H391" s="904">
        <f t="shared" si="154"/>
        <v>-5</v>
      </c>
      <c r="I391" s="904">
        <f t="shared" si="154"/>
        <v>-6</v>
      </c>
      <c r="J391" s="904">
        <f t="shared" si="154"/>
        <v>-5</v>
      </c>
      <c r="K391" s="904">
        <f t="shared" si="154"/>
        <v>-6</v>
      </c>
      <c r="L391" s="904">
        <f t="shared" si="154"/>
        <v>-6</v>
      </c>
      <c r="M391" s="904">
        <f t="shared" si="154"/>
        <v>-6</v>
      </c>
      <c r="N391" s="904">
        <f t="shared" si="154"/>
        <v>-6</v>
      </c>
      <c r="O391" s="971">
        <f t="shared" si="141"/>
        <v>-86</v>
      </c>
      <c r="P391" s="971"/>
      <c r="Q391" s="908"/>
      <c r="R391" s="970"/>
      <c r="S391" s="908"/>
      <c r="T391" s="971"/>
      <c r="U391" s="902">
        <f t="shared" si="142"/>
        <v>-35</v>
      </c>
      <c r="V391" s="902">
        <f t="shared" si="143"/>
        <v>-16</v>
      </c>
      <c r="W391" s="902">
        <f t="shared" si="144"/>
        <v>-17</v>
      </c>
      <c r="X391" s="902">
        <f t="shared" si="145"/>
        <v>-18</v>
      </c>
      <c r="Y391" s="904">
        <f t="shared" si="146"/>
        <v>-86</v>
      </c>
      <c r="Z391" s="904"/>
    </row>
    <row r="392" spans="1:26" s="898" customFormat="1" ht="12.75" customHeight="1" x14ac:dyDescent="0.2">
      <c r="A392" s="894" t="s">
        <v>265</v>
      </c>
      <c r="C392" s="904">
        <f t="shared" ref="C392:N392" si="155">SUM(C112:C113)</f>
        <v>0</v>
      </c>
      <c r="D392" s="904">
        <f t="shared" si="155"/>
        <v>0</v>
      </c>
      <c r="E392" s="904">
        <f t="shared" si="155"/>
        <v>0</v>
      </c>
      <c r="F392" s="904">
        <f t="shared" si="155"/>
        <v>0</v>
      </c>
      <c r="G392" s="904">
        <f t="shared" si="155"/>
        <v>0</v>
      </c>
      <c r="H392" s="904">
        <f t="shared" si="155"/>
        <v>0</v>
      </c>
      <c r="I392" s="904">
        <f t="shared" si="155"/>
        <v>0</v>
      </c>
      <c r="J392" s="904">
        <f t="shared" si="155"/>
        <v>0</v>
      </c>
      <c r="K392" s="904">
        <f t="shared" si="155"/>
        <v>0</v>
      </c>
      <c r="L392" s="904">
        <f t="shared" si="155"/>
        <v>0</v>
      </c>
      <c r="M392" s="904">
        <f t="shared" si="155"/>
        <v>0</v>
      </c>
      <c r="N392" s="904">
        <f t="shared" si="155"/>
        <v>0</v>
      </c>
      <c r="O392" s="971">
        <f t="shared" si="141"/>
        <v>0</v>
      </c>
      <c r="P392" s="971"/>
      <c r="Q392" s="908"/>
      <c r="R392" s="970"/>
      <c r="S392" s="908"/>
      <c r="T392" s="971"/>
      <c r="U392" s="902">
        <f t="shared" si="142"/>
        <v>0</v>
      </c>
      <c r="V392" s="902">
        <f t="shared" si="143"/>
        <v>0</v>
      </c>
      <c r="W392" s="902">
        <f t="shared" si="144"/>
        <v>0</v>
      </c>
      <c r="X392" s="902">
        <f t="shared" si="145"/>
        <v>0</v>
      </c>
      <c r="Y392" s="904">
        <f t="shared" si="146"/>
        <v>0</v>
      </c>
      <c r="Z392" s="904"/>
    </row>
    <row r="393" spans="1:26" x14ac:dyDescent="0.2">
      <c r="A393" s="884" t="s">
        <v>266</v>
      </c>
      <c r="B393" s="898"/>
      <c r="C393" s="904">
        <f t="shared" ref="C393:N393" si="156">SUM(C51:C53)</f>
        <v>0</v>
      </c>
      <c r="D393" s="904">
        <f t="shared" si="156"/>
        <v>0</v>
      </c>
      <c r="E393" s="904">
        <f t="shared" si="156"/>
        <v>0</v>
      </c>
      <c r="F393" s="904">
        <f t="shared" si="156"/>
        <v>0</v>
      </c>
      <c r="G393" s="904">
        <f t="shared" si="156"/>
        <v>0</v>
      </c>
      <c r="H393" s="904">
        <f t="shared" si="156"/>
        <v>0</v>
      </c>
      <c r="I393" s="904">
        <f t="shared" si="156"/>
        <v>0</v>
      </c>
      <c r="J393" s="904">
        <f t="shared" si="156"/>
        <v>0</v>
      </c>
      <c r="K393" s="904">
        <f t="shared" si="156"/>
        <v>0</v>
      </c>
      <c r="L393" s="904">
        <f t="shared" si="156"/>
        <v>0</v>
      </c>
      <c r="M393" s="904">
        <f t="shared" si="156"/>
        <v>0</v>
      </c>
      <c r="N393" s="904">
        <f t="shared" si="156"/>
        <v>0</v>
      </c>
      <c r="O393" s="971">
        <f t="shared" si="141"/>
        <v>0</v>
      </c>
      <c r="P393" s="971"/>
      <c r="Q393" s="885"/>
      <c r="R393" s="969"/>
      <c r="S393" s="885"/>
      <c r="T393" s="971"/>
      <c r="U393" s="902">
        <f t="shared" si="142"/>
        <v>0</v>
      </c>
      <c r="V393" s="902">
        <f t="shared" si="143"/>
        <v>0</v>
      </c>
      <c r="W393" s="902">
        <f t="shared" si="144"/>
        <v>0</v>
      </c>
      <c r="X393" s="902">
        <f t="shared" si="145"/>
        <v>0</v>
      </c>
      <c r="Y393" s="904">
        <f t="shared" si="146"/>
        <v>0</v>
      </c>
      <c r="Z393" s="888"/>
    </row>
    <row r="394" spans="1:26" x14ac:dyDescent="0.2">
      <c r="A394" s="884" t="s">
        <v>66</v>
      </c>
      <c r="B394" s="898"/>
      <c r="C394" s="891">
        <f>SUM(C114:C124)</f>
        <v>0</v>
      </c>
      <c r="D394" s="891">
        <f>SUM(D114:D124)</f>
        <v>0</v>
      </c>
      <c r="E394" s="891">
        <f t="shared" ref="E394:N394" si="157">SUM(E114:E124)</f>
        <v>0</v>
      </c>
      <c r="F394" s="891">
        <f t="shared" si="157"/>
        <v>0</v>
      </c>
      <c r="G394" s="891">
        <f t="shared" si="157"/>
        <v>0</v>
      </c>
      <c r="H394" s="891">
        <f t="shared" si="157"/>
        <v>0</v>
      </c>
      <c r="I394" s="891">
        <f t="shared" si="157"/>
        <v>0</v>
      </c>
      <c r="J394" s="891">
        <f t="shared" si="157"/>
        <v>0</v>
      </c>
      <c r="K394" s="891">
        <f t="shared" si="157"/>
        <v>0</v>
      </c>
      <c r="L394" s="891">
        <f t="shared" si="157"/>
        <v>0</v>
      </c>
      <c r="M394" s="891">
        <f t="shared" si="157"/>
        <v>0</v>
      </c>
      <c r="N394" s="891">
        <f t="shared" si="157"/>
        <v>0</v>
      </c>
      <c r="O394" s="972">
        <f t="shared" si="141"/>
        <v>0</v>
      </c>
      <c r="P394" s="972"/>
      <c r="Q394" s="885"/>
      <c r="R394" s="969"/>
      <c r="S394" s="885"/>
      <c r="T394" s="972"/>
      <c r="U394" s="943">
        <f t="shared" si="142"/>
        <v>0</v>
      </c>
      <c r="V394" s="943">
        <f t="shared" si="143"/>
        <v>0</v>
      </c>
      <c r="W394" s="943">
        <f t="shared" si="144"/>
        <v>0</v>
      </c>
      <c r="X394" s="943">
        <f t="shared" si="145"/>
        <v>0</v>
      </c>
      <c r="Y394" s="891">
        <f t="shared" si="146"/>
        <v>0</v>
      </c>
      <c r="Z394" s="888"/>
    </row>
    <row r="395" spans="1:26" ht="3.95" customHeight="1" x14ac:dyDescent="0.2">
      <c r="A395" s="913"/>
      <c r="B395" s="898"/>
      <c r="C395" s="904"/>
      <c r="D395" s="904"/>
      <c r="E395" s="904"/>
      <c r="F395" s="904"/>
      <c r="G395" s="904"/>
      <c r="H395" s="904"/>
      <c r="I395" s="904"/>
      <c r="J395" s="904"/>
      <c r="K395" s="904"/>
      <c r="L395" s="904"/>
      <c r="M395" s="904"/>
      <c r="N395" s="904"/>
      <c r="O395" s="902"/>
      <c r="P395" s="902"/>
      <c r="Q395" s="885"/>
      <c r="R395" s="969"/>
      <c r="S395" s="885"/>
      <c r="T395" s="902"/>
      <c r="U395" s="902"/>
      <c r="V395" s="902"/>
      <c r="W395" s="902"/>
      <c r="X395" s="902"/>
      <c r="Y395" s="904"/>
      <c r="Z395" s="888"/>
    </row>
    <row r="396" spans="1:26" x14ac:dyDescent="0.2">
      <c r="A396" s="897" t="s">
        <v>267</v>
      </c>
      <c r="B396" s="898"/>
      <c r="C396" s="945">
        <f t="shared" ref="C396:O396" si="158">SUM(C383:C394)</f>
        <v>15510</v>
      </c>
      <c r="D396" s="945">
        <f t="shared" si="158"/>
        <v>13684</v>
      </c>
      <c r="E396" s="945">
        <f t="shared" si="158"/>
        <v>15046</v>
      </c>
      <c r="F396" s="945">
        <f t="shared" si="158"/>
        <v>14545</v>
      </c>
      <c r="G396" s="945">
        <f t="shared" si="158"/>
        <v>15064</v>
      </c>
      <c r="H396" s="945">
        <f t="shared" si="158"/>
        <v>15614</v>
      </c>
      <c r="I396" s="945">
        <f t="shared" si="158"/>
        <v>17010</v>
      </c>
      <c r="J396" s="945">
        <f t="shared" si="158"/>
        <v>16840</v>
      </c>
      <c r="K396" s="945">
        <f t="shared" si="158"/>
        <v>16346</v>
      </c>
      <c r="L396" s="945">
        <f t="shared" si="158"/>
        <v>16844</v>
      </c>
      <c r="M396" s="945">
        <f t="shared" si="158"/>
        <v>16708</v>
      </c>
      <c r="N396" s="945">
        <f t="shared" si="158"/>
        <v>17006</v>
      </c>
      <c r="O396" s="945">
        <f t="shared" si="158"/>
        <v>190217</v>
      </c>
      <c r="P396" s="945"/>
      <c r="Q396" s="885"/>
      <c r="R396" s="969"/>
      <c r="S396" s="885"/>
      <c r="T396" s="945"/>
      <c r="U396" s="945">
        <f>SUM(U383:U394)</f>
        <v>44240</v>
      </c>
      <c r="V396" s="945">
        <f>SUM(V383:V394)</f>
        <v>45223</v>
      </c>
      <c r="W396" s="945">
        <f>SUM(W383:W394)</f>
        <v>50196</v>
      </c>
      <c r="X396" s="945">
        <f>SUM(X383:X394)</f>
        <v>50558</v>
      </c>
      <c r="Y396" s="945">
        <f>SUM(Y383:Y394)</f>
        <v>190217</v>
      </c>
      <c r="Z396" s="888"/>
    </row>
    <row r="397" spans="1:26" ht="6" customHeight="1" x14ac:dyDescent="0.2">
      <c r="A397" s="897"/>
      <c r="B397" s="898"/>
      <c r="C397" s="904"/>
      <c r="D397" s="904"/>
      <c r="E397" s="904"/>
      <c r="F397" s="904"/>
      <c r="G397" s="904"/>
      <c r="H397" s="904"/>
      <c r="I397" s="904"/>
      <c r="J397" s="904"/>
      <c r="K397" s="904"/>
      <c r="L397" s="904"/>
      <c r="M397" s="904"/>
      <c r="N397" s="904"/>
      <c r="O397" s="902"/>
      <c r="P397" s="902"/>
      <c r="Q397" s="885"/>
      <c r="R397" s="969"/>
      <c r="S397" s="885"/>
      <c r="T397" s="902"/>
      <c r="U397" s="902"/>
      <c r="V397" s="902"/>
      <c r="W397" s="902"/>
      <c r="X397" s="902"/>
      <c r="Y397" s="904"/>
      <c r="Z397" s="888"/>
    </row>
    <row r="398" spans="1:26" x14ac:dyDescent="0.2">
      <c r="A398" s="897" t="s">
        <v>549</v>
      </c>
      <c r="B398" s="898"/>
      <c r="C398" s="904"/>
      <c r="D398" s="904"/>
      <c r="E398" s="904"/>
      <c r="F398" s="904"/>
      <c r="G398" s="904"/>
      <c r="H398" s="904"/>
      <c r="I398" s="904"/>
      <c r="J398" s="904"/>
      <c r="K398" s="904"/>
      <c r="L398" s="904"/>
      <c r="M398" s="904"/>
      <c r="N398" s="904"/>
      <c r="O398" s="902"/>
      <c r="P398" s="902"/>
      <c r="Q398" s="885"/>
      <c r="R398" s="969"/>
      <c r="S398" s="885"/>
      <c r="T398" s="902"/>
      <c r="U398" s="902"/>
      <c r="V398" s="902"/>
      <c r="W398" s="902"/>
      <c r="X398" s="902"/>
      <c r="Y398" s="904"/>
      <c r="Z398" s="888"/>
    </row>
    <row r="399" spans="1:26" x14ac:dyDescent="0.2">
      <c r="A399" s="894" t="s">
        <v>259</v>
      </c>
      <c r="B399" s="898"/>
      <c r="C399" s="904">
        <f t="shared" ref="C399:N399" si="159">+C142</f>
        <v>-173</v>
      </c>
      <c r="D399" s="904">
        <f t="shared" si="159"/>
        <v>-147</v>
      </c>
      <c r="E399" s="904">
        <f t="shared" si="159"/>
        <v>-148</v>
      </c>
      <c r="F399" s="904">
        <f t="shared" si="159"/>
        <v>-147</v>
      </c>
      <c r="G399" s="904">
        <f t="shared" si="159"/>
        <v>-148</v>
      </c>
      <c r="H399" s="904">
        <f t="shared" si="159"/>
        <v>-148</v>
      </c>
      <c r="I399" s="904">
        <f t="shared" si="159"/>
        <v>-147</v>
      </c>
      <c r="J399" s="904">
        <f t="shared" si="159"/>
        <v>-150</v>
      </c>
      <c r="K399" s="904">
        <f t="shared" si="159"/>
        <v>-148</v>
      </c>
      <c r="L399" s="904">
        <f t="shared" si="159"/>
        <v>-148</v>
      </c>
      <c r="M399" s="904">
        <f t="shared" si="159"/>
        <v>-147</v>
      </c>
      <c r="N399" s="904">
        <f t="shared" si="159"/>
        <v>-148</v>
      </c>
      <c r="O399" s="971">
        <f>SUM(C399:N399)</f>
        <v>-1799</v>
      </c>
      <c r="P399" s="971"/>
      <c r="Q399" s="885"/>
      <c r="R399" s="969"/>
      <c r="S399" s="885"/>
      <c r="T399" s="971"/>
      <c r="U399" s="902">
        <f>C399+D399+E399</f>
        <v>-468</v>
      </c>
      <c r="V399" s="902">
        <f>F399+G399+H399</f>
        <v>-443</v>
      </c>
      <c r="W399" s="902">
        <f>I399+J399+K399</f>
        <v>-445</v>
      </c>
      <c r="X399" s="902">
        <f>L399+M399+N399</f>
        <v>-443</v>
      </c>
      <c r="Y399" s="904">
        <f>SUM(U399:X399)</f>
        <v>-1799</v>
      </c>
      <c r="Z399" s="888"/>
    </row>
    <row r="400" spans="1:26" x14ac:dyDescent="0.2">
      <c r="A400" s="894" t="s">
        <v>263</v>
      </c>
      <c r="B400" s="898"/>
      <c r="C400" s="904">
        <f>+C1444</f>
        <v>0</v>
      </c>
      <c r="D400" s="904">
        <f t="shared" ref="D400:N400" si="160">+D1444</f>
        <v>0</v>
      </c>
      <c r="E400" s="904">
        <f t="shared" si="160"/>
        <v>0</v>
      </c>
      <c r="F400" s="904">
        <f t="shared" si="160"/>
        <v>0</v>
      </c>
      <c r="G400" s="904">
        <f t="shared" si="160"/>
        <v>0</v>
      </c>
      <c r="H400" s="904">
        <f t="shared" si="160"/>
        <v>0</v>
      </c>
      <c r="I400" s="904">
        <f t="shared" si="160"/>
        <v>0</v>
      </c>
      <c r="J400" s="904">
        <f t="shared" si="160"/>
        <v>0</v>
      </c>
      <c r="K400" s="904">
        <f t="shared" si="160"/>
        <v>0</v>
      </c>
      <c r="L400" s="904">
        <f t="shared" si="160"/>
        <v>0</v>
      </c>
      <c r="M400" s="904">
        <f t="shared" si="160"/>
        <v>0</v>
      </c>
      <c r="N400" s="904">
        <f t="shared" si="160"/>
        <v>0</v>
      </c>
      <c r="O400" s="971">
        <f>SUM(C400:N400)</f>
        <v>0</v>
      </c>
      <c r="P400" s="971"/>
      <c r="Q400" s="885"/>
      <c r="R400" s="969"/>
      <c r="S400" s="885"/>
      <c r="T400" s="971"/>
      <c r="U400" s="902">
        <f>C400+D400+E400</f>
        <v>0</v>
      </c>
      <c r="V400" s="902">
        <f>F400+G400+H400</f>
        <v>0</v>
      </c>
      <c r="W400" s="902">
        <f>I400+J400+K400</f>
        <v>0</v>
      </c>
      <c r="X400" s="902">
        <f>L400+M400+N400</f>
        <v>0</v>
      </c>
      <c r="Y400" s="904">
        <f>SUM(U400:X400)</f>
        <v>0</v>
      </c>
      <c r="Z400" s="888"/>
    </row>
    <row r="401" spans="1:26" x14ac:dyDescent="0.2">
      <c r="A401" s="894" t="s">
        <v>264</v>
      </c>
      <c r="B401" s="898"/>
      <c r="C401" s="904">
        <f t="shared" ref="C401:N401" si="161">+C146</f>
        <v>-9</v>
      </c>
      <c r="D401" s="904">
        <f t="shared" si="161"/>
        <v>-14</v>
      </c>
      <c r="E401" s="904">
        <f t="shared" si="161"/>
        <v>-9</v>
      </c>
      <c r="F401" s="904">
        <f t="shared" si="161"/>
        <v>-8</v>
      </c>
      <c r="G401" s="904">
        <f t="shared" si="161"/>
        <v>-9</v>
      </c>
      <c r="H401" s="904">
        <f t="shared" si="161"/>
        <v>-8</v>
      </c>
      <c r="I401" s="904">
        <f t="shared" si="161"/>
        <v>-9</v>
      </c>
      <c r="J401" s="904">
        <f t="shared" si="161"/>
        <v>-8</v>
      </c>
      <c r="K401" s="904">
        <f t="shared" si="161"/>
        <v>-9</v>
      </c>
      <c r="L401" s="904">
        <f t="shared" si="161"/>
        <v>-8</v>
      </c>
      <c r="M401" s="904">
        <f t="shared" si="161"/>
        <v>-9</v>
      </c>
      <c r="N401" s="904">
        <f t="shared" si="161"/>
        <v>-8</v>
      </c>
      <c r="O401" s="971">
        <f>SUM(C401:N401)</f>
        <v>-108</v>
      </c>
      <c r="P401" s="971"/>
      <c r="Q401" s="885"/>
      <c r="R401" s="969"/>
      <c r="S401" s="885"/>
      <c r="T401" s="971"/>
      <c r="U401" s="902">
        <f>C401+D401+E401</f>
        <v>-32</v>
      </c>
      <c r="V401" s="902">
        <f>F401+G401+H401</f>
        <v>-25</v>
      </c>
      <c r="W401" s="902">
        <f>I401+J401+K401</f>
        <v>-26</v>
      </c>
      <c r="X401" s="902">
        <f>L401+M401+N401</f>
        <v>-25</v>
      </c>
      <c r="Y401" s="904">
        <f>SUM(U401:X401)</f>
        <v>-108</v>
      </c>
      <c r="Z401" s="888"/>
    </row>
    <row r="402" spans="1:26" x14ac:dyDescent="0.2">
      <c r="A402" s="894" t="s">
        <v>268</v>
      </c>
      <c r="B402" s="898"/>
      <c r="C402" s="891">
        <f t="shared" ref="C402:N402" si="162">+C134</f>
        <v>0</v>
      </c>
      <c r="D402" s="891">
        <f t="shared" si="162"/>
        <v>0</v>
      </c>
      <c r="E402" s="891">
        <f t="shared" si="162"/>
        <v>0</v>
      </c>
      <c r="F402" s="891">
        <f t="shared" si="162"/>
        <v>0</v>
      </c>
      <c r="G402" s="891">
        <f t="shared" si="162"/>
        <v>0</v>
      </c>
      <c r="H402" s="891">
        <f t="shared" si="162"/>
        <v>0</v>
      </c>
      <c r="I402" s="891">
        <f t="shared" si="162"/>
        <v>0</v>
      </c>
      <c r="J402" s="891">
        <f t="shared" si="162"/>
        <v>0</v>
      </c>
      <c r="K402" s="891">
        <f t="shared" si="162"/>
        <v>0</v>
      </c>
      <c r="L402" s="891">
        <f t="shared" si="162"/>
        <v>0</v>
      </c>
      <c r="M402" s="891">
        <f t="shared" si="162"/>
        <v>0</v>
      </c>
      <c r="N402" s="891">
        <f t="shared" si="162"/>
        <v>0</v>
      </c>
      <c r="O402" s="972">
        <f>SUM(C402:N402)</f>
        <v>0</v>
      </c>
      <c r="P402" s="972"/>
      <c r="Q402" s="885"/>
      <c r="R402" s="969"/>
      <c r="S402" s="885"/>
      <c r="T402" s="972"/>
      <c r="U402" s="943">
        <f>C402+D402+E402</f>
        <v>0</v>
      </c>
      <c r="V402" s="943">
        <f>F402+G402+H402</f>
        <v>0</v>
      </c>
      <c r="W402" s="943">
        <f>I402+J402+K402</f>
        <v>0</v>
      </c>
      <c r="X402" s="943">
        <f>L402+M402+N402</f>
        <v>0</v>
      </c>
      <c r="Y402" s="891">
        <f>SUM(U402:X402)</f>
        <v>0</v>
      </c>
      <c r="Z402" s="888"/>
    </row>
    <row r="403" spans="1:26" ht="3.95" customHeight="1" x14ac:dyDescent="0.2">
      <c r="A403" s="897"/>
      <c r="B403" s="898"/>
      <c r="C403" s="904"/>
      <c r="D403" s="904"/>
      <c r="E403" s="904"/>
      <c r="F403" s="904"/>
      <c r="G403" s="904"/>
      <c r="H403" s="904"/>
      <c r="I403" s="904"/>
      <c r="J403" s="904"/>
      <c r="K403" s="904"/>
      <c r="L403" s="904"/>
      <c r="M403" s="904"/>
      <c r="N403" s="904"/>
      <c r="O403" s="902"/>
      <c r="P403" s="902"/>
      <c r="Q403" s="885"/>
      <c r="R403" s="969"/>
      <c r="S403" s="885"/>
      <c r="T403" s="902"/>
      <c r="U403" s="902"/>
      <c r="V403" s="902"/>
      <c r="W403" s="902"/>
      <c r="X403" s="902"/>
      <c r="Y403" s="904"/>
      <c r="Z403" s="888"/>
    </row>
    <row r="404" spans="1:26" x14ac:dyDescent="0.2">
      <c r="A404" s="897" t="s">
        <v>550</v>
      </c>
      <c r="B404" s="898"/>
      <c r="C404" s="945">
        <f t="shared" ref="C404:O404" si="163">SUM(C399:C402)</f>
        <v>-182</v>
      </c>
      <c r="D404" s="945">
        <f t="shared" si="163"/>
        <v>-161</v>
      </c>
      <c r="E404" s="945">
        <f t="shared" si="163"/>
        <v>-157</v>
      </c>
      <c r="F404" s="945">
        <f t="shared" si="163"/>
        <v>-155</v>
      </c>
      <c r="G404" s="945">
        <f t="shared" si="163"/>
        <v>-157</v>
      </c>
      <c r="H404" s="945">
        <f t="shared" si="163"/>
        <v>-156</v>
      </c>
      <c r="I404" s="945">
        <f t="shared" si="163"/>
        <v>-156</v>
      </c>
      <c r="J404" s="945">
        <f t="shared" si="163"/>
        <v>-158</v>
      </c>
      <c r="K404" s="945">
        <f t="shared" si="163"/>
        <v>-157</v>
      </c>
      <c r="L404" s="945">
        <f t="shared" si="163"/>
        <v>-156</v>
      </c>
      <c r="M404" s="945">
        <f t="shared" si="163"/>
        <v>-156</v>
      </c>
      <c r="N404" s="945">
        <f t="shared" si="163"/>
        <v>-156</v>
      </c>
      <c r="O404" s="945">
        <f t="shared" si="163"/>
        <v>-1907</v>
      </c>
      <c r="P404" s="945"/>
      <c r="Q404" s="885"/>
      <c r="R404" s="969"/>
      <c r="S404" s="885"/>
      <c r="T404" s="945"/>
      <c r="U404" s="945">
        <f>SUM(U399:U402)</f>
        <v>-500</v>
      </c>
      <c r="V404" s="945">
        <f>SUM(V399:V402)</f>
        <v>-468</v>
      </c>
      <c r="W404" s="945">
        <f>SUM(W399:W402)</f>
        <v>-471</v>
      </c>
      <c r="X404" s="945">
        <f>SUM(X399:X402)</f>
        <v>-468</v>
      </c>
      <c r="Y404" s="945">
        <f>SUM(Y399:Y402)</f>
        <v>-1907</v>
      </c>
      <c r="Z404" s="888"/>
    </row>
    <row r="405" spans="1:26" ht="6" customHeight="1" x14ac:dyDescent="0.2">
      <c r="A405" s="897"/>
      <c r="B405" s="898"/>
      <c r="C405" s="904"/>
      <c r="D405" s="904"/>
      <c r="E405" s="904"/>
      <c r="F405" s="904"/>
      <c r="G405" s="904"/>
      <c r="H405" s="904"/>
      <c r="I405" s="904"/>
      <c r="J405" s="904"/>
      <c r="K405" s="904"/>
      <c r="L405" s="904"/>
      <c r="M405" s="904"/>
      <c r="N405" s="904"/>
      <c r="O405" s="902"/>
      <c r="P405" s="902"/>
      <c r="Q405" s="885"/>
      <c r="R405" s="969"/>
      <c r="S405" s="885"/>
      <c r="T405" s="902"/>
      <c r="U405" s="902"/>
      <c r="V405" s="902"/>
      <c r="W405" s="902"/>
      <c r="X405" s="902"/>
      <c r="Y405" s="904"/>
      <c r="Z405" s="888"/>
    </row>
    <row r="406" spans="1:26" x14ac:dyDescent="0.2">
      <c r="A406" s="897" t="s">
        <v>297</v>
      </c>
      <c r="B406" s="898"/>
      <c r="C406" s="904"/>
      <c r="D406" s="904"/>
      <c r="E406" s="904"/>
      <c r="F406" s="904"/>
      <c r="G406" s="904"/>
      <c r="H406" s="904"/>
      <c r="I406" s="904"/>
      <c r="J406" s="904"/>
      <c r="K406" s="904"/>
      <c r="L406" s="904"/>
      <c r="M406" s="904"/>
      <c r="N406" s="904"/>
      <c r="O406" s="902"/>
      <c r="P406" s="902"/>
      <c r="Q406" s="885"/>
      <c r="R406" s="969"/>
      <c r="S406" s="885"/>
      <c r="T406" s="902"/>
      <c r="U406" s="902"/>
      <c r="V406" s="902"/>
      <c r="W406" s="902"/>
      <c r="X406" s="902"/>
      <c r="Y406" s="904"/>
      <c r="Z406" s="888"/>
    </row>
    <row r="407" spans="1:26" x14ac:dyDescent="0.2">
      <c r="A407" s="894" t="s">
        <v>259</v>
      </c>
      <c r="B407" s="898"/>
      <c r="C407" s="904">
        <f t="shared" ref="C407:N407" si="164">+C170</f>
        <v>-2117</v>
      </c>
      <c r="D407" s="904">
        <f t="shared" si="164"/>
        <v>-2128</v>
      </c>
      <c r="E407" s="904">
        <f t="shared" si="164"/>
        <v>-2094</v>
      </c>
      <c r="F407" s="904">
        <f t="shared" si="164"/>
        <v>-2072</v>
      </c>
      <c r="G407" s="904">
        <f t="shared" si="164"/>
        <v>-2101</v>
      </c>
      <c r="H407" s="904">
        <f t="shared" si="164"/>
        <v>-2124</v>
      </c>
      <c r="I407" s="904">
        <f t="shared" si="164"/>
        <v>-2764</v>
      </c>
      <c r="J407" s="904">
        <f t="shared" si="164"/>
        <v>-2782</v>
      </c>
      <c r="K407" s="904">
        <f t="shared" si="164"/>
        <v>-2773</v>
      </c>
      <c r="L407" s="904">
        <f t="shared" si="164"/>
        <v>-2769</v>
      </c>
      <c r="M407" s="904">
        <f t="shared" si="164"/>
        <v>-2740</v>
      </c>
      <c r="N407" s="904">
        <f t="shared" si="164"/>
        <v>-2821</v>
      </c>
      <c r="O407" s="971">
        <f>SUM(C407:N407)</f>
        <v>-29285</v>
      </c>
      <c r="P407" s="971"/>
      <c r="Q407" s="885"/>
      <c r="R407" s="969"/>
      <c r="S407" s="885"/>
      <c r="T407" s="971"/>
      <c r="U407" s="902">
        <f>C407+D407+E407</f>
        <v>-6339</v>
      </c>
      <c r="V407" s="902">
        <f>F407+G407+H407</f>
        <v>-6297</v>
      </c>
      <c r="W407" s="902">
        <f>I407+J407+K407</f>
        <v>-8319</v>
      </c>
      <c r="X407" s="902">
        <f>L407+M407+N407</f>
        <v>-8330</v>
      </c>
      <c r="Y407" s="904">
        <f>SUM(U407:X407)</f>
        <v>-29285</v>
      </c>
      <c r="Z407" s="888"/>
    </row>
    <row r="408" spans="1:26" x14ac:dyDescent="0.2">
      <c r="A408" s="894" t="s">
        <v>263</v>
      </c>
      <c r="B408" s="898"/>
      <c r="C408" s="904">
        <f>+C172</f>
        <v>0</v>
      </c>
      <c r="D408" s="904">
        <f t="shared" ref="D408:N408" si="165">+D172</f>
        <v>0</v>
      </c>
      <c r="E408" s="904">
        <f t="shared" si="165"/>
        <v>0</v>
      </c>
      <c r="F408" s="904">
        <f t="shared" si="165"/>
        <v>0</v>
      </c>
      <c r="G408" s="904">
        <f t="shared" si="165"/>
        <v>0</v>
      </c>
      <c r="H408" s="904">
        <f t="shared" si="165"/>
        <v>0</v>
      </c>
      <c r="I408" s="904">
        <f t="shared" si="165"/>
        <v>0</v>
      </c>
      <c r="J408" s="904">
        <f t="shared" si="165"/>
        <v>0</v>
      </c>
      <c r="K408" s="904">
        <f t="shared" si="165"/>
        <v>0</v>
      </c>
      <c r="L408" s="904">
        <f t="shared" si="165"/>
        <v>0</v>
      </c>
      <c r="M408" s="904">
        <f t="shared" si="165"/>
        <v>0</v>
      </c>
      <c r="N408" s="904">
        <f t="shared" si="165"/>
        <v>0</v>
      </c>
      <c r="O408" s="971">
        <f>SUM(C408:N408)</f>
        <v>0</v>
      </c>
      <c r="P408" s="971"/>
      <c r="Q408" s="885"/>
      <c r="R408" s="969"/>
      <c r="S408" s="885"/>
      <c r="T408" s="971"/>
      <c r="U408" s="902">
        <f>C408+D408+E408</f>
        <v>0</v>
      </c>
      <c r="V408" s="902">
        <f>F408+G408+H408</f>
        <v>0</v>
      </c>
      <c r="W408" s="902">
        <f>I408+J408+K408</f>
        <v>0</v>
      </c>
      <c r="X408" s="902">
        <f>L408+M408+N408</f>
        <v>0</v>
      </c>
      <c r="Y408" s="904">
        <f>SUM(U408:X408)</f>
        <v>0</v>
      </c>
      <c r="Z408" s="888"/>
    </row>
    <row r="409" spans="1:26" x14ac:dyDescent="0.2">
      <c r="A409" s="894" t="s">
        <v>264</v>
      </c>
      <c r="B409" s="898"/>
      <c r="C409" s="904">
        <f t="shared" ref="C409:N409" si="166">+C174</f>
        <v>-50</v>
      </c>
      <c r="D409" s="904">
        <f t="shared" si="166"/>
        <v>-57</v>
      </c>
      <c r="E409" s="904">
        <f t="shared" si="166"/>
        <v>-50</v>
      </c>
      <c r="F409" s="904">
        <f t="shared" si="166"/>
        <v>-50</v>
      </c>
      <c r="G409" s="904">
        <f t="shared" si="166"/>
        <v>-51</v>
      </c>
      <c r="H409" s="904">
        <f t="shared" si="166"/>
        <v>-50</v>
      </c>
      <c r="I409" s="904">
        <f t="shared" si="166"/>
        <v>-50</v>
      </c>
      <c r="J409" s="904">
        <f t="shared" si="166"/>
        <v>-51</v>
      </c>
      <c r="K409" s="904">
        <f t="shared" si="166"/>
        <v>-50</v>
      </c>
      <c r="L409" s="904">
        <f t="shared" si="166"/>
        <v>-50</v>
      </c>
      <c r="M409" s="904">
        <f t="shared" si="166"/>
        <v>-51</v>
      </c>
      <c r="N409" s="904">
        <f t="shared" si="166"/>
        <v>-50</v>
      </c>
      <c r="O409" s="971">
        <f>SUM(C409:N409)</f>
        <v>-610</v>
      </c>
      <c r="P409" s="971"/>
      <c r="Q409" s="885"/>
      <c r="R409" s="969"/>
      <c r="S409" s="885"/>
      <c r="T409" s="971"/>
      <c r="U409" s="902">
        <f>C409+D409+E409</f>
        <v>-157</v>
      </c>
      <c r="V409" s="902">
        <f>F409+G409+H409</f>
        <v>-151</v>
      </c>
      <c r="W409" s="902">
        <f>I409+J409+K409</f>
        <v>-151</v>
      </c>
      <c r="X409" s="902">
        <f>L409+M409+N409</f>
        <v>-151</v>
      </c>
      <c r="Y409" s="904">
        <f>SUM(U409:X409)</f>
        <v>-610</v>
      </c>
      <c r="Z409" s="888"/>
    </row>
    <row r="410" spans="1:26" x14ac:dyDescent="0.2">
      <c r="A410" s="894" t="s">
        <v>298</v>
      </c>
      <c r="B410" s="898"/>
      <c r="C410" s="891">
        <f t="shared" ref="C410:N410" si="167">+C153</f>
        <v>0</v>
      </c>
      <c r="D410" s="891">
        <f t="shared" si="167"/>
        <v>0</v>
      </c>
      <c r="E410" s="891">
        <f t="shared" si="167"/>
        <v>0</v>
      </c>
      <c r="F410" s="891">
        <f t="shared" si="167"/>
        <v>0</v>
      </c>
      <c r="G410" s="891">
        <f t="shared" si="167"/>
        <v>0</v>
      </c>
      <c r="H410" s="891">
        <f t="shared" si="167"/>
        <v>0</v>
      </c>
      <c r="I410" s="891">
        <f t="shared" si="167"/>
        <v>0</v>
      </c>
      <c r="J410" s="891">
        <f t="shared" si="167"/>
        <v>0</v>
      </c>
      <c r="K410" s="891">
        <f t="shared" si="167"/>
        <v>0</v>
      </c>
      <c r="L410" s="891">
        <f t="shared" si="167"/>
        <v>0</v>
      </c>
      <c r="M410" s="891">
        <f t="shared" si="167"/>
        <v>0</v>
      </c>
      <c r="N410" s="891">
        <f t="shared" si="167"/>
        <v>0</v>
      </c>
      <c r="O410" s="972">
        <f>SUM(C410:N410)</f>
        <v>0</v>
      </c>
      <c r="P410" s="972"/>
      <c r="Q410" s="885"/>
      <c r="R410" s="969"/>
      <c r="S410" s="885"/>
      <c r="T410" s="972"/>
      <c r="U410" s="943">
        <f>C410+D410+E410</f>
        <v>0</v>
      </c>
      <c r="V410" s="943">
        <f>F410+G410+H410</f>
        <v>0</v>
      </c>
      <c r="W410" s="943">
        <f>I410+J410+K410</f>
        <v>0</v>
      </c>
      <c r="X410" s="943">
        <f>L410+M410+N410</f>
        <v>0</v>
      </c>
      <c r="Y410" s="891">
        <f>SUM(U410:X410)</f>
        <v>0</v>
      </c>
      <c r="Z410" s="888"/>
    </row>
    <row r="411" spans="1:26" ht="3.95" customHeight="1" x14ac:dyDescent="0.2">
      <c r="A411" s="897"/>
      <c r="B411" s="898"/>
      <c r="C411" s="904"/>
      <c r="D411" s="904"/>
      <c r="E411" s="904"/>
      <c r="F411" s="904"/>
      <c r="G411" s="904"/>
      <c r="H411" s="904"/>
      <c r="I411" s="904"/>
      <c r="J411" s="904"/>
      <c r="K411" s="904"/>
      <c r="L411" s="904"/>
      <c r="M411" s="904"/>
      <c r="N411" s="904"/>
      <c r="O411" s="902"/>
      <c r="P411" s="902"/>
      <c r="Q411" s="885"/>
      <c r="R411" s="969"/>
      <c r="S411" s="885"/>
      <c r="T411" s="902"/>
      <c r="U411" s="902"/>
      <c r="V411" s="902"/>
      <c r="W411" s="902"/>
      <c r="X411" s="902"/>
      <c r="Y411" s="904"/>
      <c r="Z411" s="888"/>
    </row>
    <row r="412" spans="1:26" x14ac:dyDescent="0.2">
      <c r="A412" s="897" t="s">
        <v>299</v>
      </c>
      <c r="B412" s="898"/>
      <c r="C412" s="945">
        <f t="shared" ref="C412:O412" si="168">SUM(C407:C410)</f>
        <v>-2167</v>
      </c>
      <c r="D412" s="945">
        <f t="shared" si="168"/>
        <v>-2185</v>
      </c>
      <c r="E412" s="945">
        <f t="shared" si="168"/>
        <v>-2144</v>
      </c>
      <c r="F412" s="945">
        <f t="shared" si="168"/>
        <v>-2122</v>
      </c>
      <c r="G412" s="945">
        <f t="shared" si="168"/>
        <v>-2152</v>
      </c>
      <c r="H412" s="945">
        <f t="shared" si="168"/>
        <v>-2174</v>
      </c>
      <c r="I412" s="945">
        <f t="shared" si="168"/>
        <v>-2814</v>
      </c>
      <c r="J412" s="945">
        <f t="shared" si="168"/>
        <v>-2833</v>
      </c>
      <c r="K412" s="945">
        <f t="shared" si="168"/>
        <v>-2823</v>
      </c>
      <c r="L412" s="945">
        <f t="shared" si="168"/>
        <v>-2819</v>
      </c>
      <c r="M412" s="945">
        <f t="shared" si="168"/>
        <v>-2791</v>
      </c>
      <c r="N412" s="945">
        <f t="shared" si="168"/>
        <v>-2871</v>
      </c>
      <c r="O412" s="945">
        <f t="shared" si="168"/>
        <v>-29895</v>
      </c>
      <c r="P412" s="945"/>
      <c r="Q412" s="885"/>
      <c r="R412" s="969"/>
      <c r="S412" s="885"/>
      <c r="T412" s="945"/>
      <c r="U412" s="945">
        <f>SUM(U407:U410)</f>
        <v>-6496</v>
      </c>
      <c r="V412" s="945">
        <f>SUM(V407:V410)</f>
        <v>-6448</v>
      </c>
      <c r="W412" s="945">
        <f>SUM(W407:W410)</f>
        <v>-8470</v>
      </c>
      <c r="X412" s="945">
        <f>SUM(X407:X410)</f>
        <v>-8481</v>
      </c>
      <c r="Y412" s="945">
        <f>SUM(Y407:Y410)</f>
        <v>-29895</v>
      </c>
      <c r="Z412" s="888"/>
    </row>
    <row r="413" spans="1:26" ht="6" customHeight="1" x14ac:dyDescent="0.2">
      <c r="A413" s="897"/>
      <c r="B413" s="898"/>
      <c r="C413" s="904"/>
      <c r="D413" s="904"/>
      <c r="E413" s="904"/>
      <c r="F413" s="904"/>
      <c r="G413" s="904"/>
      <c r="H413" s="904"/>
      <c r="I413" s="904"/>
      <c r="J413" s="904"/>
      <c r="K413" s="904"/>
      <c r="L413" s="904"/>
      <c r="M413" s="904"/>
      <c r="N413" s="904"/>
      <c r="O413" s="902"/>
      <c r="P413" s="902"/>
      <c r="Q413" s="885"/>
      <c r="R413" s="969"/>
      <c r="S413" s="885"/>
      <c r="T413" s="902"/>
      <c r="U413" s="902"/>
      <c r="V413" s="902"/>
      <c r="W413" s="902"/>
      <c r="X413" s="902"/>
      <c r="Y413" s="904"/>
      <c r="Z413" s="888"/>
    </row>
    <row r="414" spans="1:26" x14ac:dyDescent="0.2">
      <c r="A414" s="897" t="s">
        <v>300</v>
      </c>
      <c r="B414" s="898"/>
      <c r="C414" s="904"/>
      <c r="D414" s="904"/>
      <c r="E414" s="904"/>
      <c r="F414" s="904"/>
      <c r="G414" s="904"/>
      <c r="H414" s="904"/>
      <c r="I414" s="904"/>
      <c r="J414" s="904"/>
      <c r="K414" s="904"/>
      <c r="L414" s="904"/>
      <c r="M414" s="904"/>
      <c r="N414" s="904"/>
      <c r="O414" s="902"/>
      <c r="P414" s="902"/>
      <c r="Q414" s="885"/>
      <c r="R414" s="969"/>
      <c r="S414" s="885"/>
      <c r="T414" s="902"/>
      <c r="U414" s="902"/>
      <c r="V414" s="902"/>
      <c r="W414" s="902"/>
      <c r="X414" s="902"/>
      <c r="Y414" s="904"/>
      <c r="Z414" s="888"/>
    </row>
    <row r="415" spans="1:26" x14ac:dyDescent="0.2">
      <c r="A415" s="894" t="s">
        <v>258</v>
      </c>
      <c r="B415" s="898"/>
      <c r="C415" s="904">
        <f t="shared" ref="C415:N415" si="169">+C182</f>
        <v>0</v>
      </c>
      <c r="D415" s="904">
        <f t="shared" si="169"/>
        <v>0</v>
      </c>
      <c r="E415" s="904">
        <f t="shared" si="169"/>
        <v>0</v>
      </c>
      <c r="F415" s="904">
        <f t="shared" si="169"/>
        <v>0</v>
      </c>
      <c r="G415" s="904">
        <f t="shared" si="169"/>
        <v>0</v>
      </c>
      <c r="H415" s="904">
        <f t="shared" si="169"/>
        <v>0</v>
      </c>
      <c r="I415" s="904">
        <f t="shared" si="169"/>
        <v>0</v>
      </c>
      <c r="J415" s="904">
        <f t="shared" si="169"/>
        <v>0</v>
      </c>
      <c r="K415" s="904">
        <f t="shared" si="169"/>
        <v>0</v>
      </c>
      <c r="L415" s="904">
        <f t="shared" si="169"/>
        <v>0</v>
      </c>
      <c r="M415" s="904">
        <f t="shared" si="169"/>
        <v>0</v>
      </c>
      <c r="N415" s="904">
        <f t="shared" si="169"/>
        <v>0</v>
      </c>
      <c r="O415" s="971">
        <f t="shared" ref="O415:O422" si="170">SUM(C415:N415)</f>
        <v>0</v>
      </c>
      <c r="P415" s="971"/>
      <c r="Q415" s="885"/>
      <c r="R415" s="969"/>
      <c r="S415" s="885"/>
      <c r="T415" s="971"/>
      <c r="U415" s="902">
        <f t="shared" ref="U415:U422" si="171">C415+D415+E415</f>
        <v>0</v>
      </c>
      <c r="V415" s="902">
        <f t="shared" ref="V415:V422" si="172">F415+G415+H415</f>
        <v>0</v>
      </c>
      <c r="W415" s="902">
        <f t="shared" ref="W415:W422" si="173">I415+J415+K415</f>
        <v>0</v>
      </c>
      <c r="X415" s="902">
        <f t="shared" ref="X415:X422" si="174">L415+M415+N415</f>
        <v>0</v>
      </c>
      <c r="Y415" s="904">
        <f t="shared" ref="Y415:Y422" si="175">SUM(U415:X415)</f>
        <v>0</v>
      </c>
      <c r="Z415" s="888"/>
    </row>
    <row r="416" spans="1:26" x14ac:dyDescent="0.2">
      <c r="A416" s="894" t="s">
        <v>259</v>
      </c>
      <c r="B416" s="898"/>
      <c r="C416" s="904">
        <f t="shared" ref="C416:N416" si="176">+C209</f>
        <v>-1049</v>
      </c>
      <c r="D416" s="904">
        <f t="shared" si="176"/>
        <v>-1059</v>
      </c>
      <c r="E416" s="904">
        <f t="shared" si="176"/>
        <v>-1066</v>
      </c>
      <c r="F416" s="904">
        <f t="shared" si="176"/>
        <v>-1055</v>
      </c>
      <c r="G416" s="904">
        <f t="shared" si="176"/>
        <v>-1054</v>
      </c>
      <c r="H416" s="904">
        <f t="shared" si="176"/>
        <v>-1066</v>
      </c>
      <c r="I416" s="904">
        <f t="shared" si="176"/>
        <v>-1057</v>
      </c>
      <c r="J416" s="904">
        <f t="shared" si="176"/>
        <v>-1054</v>
      </c>
      <c r="K416" s="904">
        <f t="shared" si="176"/>
        <v>-1063</v>
      </c>
      <c r="L416" s="904">
        <f t="shared" si="176"/>
        <v>-1056</v>
      </c>
      <c r="M416" s="904">
        <f t="shared" si="176"/>
        <v>-1054</v>
      </c>
      <c r="N416" s="904">
        <f t="shared" si="176"/>
        <v>-1057</v>
      </c>
      <c r="O416" s="971">
        <f t="shared" si="170"/>
        <v>-12690</v>
      </c>
      <c r="P416" s="971"/>
      <c r="Q416" s="885"/>
      <c r="R416" s="969"/>
      <c r="S416" s="885"/>
      <c r="T416" s="971"/>
      <c r="U416" s="902">
        <f t="shared" si="171"/>
        <v>-3174</v>
      </c>
      <c r="V416" s="902">
        <f t="shared" si="172"/>
        <v>-3175</v>
      </c>
      <c r="W416" s="902">
        <f t="shared" si="173"/>
        <v>-3174</v>
      </c>
      <c r="X416" s="902">
        <f t="shared" si="174"/>
        <v>-3167</v>
      </c>
      <c r="Y416" s="904">
        <f t="shared" si="175"/>
        <v>-12690</v>
      </c>
      <c r="Z416" s="888"/>
    </row>
    <row r="417" spans="1:26" x14ac:dyDescent="0.2">
      <c r="A417" s="894" t="s">
        <v>263</v>
      </c>
      <c r="B417" s="898"/>
      <c r="C417" s="904">
        <f>+C223</f>
        <v>-1800</v>
      </c>
      <c r="D417" s="904">
        <f t="shared" ref="D417:N417" si="177">+D223</f>
        <v>-1803</v>
      </c>
      <c r="E417" s="904">
        <f t="shared" si="177"/>
        <v>-1803</v>
      </c>
      <c r="F417" s="904">
        <f t="shared" si="177"/>
        <v>-1803</v>
      </c>
      <c r="G417" s="904">
        <f t="shared" si="177"/>
        <v>-1803</v>
      </c>
      <c r="H417" s="904">
        <f t="shared" si="177"/>
        <v>-1805</v>
      </c>
      <c r="I417" s="904">
        <f t="shared" si="177"/>
        <v>-1809</v>
      </c>
      <c r="J417" s="904">
        <f t="shared" si="177"/>
        <v>-1809</v>
      </c>
      <c r="K417" s="904">
        <f t="shared" si="177"/>
        <v>-1828</v>
      </c>
      <c r="L417" s="904">
        <f t="shared" si="177"/>
        <v>-1828</v>
      </c>
      <c r="M417" s="904">
        <f t="shared" si="177"/>
        <v>-1831</v>
      </c>
      <c r="N417" s="904">
        <f t="shared" si="177"/>
        <v>-1835</v>
      </c>
      <c r="O417" s="971">
        <f t="shared" si="170"/>
        <v>-21757</v>
      </c>
      <c r="P417" s="971"/>
      <c r="Q417" s="885"/>
      <c r="R417" s="969"/>
      <c r="S417" s="885"/>
      <c r="T417" s="971"/>
      <c r="U417" s="902">
        <f t="shared" si="171"/>
        <v>-5406</v>
      </c>
      <c r="V417" s="902">
        <f t="shared" si="172"/>
        <v>-5411</v>
      </c>
      <c r="W417" s="902">
        <f t="shared" si="173"/>
        <v>-5446</v>
      </c>
      <c r="X417" s="902">
        <f t="shared" si="174"/>
        <v>-5494</v>
      </c>
      <c r="Y417" s="904">
        <f t="shared" si="175"/>
        <v>-21757</v>
      </c>
      <c r="Z417" s="888"/>
    </row>
    <row r="418" spans="1:26" x14ac:dyDescent="0.2">
      <c r="A418" s="894" t="s">
        <v>301</v>
      </c>
      <c r="B418" s="898"/>
      <c r="C418" s="904">
        <f t="shared" ref="C418:N418" si="178">+C225</f>
        <v>-722</v>
      </c>
      <c r="D418" s="904">
        <f t="shared" si="178"/>
        <v>-722</v>
      </c>
      <c r="E418" s="904">
        <f t="shared" si="178"/>
        <v>-722</v>
      </c>
      <c r="F418" s="904">
        <f t="shared" si="178"/>
        <v>-722</v>
      </c>
      <c r="G418" s="904">
        <f t="shared" si="178"/>
        <v>-722</v>
      </c>
      <c r="H418" s="904">
        <f t="shared" si="178"/>
        <v>-722</v>
      </c>
      <c r="I418" s="904">
        <f t="shared" si="178"/>
        <v>-722</v>
      </c>
      <c r="J418" s="904">
        <f t="shared" si="178"/>
        <v>-722</v>
      </c>
      <c r="K418" s="904">
        <f t="shared" si="178"/>
        <v>-722</v>
      </c>
      <c r="L418" s="904">
        <f t="shared" si="178"/>
        <v>-722</v>
      </c>
      <c r="M418" s="904">
        <f t="shared" si="178"/>
        <v>-722</v>
      </c>
      <c r="N418" s="904">
        <f t="shared" si="178"/>
        <v>-722</v>
      </c>
      <c r="O418" s="971">
        <f t="shared" si="170"/>
        <v>-8664</v>
      </c>
      <c r="P418" s="971"/>
      <c r="Q418" s="885"/>
      <c r="R418" s="969"/>
      <c r="S418" s="885"/>
      <c r="T418" s="971"/>
      <c r="U418" s="902">
        <f t="shared" si="171"/>
        <v>-2166</v>
      </c>
      <c r="V418" s="902">
        <f t="shared" si="172"/>
        <v>-2166</v>
      </c>
      <c r="W418" s="902">
        <f t="shared" si="173"/>
        <v>-2166</v>
      </c>
      <c r="X418" s="902">
        <f t="shared" si="174"/>
        <v>-2166</v>
      </c>
      <c r="Y418" s="904">
        <f t="shared" si="175"/>
        <v>-8664</v>
      </c>
      <c r="Z418" s="888"/>
    </row>
    <row r="419" spans="1:26" x14ac:dyDescent="0.2">
      <c r="A419" s="884" t="s">
        <v>189</v>
      </c>
      <c r="B419" s="898"/>
      <c r="C419" s="904">
        <f t="shared" ref="C419:N419" si="179">+C230</f>
        <v>-6</v>
      </c>
      <c r="D419" s="904">
        <f t="shared" si="179"/>
        <v>-12</v>
      </c>
      <c r="E419" s="904">
        <f t="shared" si="179"/>
        <v>-6</v>
      </c>
      <c r="F419" s="904">
        <f t="shared" si="179"/>
        <v>-6</v>
      </c>
      <c r="G419" s="904">
        <f t="shared" si="179"/>
        <v>-6</v>
      </c>
      <c r="H419" s="904">
        <f t="shared" si="179"/>
        <v>-5</v>
      </c>
      <c r="I419" s="904">
        <f t="shared" si="179"/>
        <v>-6</v>
      </c>
      <c r="J419" s="904">
        <f t="shared" si="179"/>
        <v>-6</v>
      </c>
      <c r="K419" s="904">
        <f t="shared" si="179"/>
        <v>-6</v>
      </c>
      <c r="L419" s="904">
        <f t="shared" si="179"/>
        <v>-6</v>
      </c>
      <c r="M419" s="904">
        <f t="shared" si="179"/>
        <v>-6</v>
      </c>
      <c r="N419" s="904">
        <f t="shared" si="179"/>
        <v>-5</v>
      </c>
      <c r="O419" s="971">
        <f t="shared" si="170"/>
        <v>-76</v>
      </c>
      <c r="P419" s="971"/>
      <c r="Q419" s="885"/>
      <c r="R419" s="969"/>
      <c r="S419" s="885"/>
      <c r="T419" s="971"/>
      <c r="U419" s="902">
        <f t="shared" si="171"/>
        <v>-24</v>
      </c>
      <c r="V419" s="902">
        <f t="shared" si="172"/>
        <v>-17</v>
      </c>
      <c r="W419" s="902">
        <f t="shared" si="173"/>
        <v>-18</v>
      </c>
      <c r="X419" s="902">
        <f t="shared" si="174"/>
        <v>-17</v>
      </c>
      <c r="Y419" s="904">
        <f t="shared" si="175"/>
        <v>-76</v>
      </c>
      <c r="Z419" s="888"/>
    </row>
    <row r="420" spans="1:26" x14ac:dyDescent="0.2">
      <c r="A420" s="884" t="s">
        <v>188</v>
      </c>
      <c r="B420" s="898"/>
      <c r="C420" s="904">
        <f t="shared" ref="C420:N420" si="180">+C229</f>
        <v>0</v>
      </c>
      <c r="D420" s="904">
        <f t="shared" si="180"/>
        <v>0</v>
      </c>
      <c r="E420" s="904">
        <f t="shared" si="180"/>
        <v>0</v>
      </c>
      <c r="F420" s="904">
        <f t="shared" si="180"/>
        <v>0</v>
      </c>
      <c r="G420" s="904">
        <f t="shared" si="180"/>
        <v>0</v>
      </c>
      <c r="H420" s="904">
        <f t="shared" si="180"/>
        <v>0</v>
      </c>
      <c r="I420" s="904">
        <f t="shared" si="180"/>
        <v>0</v>
      </c>
      <c r="J420" s="904">
        <f t="shared" si="180"/>
        <v>0</v>
      </c>
      <c r="K420" s="904">
        <f t="shared" si="180"/>
        <v>0</v>
      </c>
      <c r="L420" s="904">
        <f t="shared" si="180"/>
        <v>0</v>
      </c>
      <c r="M420" s="904">
        <f t="shared" si="180"/>
        <v>0</v>
      </c>
      <c r="N420" s="904">
        <f t="shared" si="180"/>
        <v>0</v>
      </c>
      <c r="O420" s="971">
        <f t="shared" si="170"/>
        <v>0</v>
      </c>
      <c r="P420" s="971"/>
      <c r="Q420" s="885"/>
      <c r="R420" s="969"/>
      <c r="S420" s="885"/>
      <c r="T420" s="971"/>
      <c r="U420" s="902">
        <f t="shared" si="171"/>
        <v>0</v>
      </c>
      <c r="V420" s="902">
        <f t="shared" si="172"/>
        <v>0</v>
      </c>
      <c r="W420" s="902">
        <f t="shared" si="173"/>
        <v>0</v>
      </c>
      <c r="X420" s="902">
        <f t="shared" si="174"/>
        <v>0</v>
      </c>
      <c r="Y420" s="904">
        <f t="shared" si="175"/>
        <v>0</v>
      </c>
      <c r="Z420" s="888"/>
    </row>
    <row r="421" spans="1:26" x14ac:dyDescent="0.2">
      <c r="A421" s="884" t="s">
        <v>302</v>
      </c>
      <c r="B421" s="898"/>
      <c r="C421" s="904">
        <f>+C226+C227+C228</f>
        <v>-103</v>
      </c>
      <c r="D421" s="904">
        <f t="shared" ref="D421:N421" si="181">+D226+D227+D228</f>
        <v>-103</v>
      </c>
      <c r="E421" s="904">
        <f t="shared" si="181"/>
        <v>-103</v>
      </c>
      <c r="F421" s="904">
        <f t="shared" si="181"/>
        <v>-103</v>
      </c>
      <c r="G421" s="904">
        <f t="shared" si="181"/>
        <v>-103</v>
      </c>
      <c r="H421" s="904">
        <f t="shared" si="181"/>
        <v>-103</v>
      </c>
      <c r="I421" s="904">
        <f t="shared" si="181"/>
        <v>-103</v>
      </c>
      <c r="J421" s="904">
        <f t="shared" si="181"/>
        <v>-103</v>
      </c>
      <c r="K421" s="904">
        <f t="shared" si="181"/>
        <v>-103</v>
      </c>
      <c r="L421" s="904">
        <f t="shared" si="181"/>
        <v>-103</v>
      </c>
      <c r="M421" s="904">
        <f t="shared" si="181"/>
        <v>-103</v>
      </c>
      <c r="N421" s="904">
        <f t="shared" si="181"/>
        <v>-103</v>
      </c>
      <c r="O421" s="971">
        <f t="shared" si="170"/>
        <v>-1236</v>
      </c>
      <c r="P421" s="971"/>
      <c r="Q421" s="885"/>
      <c r="R421" s="969"/>
      <c r="S421" s="885"/>
      <c r="T421" s="971"/>
      <c r="U421" s="902">
        <f t="shared" si="171"/>
        <v>-309</v>
      </c>
      <c r="V421" s="902">
        <f t="shared" si="172"/>
        <v>-309</v>
      </c>
      <c r="W421" s="902">
        <f t="shared" si="173"/>
        <v>-309</v>
      </c>
      <c r="X421" s="902">
        <f t="shared" si="174"/>
        <v>-309</v>
      </c>
      <c r="Y421" s="904">
        <f t="shared" si="175"/>
        <v>-1236</v>
      </c>
      <c r="Z421" s="888"/>
    </row>
    <row r="422" spans="1:26" x14ac:dyDescent="0.2">
      <c r="A422" s="894" t="s">
        <v>268</v>
      </c>
      <c r="B422" s="898"/>
      <c r="C422" s="891">
        <f t="shared" ref="C422:N422" si="182">SUM(C233:C252)</f>
        <v>96</v>
      </c>
      <c r="D422" s="891">
        <f t="shared" si="182"/>
        <v>167</v>
      </c>
      <c r="E422" s="891">
        <f t="shared" si="182"/>
        <v>135</v>
      </c>
      <c r="F422" s="891">
        <f t="shared" si="182"/>
        <v>259</v>
      </c>
      <c r="G422" s="891">
        <f t="shared" si="182"/>
        <v>398</v>
      </c>
      <c r="H422" s="891">
        <f t="shared" si="182"/>
        <v>473</v>
      </c>
      <c r="I422" s="891">
        <f t="shared" si="182"/>
        <v>491</v>
      </c>
      <c r="J422" s="891">
        <f t="shared" si="182"/>
        <v>488</v>
      </c>
      <c r="K422" s="891">
        <f t="shared" si="182"/>
        <v>464</v>
      </c>
      <c r="L422" s="891">
        <f t="shared" si="182"/>
        <v>440</v>
      </c>
      <c r="M422" s="891">
        <f t="shared" si="182"/>
        <v>489</v>
      </c>
      <c r="N422" s="891">
        <f t="shared" si="182"/>
        <v>488</v>
      </c>
      <c r="O422" s="972">
        <f t="shared" si="170"/>
        <v>4388</v>
      </c>
      <c r="P422" s="972"/>
      <c r="Q422" s="885"/>
      <c r="R422" s="969"/>
      <c r="S422" s="885"/>
      <c r="T422" s="972"/>
      <c r="U422" s="943">
        <f t="shared" si="171"/>
        <v>398</v>
      </c>
      <c r="V422" s="943">
        <f t="shared" si="172"/>
        <v>1130</v>
      </c>
      <c r="W422" s="943">
        <f t="shared" si="173"/>
        <v>1443</v>
      </c>
      <c r="X422" s="943">
        <f t="shared" si="174"/>
        <v>1417</v>
      </c>
      <c r="Y422" s="891">
        <f t="shared" si="175"/>
        <v>4388</v>
      </c>
      <c r="Z422" s="888"/>
    </row>
    <row r="423" spans="1:26" ht="3.95" customHeight="1" x14ac:dyDescent="0.2">
      <c r="A423" s="930"/>
      <c r="B423" s="898"/>
      <c r="C423" s="904"/>
      <c r="D423" s="904"/>
      <c r="E423" s="904"/>
      <c r="F423" s="904"/>
      <c r="G423" s="904"/>
      <c r="H423" s="904"/>
      <c r="I423" s="904"/>
      <c r="J423" s="904"/>
      <c r="K423" s="904"/>
      <c r="L423" s="904"/>
      <c r="M423" s="904"/>
      <c r="N423" s="904"/>
      <c r="O423" s="902"/>
      <c r="P423" s="902"/>
      <c r="Q423" s="885"/>
      <c r="R423" s="969"/>
      <c r="S423" s="885"/>
      <c r="T423" s="902"/>
      <c r="U423" s="902"/>
      <c r="V423" s="902"/>
      <c r="W423" s="902"/>
      <c r="X423" s="902"/>
      <c r="Y423" s="904"/>
      <c r="Z423" s="888"/>
    </row>
    <row r="424" spans="1:26" x14ac:dyDescent="0.2">
      <c r="A424" s="897" t="s">
        <v>303</v>
      </c>
      <c r="B424" s="898"/>
      <c r="C424" s="945">
        <f t="shared" ref="C424:O424" si="183">SUM(C415:C422)</f>
        <v>-3584</v>
      </c>
      <c r="D424" s="945">
        <f t="shared" si="183"/>
        <v>-3532</v>
      </c>
      <c r="E424" s="945">
        <f t="shared" si="183"/>
        <v>-3565</v>
      </c>
      <c r="F424" s="945">
        <f t="shared" si="183"/>
        <v>-3430</v>
      </c>
      <c r="G424" s="945">
        <f t="shared" si="183"/>
        <v>-3290</v>
      </c>
      <c r="H424" s="945">
        <f t="shared" si="183"/>
        <v>-3228</v>
      </c>
      <c r="I424" s="945">
        <f t="shared" si="183"/>
        <v>-3206</v>
      </c>
      <c r="J424" s="945">
        <f t="shared" si="183"/>
        <v>-3206</v>
      </c>
      <c r="K424" s="945">
        <f t="shared" si="183"/>
        <v>-3258</v>
      </c>
      <c r="L424" s="945">
        <f t="shared" si="183"/>
        <v>-3275</v>
      </c>
      <c r="M424" s="945">
        <f t="shared" si="183"/>
        <v>-3227</v>
      </c>
      <c r="N424" s="945">
        <f t="shared" si="183"/>
        <v>-3234</v>
      </c>
      <c r="O424" s="945">
        <f t="shared" si="183"/>
        <v>-40035</v>
      </c>
      <c r="P424" s="945"/>
      <c r="Q424" s="885"/>
      <c r="R424" s="969"/>
      <c r="S424" s="885"/>
      <c r="T424" s="945"/>
      <c r="U424" s="945">
        <f>SUM(U415:U422)</f>
        <v>-10681</v>
      </c>
      <c r="V424" s="945">
        <f>SUM(V415:V422)</f>
        <v>-9948</v>
      </c>
      <c r="W424" s="945">
        <f>SUM(W415:W422)</f>
        <v>-9670</v>
      </c>
      <c r="X424" s="945">
        <f>SUM(X415:X422)</f>
        <v>-9736</v>
      </c>
      <c r="Y424" s="945">
        <f>SUM(Y415:Y422)</f>
        <v>-40035</v>
      </c>
      <c r="Z424" s="888"/>
    </row>
    <row r="425" spans="1:26" ht="6" customHeight="1" x14ac:dyDescent="0.2">
      <c r="A425" s="913"/>
      <c r="B425" s="898"/>
      <c r="C425" s="904"/>
      <c r="D425" s="904"/>
      <c r="E425" s="904"/>
      <c r="F425" s="904"/>
      <c r="G425" s="904"/>
      <c r="H425" s="904"/>
      <c r="I425" s="904"/>
      <c r="J425" s="904"/>
      <c r="K425" s="904"/>
      <c r="L425" s="904"/>
      <c r="M425" s="904"/>
      <c r="N425" s="904"/>
      <c r="O425" s="902"/>
      <c r="P425" s="902"/>
      <c r="Q425" s="885"/>
      <c r="R425" s="969"/>
      <c r="S425" s="885"/>
      <c r="T425" s="902"/>
      <c r="U425" s="902"/>
      <c r="V425" s="902"/>
      <c r="W425" s="902"/>
      <c r="X425" s="902"/>
      <c r="Y425" s="904"/>
      <c r="Z425" s="888"/>
    </row>
    <row r="426" spans="1:26" x14ac:dyDescent="0.2">
      <c r="A426" s="897" t="s">
        <v>304</v>
      </c>
      <c r="B426" s="898"/>
      <c r="C426" s="904"/>
      <c r="D426" s="904"/>
      <c r="E426" s="904"/>
      <c r="F426" s="904"/>
      <c r="G426" s="904"/>
      <c r="H426" s="904"/>
      <c r="I426" s="904"/>
      <c r="J426" s="904"/>
      <c r="K426" s="904"/>
      <c r="L426" s="904"/>
      <c r="M426" s="904"/>
      <c r="N426" s="904"/>
      <c r="O426" s="902"/>
      <c r="P426" s="902"/>
      <c r="Q426" s="885"/>
      <c r="R426" s="969"/>
      <c r="S426" s="885"/>
      <c r="T426" s="902"/>
      <c r="U426" s="902"/>
      <c r="V426" s="902"/>
      <c r="W426" s="902"/>
      <c r="X426" s="902"/>
      <c r="Y426" s="904"/>
      <c r="Z426" s="888"/>
    </row>
    <row r="427" spans="1:26" x14ac:dyDescent="0.2">
      <c r="A427" s="894" t="s">
        <v>258</v>
      </c>
      <c r="B427" s="898"/>
      <c r="C427" s="904">
        <f t="shared" ref="C427:N427" si="184">+C262</f>
        <v>0</v>
      </c>
      <c r="D427" s="904">
        <f t="shared" si="184"/>
        <v>0</v>
      </c>
      <c r="E427" s="904">
        <f t="shared" si="184"/>
        <v>0</v>
      </c>
      <c r="F427" s="904">
        <f t="shared" si="184"/>
        <v>0</v>
      </c>
      <c r="G427" s="904">
        <f t="shared" si="184"/>
        <v>0</v>
      </c>
      <c r="H427" s="904">
        <f t="shared" si="184"/>
        <v>0</v>
      </c>
      <c r="I427" s="904">
        <f t="shared" si="184"/>
        <v>0</v>
      </c>
      <c r="J427" s="904">
        <f t="shared" si="184"/>
        <v>0</v>
      </c>
      <c r="K427" s="904">
        <f t="shared" si="184"/>
        <v>0</v>
      </c>
      <c r="L427" s="904">
        <f t="shared" si="184"/>
        <v>0</v>
      </c>
      <c r="M427" s="904">
        <f t="shared" si="184"/>
        <v>0</v>
      </c>
      <c r="N427" s="904">
        <f t="shared" si="184"/>
        <v>0</v>
      </c>
      <c r="O427" s="971">
        <f>SUM(C427:N427)</f>
        <v>0</v>
      </c>
      <c r="P427" s="971"/>
      <c r="Q427" s="885"/>
      <c r="R427" s="969"/>
      <c r="S427" s="885"/>
      <c r="T427" s="971"/>
      <c r="U427" s="902">
        <f>C427+D427+E427</f>
        <v>0</v>
      </c>
      <c r="V427" s="902">
        <f>F427+G427+H427</f>
        <v>0</v>
      </c>
      <c r="W427" s="902">
        <f>I427+J427+K427</f>
        <v>0</v>
      </c>
      <c r="X427" s="902">
        <f>L427+M427+N427</f>
        <v>0</v>
      </c>
      <c r="Y427" s="904">
        <f>SUM(U427:X427)</f>
        <v>0</v>
      </c>
      <c r="Z427" s="888"/>
    </row>
    <row r="428" spans="1:26" x14ac:dyDescent="0.2">
      <c r="A428" s="894" t="s">
        <v>259</v>
      </c>
      <c r="B428" s="898"/>
      <c r="C428" s="904">
        <f t="shared" ref="C428:N428" si="185">+C277</f>
        <v>-360</v>
      </c>
      <c r="D428" s="904">
        <f t="shared" si="185"/>
        <v>-371</v>
      </c>
      <c r="E428" s="904">
        <f t="shared" si="185"/>
        <v>-365</v>
      </c>
      <c r="F428" s="904">
        <f t="shared" si="185"/>
        <v>-384</v>
      </c>
      <c r="G428" s="904">
        <f t="shared" si="185"/>
        <v>-383</v>
      </c>
      <c r="H428" s="904">
        <f t="shared" si="185"/>
        <v>-410</v>
      </c>
      <c r="I428" s="904">
        <f t="shared" si="185"/>
        <v>-388</v>
      </c>
      <c r="J428" s="904">
        <f t="shared" si="185"/>
        <v>-391</v>
      </c>
      <c r="K428" s="904">
        <f t="shared" si="185"/>
        <v>-386</v>
      </c>
      <c r="L428" s="904">
        <f t="shared" si="185"/>
        <v>-381</v>
      </c>
      <c r="M428" s="904">
        <f t="shared" si="185"/>
        <v>-381</v>
      </c>
      <c r="N428" s="904">
        <f t="shared" si="185"/>
        <v>-394</v>
      </c>
      <c r="O428" s="971">
        <f>SUM(C428:N428)</f>
        <v>-4594</v>
      </c>
      <c r="P428" s="971"/>
      <c r="Q428" s="885"/>
      <c r="R428" s="969"/>
      <c r="S428" s="885"/>
      <c r="T428" s="971"/>
      <c r="U428" s="902">
        <f>C428+D428+E428</f>
        <v>-1096</v>
      </c>
      <c r="V428" s="902">
        <f>F428+G428+H428</f>
        <v>-1177</v>
      </c>
      <c r="W428" s="902">
        <f>I428+J428+K428</f>
        <v>-1165</v>
      </c>
      <c r="X428" s="902">
        <f>L428+M428+N428</f>
        <v>-1156</v>
      </c>
      <c r="Y428" s="904">
        <f>SUM(U428:X428)</f>
        <v>-4594</v>
      </c>
      <c r="Z428" s="888"/>
    </row>
    <row r="429" spans="1:26" x14ac:dyDescent="0.2">
      <c r="A429" s="894" t="s">
        <v>263</v>
      </c>
      <c r="B429" s="898"/>
      <c r="C429" s="904">
        <f>+C264+C279</f>
        <v>0</v>
      </c>
      <c r="D429" s="904">
        <f t="shared" ref="D429:N429" si="186">+D264+D279</f>
        <v>0</v>
      </c>
      <c r="E429" s="904">
        <f t="shared" si="186"/>
        <v>0</v>
      </c>
      <c r="F429" s="904">
        <f t="shared" si="186"/>
        <v>0</v>
      </c>
      <c r="G429" s="904">
        <f t="shared" si="186"/>
        <v>0</v>
      </c>
      <c r="H429" s="904">
        <f t="shared" si="186"/>
        <v>0</v>
      </c>
      <c r="I429" s="904">
        <f t="shared" si="186"/>
        <v>0</v>
      </c>
      <c r="J429" s="904">
        <f t="shared" si="186"/>
        <v>0</v>
      </c>
      <c r="K429" s="904">
        <f t="shared" si="186"/>
        <v>0</v>
      </c>
      <c r="L429" s="904">
        <f t="shared" si="186"/>
        <v>0</v>
      </c>
      <c r="M429" s="904">
        <f t="shared" si="186"/>
        <v>0</v>
      </c>
      <c r="N429" s="904">
        <f t="shared" si="186"/>
        <v>0</v>
      </c>
      <c r="O429" s="971">
        <f>SUM(C429:N429)</f>
        <v>0</v>
      </c>
      <c r="P429" s="971"/>
      <c r="Q429" s="885"/>
      <c r="R429" s="969"/>
      <c r="S429" s="885"/>
      <c r="T429" s="971"/>
      <c r="U429" s="902">
        <f>C429+D429+E429</f>
        <v>0</v>
      </c>
      <c r="V429" s="902">
        <f>F429+G429+H429</f>
        <v>0</v>
      </c>
      <c r="W429" s="902">
        <f>I429+J429+K429</f>
        <v>0</v>
      </c>
      <c r="X429" s="902">
        <f>L429+M429+N429</f>
        <v>0</v>
      </c>
      <c r="Y429" s="904">
        <f>SUM(U429:X429)</f>
        <v>0</v>
      </c>
      <c r="Z429" s="888"/>
    </row>
    <row r="430" spans="1:26" x14ac:dyDescent="0.2">
      <c r="A430" s="894" t="s">
        <v>264</v>
      </c>
      <c r="B430" s="898"/>
      <c r="C430" s="891">
        <f t="shared" ref="C430:N430" si="187">+C281</f>
        <v>-4</v>
      </c>
      <c r="D430" s="891">
        <f t="shared" si="187"/>
        <v>-9</v>
      </c>
      <c r="E430" s="891">
        <f t="shared" si="187"/>
        <v>-4</v>
      </c>
      <c r="F430" s="891">
        <f t="shared" si="187"/>
        <v>-3</v>
      </c>
      <c r="G430" s="891">
        <f t="shared" si="187"/>
        <v>-4</v>
      </c>
      <c r="H430" s="891">
        <f t="shared" si="187"/>
        <v>-4</v>
      </c>
      <c r="I430" s="891">
        <f t="shared" si="187"/>
        <v>-3</v>
      </c>
      <c r="J430" s="891">
        <f t="shared" si="187"/>
        <v>-4</v>
      </c>
      <c r="K430" s="891">
        <f t="shared" si="187"/>
        <v>-4</v>
      </c>
      <c r="L430" s="891">
        <f t="shared" si="187"/>
        <v>-3</v>
      </c>
      <c r="M430" s="891">
        <f t="shared" si="187"/>
        <v>-4</v>
      </c>
      <c r="N430" s="891">
        <f t="shared" si="187"/>
        <v>-3</v>
      </c>
      <c r="O430" s="972">
        <f>SUM(C430:N430)</f>
        <v>-49</v>
      </c>
      <c r="P430" s="972"/>
      <c r="Q430" s="885"/>
      <c r="R430" s="969"/>
      <c r="S430" s="885"/>
      <c r="T430" s="972"/>
      <c r="U430" s="943">
        <f>C430+D430+E430</f>
        <v>-17</v>
      </c>
      <c r="V430" s="943">
        <f>F430+G430+H430</f>
        <v>-11</v>
      </c>
      <c r="W430" s="943">
        <f>I430+J430+K430</f>
        <v>-11</v>
      </c>
      <c r="X430" s="943">
        <f>L430+M430+N430</f>
        <v>-10</v>
      </c>
      <c r="Y430" s="891">
        <f>SUM(U430:X430)</f>
        <v>-49</v>
      </c>
      <c r="Z430" s="888"/>
    </row>
    <row r="431" spans="1:26" ht="3.95" customHeight="1" x14ac:dyDescent="0.2">
      <c r="A431" s="913"/>
      <c r="B431" s="898"/>
      <c r="C431" s="904"/>
      <c r="D431" s="904"/>
      <c r="E431" s="904"/>
      <c r="F431" s="904"/>
      <c r="G431" s="904"/>
      <c r="H431" s="904"/>
      <c r="I431" s="904"/>
      <c r="J431" s="904"/>
      <c r="K431" s="904"/>
      <c r="L431" s="904"/>
      <c r="M431" s="904"/>
      <c r="N431" s="904"/>
      <c r="O431" s="902"/>
      <c r="P431" s="902"/>
      <c r="Q431" s="885"/>
      <c r="R431" s="969"/>
      <c r="S431" s="885"/>
      <c r="T431" s="902"/>
      <c r="U431" s="902"/>
      <c r="V431" s="902"/>
      <c r="W431" s="902"/>
      <c r="X431" s="902"/>
      <c r="Y431" s="904"/>
      <c r="Z431" s="888"/>
    </row>
    <row r="432" spans="1:26" x14ac:dyDescent="0.2">
      <c r="A432" s="897" t="s">
        <v>305</v>
      </c>
      <c r="B432" s="898"/>
      <c r="C432" s="945">
        <f t="shared" ref="C432:O432" si="188">SUM(C427:C430)</f>
        <v>-364</v>
      </c>
      <c r="D432" s="945">
        <f t="shared" si="188"/>
        <v>-380</v>
      </c>
      <c r="E432" s="945">
        <f t="shared" si="188"/>
        <v>-369</v>
      </c>
      <c r="F432" s="945">
        <f t="shared" si="188"/>
        <v>-387</v>
      </c>
      <c r="G432" s="945">
        <f t="shared" si="188"/>
        <v>-387</v>
      </c>
      <c r="H432" s="945">
        <f t="shared" si="188"/>
        <v>-414</v>
      </c>
      <c r="I432" s="945">
        <f t="shared" si="188"/>
        <v>-391</v>
      </c>
      <c r="J432" s="945">
        <f t="shared" si="188"/>
        <v>-395</v>
      </c>
      <c r="K432" s="945">
        <f t="shared" si="188"/>
        <v>-390</v>
      </c>
      <c r="L432" s="945">
        <f t="shared" si="188"/>
        <v>-384</v>
      </c>
      <c r="M432" s="945">
        <f t="shared" si="188"/>
        <v>-385</v>
      </c>
      <c r="N432" s="945">
        <f t="shared" si="188"/>
        <v>-397</v>
      </c>
      <c r="O432" s="945">
        <f t="shared" si="188"/>
        <v>-4643</v>
      </c>
      <c r="P432" s="945"/>
      <c r="Q432" s="885"/>
      <c r="R432" s="969"/>
      <c r="S432" s="885"/>
      <c r="T432" s="945"/>
      <c r="U432" s="945">
        <f>SUM(U427:U430)</f>
        <v>-1113</v>
      </c>
      <c r="V432" s="945">
        <f>SUM(V427:V430)</f>
        <v>-1188</v>
      </c>
      <c r="W432" s="945">
        <f>SUM(W427:W430)</f>
        <v>-1176</v>
      </c>
      <c r="X432" s="945">
        <f>SUM(X427:X430)</f>
        <v>-1166</v>
      </c>
      <c r="Y432" s="945">
        <f>SUM(Y427:Y430)</f>
        <v>-4643</v>
      </c>
      <c r="Z432" s="888"/>
    </row>
    <row r="433" spans="1:26" ht="6" customHeight="1" x14ac:dyDescent="0.2">
      <c r="A433" s="897"/>
      <c r="B433" s="898"/>
      <c r="C433" s="945"/>
      <c r="D433" s="945"/>
      <c r="E433" s="945"/>
      <c r="F433" s="945"/>
      <c r="G433" s="945"/>
      <c r="H433" s="945"/>
      <c r="I433" s="945"/>
      <c r="J433" s="945"/>
      <c r="K433" s="945"/>
      <c r="L433" s="945"/>
      <c r="M433" s="945"/>
      <c r="N433" s="945"/>
      <c r="O433" s="945"/>
      <c r="P433" s="945"/>
      <c r="Q433" s="885"/>
      <c r="R433" s="969"/>
      <c r="S433" s="885"/>
      <c r="T433" s="945"/>
      <c r="U433" s="945"/>
      <c r="V433" s="945"/>
      <c r="W433" s="945"/>
      <c r="X433" s="945"/>
      <c r="Y433" s="945"/>
      <c r="Z433" s="888"/>
    </row>
    <row r="434" spans="1:26" x14ac:dyDescent="0.2">
      <c r="A434" s="897" t="s">
        <v>7</v>
      </c>
      <c r="B434" s="898"/>
      <c r="C434" s="945"/>
      <c r="D434" s="945"/>
      <c r="E434" s="945"/>
      <c r="F434" s="945"/>
      <c r="G434" s="945"/>
      <c r="H434" s="945"/>
      <c r="I434" s="945"/>
      <c r="J434" s="945"/>
      <c r="K434" s="945"/>
      <c r="L434" s="945"/>
      <c r="M434" s="945"/>
      <c r="N434" s="945"/>
      <c r="O434" s="945"/>
      <c r="P434" s="945"/>
      <c r="Q434" s="885"/>
      <c r="R434" s="969"/>
      <c r="S434" s="885"/>
      <c r="T434" s="945"/>
      <c r="U434" s="945"/>
      <c r="V434" s="945"/>
      <c r="W434" s="945"/>
      <c r="X434" s="945"/>
      <c r="Y434" s="945"/>
      <c r="Z434" s="888"/>
    </row>
    <row r="435" spans="1:26" x14ac:dyDescent="0.2">
      <c r="A435" s="894" t="s">
        <v>259</v>
      </c>
      <c r="B435" s="898"/>
      <c r="C435" s="904">
        <f t="shared" ref="C435:N435" si="189">+C292</f>
        <v>-105</v>
      </c>
      <c r="D435" s="904">
        <f t="shared" si="189"/>
        <v>-122</v>
      </c>
      <c r="E435" s="904">
        <f t="shared" si="189"/>
        <v>-108</v>
      </c>
      <c r="F435" s="904">
        <f t="shared" si="189"/>
        <v>-108</v>
      </c>
      <c r="G435" s="904">
        <f t="shared" si="189"/>
        <v>-107</v>
      </c>
      <c r="H435" s="904">
        <f t="shared" si="189"/>
        <v>-108</v>
      </c>
      <c r="I435" s="904">
        <f t="shared" si="189"/>
        <v>-108</v>
      </c>
      <c r="J435" s="904">
        <f t="shared" si="189"/>
        <v>-107</v>
      </c>
      <c r="K435" s="904">
        <f t="shared" si="189"/>
        <v>-108</v>
      </c>
      <c r="L435" s="904">
        <f t="shared" si="189"/>
        <v>-108</v>
      </c>
      <c r="M435" s="904">
        <f t="shared" si="189"/>
        <v>-107</v>
      </c>
      <c r="N435" s="904">
        <f t="shared" si="189"/>
        <v>-107</v>
      </c>
      <c r="O435" s="971">
        <f>SUM(C435:N435)</f>
        <v>-1303</v>
      </c>
      <c r="P435" s="971"/>
      <c r="Q435" s="885"/>
      <c r="R435" s="969"/>
      <c r="S435" s="885"/>
      <c r="T435" s="971"/>
      <c r="U435" s="902">
        <f>C435+D435+E435</f>
        <v>-335</v>
      </c>
      <c r="V435" s="902">
        <f>F435+G435+H435</f>
        <v>-323</v>
      </c>
      <c r="W435" s="902">
        <f>I435+J435+K435</f>
        <v>-323</v>
      </c>
      <c r="X435" s="902">
        <f>L435+M435+N435</f>
        <v>-322</v>
      </c>
      <c r="Y435" s="904">
        <f>SUM(U435:X435)</f>
        <v>-1303</v>
      </c>
      <c r="Z435" s="888"/>
    </row>
    <row r="436" spans="1:26" x14ac:dyDescent="0.2">
      <c r="A436" s="894" t="s">
        <v>263</v>
      </c>
      <c r="B436" s="898"/>
      <c r="C436" s="904">
        <f>+C294</f>
        <v>0</v>
      </c>
      <c r="D436" s="904">
        <f t="shared" ref="D436:N436" si="190">+D294</f>
        <v>0</v>
      </c>
      <c r="E436" s="904">
        <f t="shared" si="190"/>
        <v>0</v>
      </c>
      <c r="F436" s="904">
        <f t="shared" si="190"/>
        <v>0</v>
      </c>
      <c r="G436" s="904">
        <f t="shared" si="190"/>
        <v>0</v>
      </c>
      <c r="H436" s="904">
        <f t="shared" si="190"/>
        <v>0</v>
      </c>
      <c r="I436" s="904">
        <f t="shared" si="190"/>
        <v>0</v>
      </c>
      <c r="J436" s="904">
        <f t="shared" si="190"/>
        <v>0</v>
      </c>
      <c r="K436" s="904">
        <f t="shared" si="190"/>
        <v>0</v>
      </c>
      <c r="L436" s="904">
        <f t="shared" si="190"/>
        <v>0</v>
      </c>
      <c r="M436" s="904">
        <f t="shared" si="190"/>
        <v>0</v>
      </c>
      <c r="N436" s="904">
        <f t="shared" si="190"/>
        <v>0</v>
      </c>
      <c r="O436" s="971">
        <f>SUM(C436:N436)</f>
        <v>0</v>
      </c>
      <c r="P436" s="971"/>
      <c r="Q436" s="885"/>
      <c r="R436" s="969"/>
      <c r="S436" s="885"/>
      <c r="T436" s="971"/>
      <c r="U436" s="902">
        <f>C436+D436+E436</f>
        <v>0</v>
      </c>
      <c r="V436" s="902">
        <f>F436+G436+H436</f>
        <v>0</v>
      </c>
      <c r="W436" s="902">
        <f>I436+J436+K436</f>
        <v>0</v>
      </c>
      <c r="X436" s="902">
        <f>L436+M436+N436</f>
        <v>0</v>
      </c>
      <c r="Y436" s="904">
        <f>SUM(U436:X436)</f>
        <v>0</v>
      </c>
      <c r="Z436" s="888"/>
    </row>
    <row r="437" spans="1:26" x14ac:dyDescent="0.2">
      <c r="A437" s="894" t="s">
        <v>264</v>
      </c>
      <c r="B437" s="898"/>
      <c r="C437" s="891">
        <f t="shared" ref="C437:N437" si="191">+C296</f>
        <v>0</v>
      </c>
      <c r="D437" s="891">
        <f t="shared" si="191"/>
        <v>0</v>
      </c>
      <c r="E437" s="891">
        <f t="shared" si="191"/>
        <v>0</v>
      </c>
      <c r="F437" s="891">
        <f t="shared" si="191"/>
        <v>0</v>
      </c>
      <c r="G437" s="891">
        <f t="shared" si="191"/>
        <v>0</v>
      </c>
      <c r="H437" s="891">
        <f t="shared" si="191"/>
        <v>0</v>
      </c>
      <c r="I437" s="891">
        <f t="shared" si="191"/>
        <v>0</v>
      </c>
      <c r="J437" s="891">
        <f t="shared" si="191"/>
        <v>0</v>
      </c>
      <c r="K437" s="891">
        <f t="shared" si="191"/>
        <v>0</v>
      </c>
      <c r="L437" s="891">
        <f t="shared" si="191"/>
        <v>0</v>
      </c>
      <c r="M437" s="891">
        <f t="shared" si="191"/>
        <v>0</v>
      </c>
      <c r="N437" s="891">
        <f t="shared" si="191"/>
        <v>0</v>
      </c>
      <c r="O437" s="972">
        <f>SUM(C437:N437)</f>
        <v>0</v>
      </c>
      <c r="P437" s="972"/>
      <c r="Q437" s="885"/>
      <c r="R437" s="969"/>
      <c r="S437" s="885"/>
      <c r="T437" s="972"/>
      <c r="U437" s="943">
        <f>C437+D437+E437</f>
        <v>0</v>
      </c>
      <c r="V437" s="943">
        <f>F437+G437+H437</f>
        <v>0</v>
      </c>
      <c r="W437" s="943">
        <f>I437+J437+K437</f>
        <v>0</v>
      </c>
      <c r="X437" s="943">
        <f>L437+M437+N437</f>
        <v>0</v>
      </c>
      <c r="Y437" s="891">
        <f>SUM(U437:X437)</f>
        <v>0</v>
      </c>
      <c r="Z437" s="888"/>
    </row>
    <row r="438" spans="1:26" ht="3.95" customHeight="1" x14ac:dyDescent="0.2">
      <c r="A438" s="897"/>
      <c r="B438" s="898"/>
      <c r="C438" s="945"/>
      <c r="D438" s="945"/>
      <c r="E438" s="945"/>
      <c r="F438" s="945"/>
      <c r="G438" s="945"/>
      <c r="H438" s="945"/>
      <c r="I438" s="945"/>
      <c r="J438" s="945"/>
      <c r="K438" s="945"/>
      <c r="L438" s="945"/>
      <c r="M438" s="945"/>
      <c r="N438" s="945"/>
      <c r="O438" s="945"/>
      <c r="P438" s="945"/>
      <c r="Q438" s="885"/>
      <c r="R438" s="969"/>
      <c r="S438" s="885"/>
      <c r="T438" s="945"/>
      <c r="U438" s="945"/>
      <c r="V438" s="945"/>
      <c r="W438" s="945"/>
      <c r="X438" s="945"/>
      <c r="Y438" s="945"/>
      <c r="Z438" s="888"/>
    </row>
    <row r="439" spans="1:26" x14ac:dyDescent="0.2">
      <c r="A439" s="897" t="s">
        <v>306</v>
      </c>
      <c r="B439" s="898"/>
      <c r="C439" s="945">
        <f t="shared" ref="C439:O439" si="192">SUM(C434:C437)</f>
        <v>-105</v>
      </c>
      <c r="D439" s="945">
        <f t="shared" si="192"/>
        <v>-122</v>
      </c>
      <c r="E439" s="945">
        <f t="shared" si="192"/>
        <v>-108</v>
      </c>
      <c r="F439" s="945">
        <f t="shared" si="192"/>
        <v>-108</v>
      </c>
      <c r="G439" s="945">
        <f t="shared" si="192"/>
        <v>-107</v>
      </c>
      <c r="H439" s="945">
        <f t="shared" si="192"/>
        <v>-108</v>
      </c>
      <c r="I439" s="945">
        <f t="shared" si="192"/>
        <v>-108</v>
      </c>
      <c r="J439" s="945">
        <f t="shared" si="192"/>
        <v>-107</v>
      </c>
      <c r="K439" s="945">
        <f t="shared" si="192"/>
        <v>-108</v>
      </c>
      <c r="L439" s="945">
        <f t="shared" si="192"/>
        <v>-108</v>
      </c>
      <c r="M439" s="945">
        <f t="shared" si="192"/>
        <v>-107</v>
      </c>
      <c r="N439" s="945">
        <f t="shared" si="192"/>
        <v>-107</v>
      </c>
      <c r="O439" s="945">
        <f t="shared" si="192"/>
        <v>-1303</v>
      </c>
      <c r="P439" s="945"/>
      <c r="Q439" s="885"/>
      <c r="R439" s="969"/>
      <c r="S439" s="885"/>
      <c r="T439" s="945"/>
      <c r="U439" s="945">
        <f>SUM(U434:U437)</f>
        <v>-335</v>
      </c>
      <c r="V439" s="945">
        <f>SUM(V434:V437)</f>
        <v>-323</v>
      </c>
      <c r="W439" s="945">
        <f>SUM(W434:W437)</f>
        <v>-323</v>
      </c>
      <c r="X439" s="945">
        <f>SUM(X434:X437)</f>
        <v>-322</v>
      </c>
      <c r="Y439" s="945">
        <f>SUM(Y434:Y437)</f>
        <v>-1303</v>
      </c>
      <c r="Z439" s="888"/>
    </row>
    <row r="440" spans="1:26" ht="6" customHeight="1" x14ac:dyDescent="0.2">
      <c r="A440" s="897"/>
      <c r="B440" s="898"/>
      <c r="C440" s="945"/>
      <c r="D440" s="945"/>
      <c r="E440" s="945"/>
      <c r="F440" s="945"/>
      <c r="G440" s="945"/>
      <c r="H440" s="945"/>
      <c r="I440" s="945"/>
      <c r="J440" s="945"/>
      <c r="K440" s="945"/>
      <c r="L440" s="945"/>
      <c r="M440" s="945"/>
      <c r="N440" s="945"/>
      <c r="O440" s="945"/>
      <c r="P440" s="945"/>
      <c r="Q440" s="885"/>
      <c r="R440" s="969"/>
      <c r="S440" s="885"/>
      <c r="T440" s="945"/>
      <c r="U440" s="945"/>
      <c r="V440" s="945"/>
      <c r="W440" s="945"/>
      <c r="X440" s="945"/>
      <c r="Y440" s="945"/>
      <c r="Z440" s="888"/>
    </row>
    <row r="441" spans="1:26" x14ac:dyDescent="0.2">
      <c r="A441" s="897" t="s">
        <v>8</v>
      </c>
      <c r="B441" s="898"/>
      <c r="C441" s="945"/>
      <c r="D441" s="945"/>
      <c r="E441" s="945"/>
      <c r="F441" s="945"/>
      <c r="G441" s="945"/>
      <c r="H441" s="945"/>
      <c r="I441" s="945"/>
      <c r="J441" s="945"/>
      <c r="K441" s="945"/>
      <c r="L441" s="945"/>
      <c r="M441" s="945"/>
      <c r="N441" s="945"/>
      <c r="O441" s="945"/>
      <c r="P441" s="945"/>
      <c r="Q441" s="885"/>
      <c r="R441" s="969"/>
      <c r="S441" s="885"/>
      <c r="T441" s="945"/>
      <c r="U441" s="945"/>
      <c r="V441" s="945"/>
      <c r="W441" s="945"/>
      <c r="X441" s="945"/>
      <c r="Y441" s="945"/>
      <c r="Z441" s="888"/>
    </row>
    <row r="442" spans="1:26" x14ac:dyDescent="0.2">
      <c r="A442" s="894" t="s">
        <v>259</v>
      </c>
      <c r="B442" s="898"/>
      <c r="C442" s="904">
        <f t="shared" ref="C442:N442" si="193">+C306</f>
        <v>-23</v>
      </c>
      <c r="D442" s="904">
        <f t="shared" si="193"/>
        <v>-23</v>
      </c>
      <c r="E442" s="904">
        <f t="shared" si="193"/>
        <v>-22</v>
      </c>
      <c r="F442" s="904">
        <f t="shared" si="193"/>
        <v>-23</v>
      </c>
      <c r="G442" s="904">
        <f t="shared" si="193"/>
        <v>-23</v>
      </c>
      <c r="H442" s="904">
        <f t="shared" si="193"/>
        <v>-22</v>
      </c>
      <c r="I442" s="904">
        <f t="shared" si="193"/>
        <v>-23</v>
      </c>
      <c r="J442" s="904">
        <f t="shared" si="193"/>
        <v>-23</v>
      </c>
      <c r="K442" s="904">
        <f t="shared" si="193"/>
        <v>-22</v>
      </c>
      <c r="L442" s="904">
        <f t="shared" si="193"/>
        <v>-23</v>
      </c>
      <c r="M442" s="904">
        <f t="shared" si="193"/>
        <v>-23</v>
      </c>
      <c r="N442" s="904">
        <f t="shared" si="193"/>
        <v>-23</v>
      </c>
      <c r="O442" s="971">
        <f>SUM(C442:N442)</f>
        <v>-273</v>
      </c>
      <c r="P442" s="971"/>
      <c r="Q442" s="885"/>
      <c r="R442" s="969"/>
      <c r="S442" s="885"/>
      <c r="T442" s="971"/>
      <c r="U442" s="902">
        <f>C442+D442+E442</f>
        <v>-68</v>
      </c>
      <c r="V442" s="902">
        <f>F442+G442+H442</f>
        <v>-68</v>
      </c>
      <c r="W442" s="902">
        <f>I442+J442+K442</f>
        <v>-68</v>
      </c>
      <c r="X442" s="902">
        <f>L442+M442+N442</f>
        <v>-69</v>
      </c>
      <c r="Y442" s="904">
        <f>SUM(U442:X442)</f>
        <v>-273</v>
      </c>
      <c r="Z442" s="888"/>
    </row>
    <row r="443" spans="1:26" x14ac:dyDescent="0.2">
      <c r="A443" s="894" t="s">
        <v>263</v>
      </c>
      <c r="B443" s="898"/>
      <c r="C443" s="904">
        <f>+C308</f>
        <v>0</v>
      </c>
      <c r="D443" s="904">
        <f t="shared" ref="D443:N443" si="194">+D308</f>
        <v>0</v>
      </c>
      <c r="E443" s="904">
        <f t="shared" si="194"/>
        <v>0</v>
      </c>
      <c r="F443" s="904">
        <f t="shared" si="194"/>
        <v>0</v>
      </c>
      <c r="G443" s="904">
        <f t="shared" si="194"/>
        <v>0</v>
      </c>
      <c r="H443" s="904">
        <f t="shared" si="194"/>
        <v>0</v>
      </c>
      <c r="I443" s="904">
        <f t="shared" si="194"/>
        <v>0</v>
      </c>
      <c r="J443" s="904">
        <f t="shared" si="194"/>
        <v>0</v>
      </c>
      <c r="K443" s="904">
        <f t="shared" si="194"/>
        <v>0</v>
      </c>
      <c r="L443" s="904">
        <f t="shared" si="194"/>
        <v>0</v>
      </c>
      <c r="M443" s="904">
        <f t="shared" si="194"/>
        <v>0</v>
      </c>
      <c r="N443" s="904">
        <f t="shared" si="194"/>
        <v>0</v>
      </c>
      <c r="O443" s="971">
        <f>SUM(C443:N443)</f>
        <v>0</v>
      </c>
      <c r="P443" s="971"/>
      <c r="Q443" s="885"/>
      <c r="R443" s="969"/>
      <c r="S443" s="885"/>
      <c r="T443" s="971"/>
      <c r="U443" s="902">
        <f>C443+D443+E443</f>
        <v>0</v>
      </c>
      <c r="V443" s="902">
        <f>F443+G443+H443</f>
        <v>0</v>
      </c>
      <c r="W443" s="902">
        <f>I443+J443+K443</f>
        <v>0</v>
      </c>
      <c r="X443" s="902">
        <f>L443+M443+N443</f>
        <v>0</v>
      </c>
      <c r="Y443" s="904">
        <f>SUM(U443:X443)</f>
        <v>0</v>
      </c>
      <c r="Z443" s="888"/>
    </row>
    <row r="444" spans="1:26" x14ac:dyDescent="0.2">
      <c r="A444" s="894" t="s">
        <v>264</v>
      </c>
      <c r="B444" s="898"/>
      <c r="C444" s="891">
        <f t="shared" ref="C444:N444" si="195">+C310</f>
        <v>0</v>
      </c>
      <c r="D444" s="891">
        <f t="shared" si="195"/>
        <v>0</v>
      </c>
      <c r="E444" s="891">
        <f t="shared" si="195"/>
        <v>0</v>
      </c>
      <c r="F444" s="891">
        <f t="shared" si="195"/>
        <v>0</v>
      </c>
      <c r="G444" s="891">
        <f t="shared" si="195"/>
        <v>0</v>
      </c>
      <c r="H444" s="891">
        <f t="shared" si="195"/>
        <v>0</v>
      </c>
      <c r="I444" s="891">
        <f t="shared" si="195"/>
        <v>0</v>
      </c>
      <c r="J444" s="891">
        <f t="shared" si="195"/>
        <v>0</v>
      </c>
      <c r="K444" s="891">
        <f t="shared" si="195"/>
        <v>0</v>
      </c>
      <c r="L444" s="891">
        <f t="shared" si="195"/>
        <v>0</v>
      </c>
      <c r="M444" s="891">
        <f t="shared" si="195"/>
        <v>0</v>
      </c>
      <c r="N444" s="891">
        <f t="shared" si="195"/>
        <v>0</v>
      </c>
      <c r="O444" s="972">
        <f>SUM(C444:N444)</f>
        <v>0</v>
      </c>
      <c r="P444" s="972"/>
      <c r="Q444" s="885"/>
      <c r="R444" s="969"/>
      <c r="S444" s="885"/>
      <c r="T444" s="972"/>
      <c r="U444" s="943">
        <f>C444+D444+E444</f>
        <v>0</v>
      </c>
      <c r="V444" s="943">
        <f>F444+G444+H444</f>
        <v>0</v>
      </c>
      <c r="W444" s="943">
        <f>I444+J444+K444</f>
        <v>0</v>
      </c>
      <c r="X444" s="943">
        <f>L444+M444+N444</f>
        <v>0</v>
      </c>
      <c r="Y444" s="891">
        <f>SUM(U444:X444)</f>
        <v>0</v>
      </c>
      <c r="Z444" s="888"/>
    </row>
    <row r="445" spans="1:26" ht="3.95" customHeight="1" x14ac:dyDescent="0.2">
      <c r="A445" s="897"/>
      <c r="B445" s="898"/>
      <c r="C445" s="945"/>
      <c r="D445" s="945"/>
      <c r="E445" s="945"/>
      <c r="F445" s="945"/>
      <c r="G445" s="945"/>
      <c r="H445" s="945"/>
      <c r="I445" s="945"/>
      <c r="J445" s="945"/>
      <c r="K445" s="945"/>
      <c r="L445" s="945"/>
      <c r="M445" s="945"/>
      <c r="N445" s="945"/>
      <c r="O445" s="945"/>
      <c r="P445" s="945"/>
      <c r="Q445" s="885"/>
      <c r="R445" s="969"/>
      <c r="S445" s="885"/>
      <c r="T445" s="945"/>
      <c r="U445" s="945"/>
      <c r="V445" s="945"/>
      <c r="W445" s="945"/>
      <c r="X445" s="945"/>
      <c r="Y445" s="945"/>
      <c r="Z445" s="888"/>
    </row>
    <row r="446" spans="1:26" x14ac:dyDescent="0.2">
      <c r="A446" s="897" t="s">
        <v>307</v>
      </c>
      <c r="B446" s="898"/>
      <c r="C446" s="945">
        <f t="shared" ref="C446:O446" si="196">SUM(C441:C444)</f>
        <v>-23</v>
      </c>
      <c r="D446" s="945">
        <f t="shared" si="196"/>
        <v>-23</v>
      </c>
      <c r="E446" s="945">
        <f t="shared" si="196"/>
        <v>-22</v>
      </c>
      <c r="F446" s="945">
        <f t="shared" si="196"/>
        <v>-23</v>
      </c>
      <c r="G446" s="945">
        <f t="shared" si="196"/>
        <v>-23</v>
      </c>
      <c r="H446" s="945">
        <f t="shared" si="196"/>
        <v>-22</v>
      </c>
      <c r="I446" s="945">
        <f t="shared" si="196"/>
        <v>-23</v>
      </c>
      <c r="J446" s="945">
        <f t="shared" si="196"/>
        <v>-23</v>
      </c>
      <c r="K446" s="945">
        <f t="shared" si="196"/>
        <v>-22</v>
      </c>
      <c r="L446" s="945">
        <f t="shared" si="196"/>
        <v>-23</v>
      </c>
      <c r="M446" s="945">
        <f t="shared" si="196"/>
        <v>-23</v>
      </c>
      <c r="N446" s="945">
        <f t="shared" si="196"/>
        <v>-23</v>
      </c>
      <c r="O446" s="945">
        <f t="shared" si="196"/>
        <v>-273</v>
      </c>
      <c r="P446" s="945"/>
      <c r="Q446" s="885"/>
      <c r="R446" s="969"/>
      <c r="S446" s="885"/>
      <c r="T446" s="945"/>
      <c r="U446" s="945">
        <f>SUM(U441:U444)</f>
        <v>-68</v>
      </c>
      <c r="V446" s="945">
        <f>SUM(V441:V444)</f>
        <v>-68</v>
      </c>
      <c r="W446" s="945">
        <f>SUM(W441:W444)</f>
        <v>-68</v>
      </c>
      <c r="X446" s="945">
        <f>SUM(X441:X444)</f>
        <v>-69</v>
      </c>
      <c r="Y446" s="945">
        <f>SUM(Y441:Y444)</f>
        <v>-273</v>
      </c>
      <c r="Z446" s="888"/>
    </row>
    <row r="447" spans="1:26" ht="6" customHeight="1" x14ac:dyDescent="0.2">
      <c r="A447" s="897"/>
      <c r="B447" s="898"/>
      <c r="C447" s="945"/>
      <c r="D447" s="945"/>
      <c r="E447" s="945"/>
      <c r="F447" s="945"/>
      <c r="G447" s="945"/>
      <c r="H447" s="945"/>
      <c r="I447" s="945"/>
      <c r="J447" s="945"/>
      <c r="K447" s="945"/>
      <c r="L447" s="945"/>
      <c r="M447" s="945"/>
      <c r="N447" s="945"/>
      <c r="O447" s="945"/>
      <c r="P447" s="945"/>
      <c r="Q447" s="885"/>
      <c r="R447" s="969"/>
      <c r="S447" s="885"/>
      <c r="T447" s="945"/>
      <c r="U447" s="945"/>
      <c r="V447" s="945"/>
      <c r="W447" s="945"/>
      <c r="X447" s="945"/>
      <c r="Y447" s="945"/>
      <c r="Z447" s="888"/>
    </row>
    <row r="448" spans="1:26" x14ac:dyDescent="0.2">
      <c r="A448" s="897" t="s">
        <v>308</v>
      </c>
      <c r="B448" s="898"/>
      <c r="C448" s="945"/>
      <c r="D448" s="945"/>
      <c r="E448" s="945"/>
      <c r="F448" s="945"/>
      <c r="G448" s="945"/>
      <c r="H448" s="945"/>
      <c r="I448" s="945"/>
      <c r="J448" s="945"/>
      <c r="K448" s="945"/>
      <c r="L448" s="945"/>
      <c r="M448" s="945"/>
      <c r="N448" s="945"/>
      <c r="O448" s="945"/>
      <c r="P448" s="945"/>
      <c r="Q448" s="885"/>
      <c r="R448" s="969"/>
      <c r="S448" s="885"/>
      <c r="T448" s="945"/>
      <c r="U448" s="945"/>
      <c r="V448" s="945"/>
      <c r="W448" s="945"/>
      <c r="X448" s="945"/>
      <c r="Y448" s="945"/>
      <c r="Z448" s="888"/>
    </row>
    <row r="449" spans="1:26" x14ac:dyDescent="0.2">
      <c r="A449" s="894" t="s">
        <v>259</v>
      </c>
      <c r="B449" s="898"/>
      <c r="C449" s="904">
        <f t="shared" ref="C449:N449" si="197">+C323</f>
        <v>-32</v>
      </c>
      <c r="D449" s="904">
        <f t="shared" si="197"/>
        <v>-36</v>
      </c>
      <c r="E449" s="904">
        <f t="shared" si="197"/>
        <v>-32</v>
      </c>
      <c r="F449" s="904">
        <f t="shared" si="197"/>
        <v>-33</v>
      </c>
      <c r="G449" s="904">
        <f t="shared" si="197"/>
        <v>-32</v>
      </c>
      <c r="H449" s="904">
        <f t="shared" si="197"/>
        <v>-34</v>
      </c>
      <c r="I449" s="904">
        <f t="shared" si="197"/>
        <v>-32</v>
      </c>
      <c r="J449" s="904">
        <f t="shared" si="197"/>
        <v>-33</v>
      </c>
      <c r="K449" s="904">
        <f t="shared" si="197"/>
        <v>-32</v>
      </c>
      <c r="L449" s="904">
        <f t="shared" si="197"/>
        <v>-34</v>
      </c>
      <c r="M449" s="904">
        <f t="shared" si="197"/>
        <v>-32</v>
      </c>
      <c r="N449" s="904">
        <f t="shared" si="197"/>
        <v>-33</v>
      </c>
      <c r="O449" s="971">
        <f>SUM(C449:N449)</f>
        <v>-395</v>
      </c>
      <c r="P449" s="971"/>
      <c r="Q449" s="885"/>
      <c r="R449" s="969"/>
      <c r="S449" s="885"/>
      <c r="T449" s="971"/>
      <c r="U449" s="902">
        <f>C449+D449+E449</f>
        <v>-100</v>
      </c>
      <c r="V449" s="902">
        <f>F449+G449+H449</f>
        <v>-99</v>
      </c>
      <c r="W449" s="902">
        <f>I449+J449+K449</f>
        <v>-97</v>
      </c>
      <c r="X449" s="902">
        <f>L449+M449+N449</f>
        <v>-99</v>
      </c>
      <c r="Y449" s="904">
        <f>SUM(U449:X449)</f>
        <v>-395</v>
      </c>
      <c r="Z449" s="888"/>
    </row>
    <row r="450" spans="1:26" x14ac:dyDescent="0.2">
      <c r="A450" s="894" t="s">
        <v>263</v>
      </c>
      <c r="B450" s="898"/>
      <c r="C450" s="904">
        <f>+C325</f>
        <v>0</v>
      </c>
      <c r="D450" s="904">
        <f t="shared" ref="D450:N450" si="198">+D325</f>
        <v>0</v>
      </c>
      <c r="E450" s="904">
        <f t="shared" si="198"/>
        <v>0</v>
      </c>
      <c r="F450" s="904">
        <f t="shared" si="198"/>
        <v>0</v>
      </c>
      <c r="G450" s="904">
        <f t="shared" si="198"/>
        <v>0</v>
      </c>
      <c r="H450" s="904">
        <f t="shared" si="198"/>
        <v>0</v>
      </c>
      <c r="I450" s="904">
        <f t="shared" si="198"/>
        <v>0</v>
      </c>
      <c r="J450" s="904">
        <f t="shared" si="198"/>
        <v>0</v>
      </c>
      <c r="K450" s="904">
        <f t="shared" si="198"/>
        <v>0</v>
      </c>
      <c r="L450" s="904">
        <f t="shared" si="198"/>
        <v>0</v>
      </c>
      <c r="M450" s="904">
        <f t="shared" si="198"/>
        <v>0</v>
      </c>
      <c r="N450" s="904">
        <f t="shared" si="198"/>
        <v>0</v>
      </c>
      <c r="O450" s="971">
        <f>SUM(C450:N450)</f>
        <v>0</v>
      </c>
      <c r="P450" s="971"/>
      <c r="Q450" s="885"/>
      <c r="R450" s="969"/>
      <c r="S450" s="885"/>
      <c r="T450" s="971"/>
      <c r="U450" s="902">
        <f>C450+D450+E450</f>
        <v>0</v>
      </c>
      <c r="V450" s="902">
        <f>F450+G450+H450</f>
        <v>0</v>
      </c>
      <c r="W450" s="902">
        <f>I450+J450+K450</f>
        <v>0</v>
      </c>
      <c r="X450" s="902">
        <f>L450+M450+N450</f>
        <v>0</v>
      </c>
      <c r="Y450" s="904">
        <f>SUM(U450:X450)</f>
        <v>0</v>
      </c>
      <c r="Z450" s="888"/>
    </row>
    <row r="451" spans="1:26" x14ac:dyDescent="0.2">
      <c r="A451" s="894" t="s">
        <v>264</v>
      </c>
      <c r="B451" s="898"/>
      <c r="C451" s="891">
        <f t="shared" ref="C451:N451" si="199">+C327</f>
        <v>0</v>
      </c>
      <c r="D451" s="891">
        <f t="shared" si="199"/>
        <v>0</v>
      </c>
      <c r="E451" s="891">
        <f t="shared" si="199"/>
        <v>0</v>
      </c>
      <c r="F451" s="891">
        <f t="shared" si="199"/>
        <v>0</v>
      </c>
      <c r="G451" s="891">
        <f t="shared" si="199"/>
        <v>0</v>
      </c>
      <c r="H451" s="891">
        <f t="shared" si="199"/>
        <v>0</v>
      </c>
      <c r="I451" s="891">
        <f t="shared" si="199"/>
        <v>0</v>
      </c>
      <c r="J451" s="891">
        <f t="shared" si="199"/>
        <v>0</v>
      </c>
      <c r="K451" s="891">
        <f t="shared" si="199"/>
        <v>0</v>
      </c>
      <c r="L451" s="891">
        <f t="shared" si="199"/>
        <v>0</v>
      </c>
      <c r="M451" s="891">
        <f t="shared" si="199"/>
        <v>0</v>
      </c>
      <c r="N451" s="891">
        <f t="shared" si="199"/>
        <v>0</v>
      </c>
      <c r="O451" s="972">
        <f>SUM(C451:N451)</f>
        <v>0</v>
      </c>
      <c r="P451" s="972"/>
      <c r="Q451" s="885"/>
      <c r="R451" s="969"/>
      <c r="S451" s="885"/>
      <c r="T451" s="972"/>
      <c r="U451" s="943">
        <f>C451+D451+E451</f>
        <v>0</v>
      </c>
      <c r="V451" s="943">
        <f>F451+G451+H451</f>
        <v>0</v>
      </c>
      <c r="W451" s="943">
        <f>I451+J451+K451</f>
        <v>0</v>
      </c>
      <c r="X451" s="943">
        <f>L451+M451+N451</f>
        <v>0</v>
      </c>
      <c r="Y451" s="891">
        <f>SUM(U451:X451)</f>
        <v>0</v>
      </c>
      <c r="Z451" s="888"/>
    </row>
    <row r="452" spans="1:26" ht="3.95" customHeight="1" x14ac:dyDescent="0.2">
      <c r="A452" s="897"/>
      <c r="B452" s="898"/>
      <c r="C452" s="945"/>
      <c r="D452" s="945"/>
      <c r="E452" s="945"/>
      <c r="F452" s="945"/>
      <c r="G452" s="945"/>
      <c r="H452" s="945"/>
      <c r="I452" s="945"/>
      <c r="J452" s="945"/>
      <c r="K452" s="945"/>
      <c r="L452" s="945"/>
      <c r="M452" s="945"/>
      <c r="N452" s="945"/>
      <c r="O452" s="945"/>
      <c r="P452" s="945"/>
      <c r="Q452" s="885"/>
      <c r="R452" s="969"/>
      <c r="S452" s="885"/>
      <c r="T452" s="945"/>
      <c r="U452" s="945"/>
      <c r="V452" s="945"/>
      <c r="W452" s="945"/>
      <c r="X452" s="945"/>
      <c r="Y452" s="945"/>
      <c r="Z452" s="888"/>
    </row>
    <row r="453" spans="1:26" x14ac:dyDescent="0.2">
      <c r="A453" s="897" t="s">
        <v>309</v>
      </c>
      <c r="B453" s="898"/>
      <c r="C453" s="945">
        <f t="shared" ref="C453:O453" si="200">SUM(C448:C451)</f>
        <v>-32</v>
      </c>
      <c r="D453" s="945">
        <f t="shared" si="200"/>
        <v>-36</v>
      </c>
      <c r="E453" s="945">
        <f t="shared" si="200"/>
        <v>-32</v>
      </c>
      <c r="F453" s="945">
        <f t="shared" si="200"/>
        <v>-33</v>
      </c>
      <c r="G453" s="945">
        <f t="shared" si="200"/>
        <v>-32</v>
      </c>
      <c r="H453" s="945">
        <f t="shared" si="200"/>
        <v>-34</v>
      </c>
      <c r="I453" s="945">
        <f t="shared" si="200"/>
        <v>-32</v>
      </c>
      <c r="J453" s="945">
        <f t="shared" si="200"/>
        <v>-33</v>
      </c>
      <c r="K453" s="945">
        <f t="shared" si="200"/>
        <v>-32</v>
      </c>
      <c r="L453" s="945">
        <f t="shared" si="200"/>
        <v>-34</v>
      </c>
      <c r="M453" s="945">
        <f t="shared" si="200"/>
        <v>-32</v>
      </c>
      <c r="N453" s="945">
        <f t="shared" si="200"/>
        <v>-33</v>
      </c>
      <c r="O453" s="945">
        <f t="shared" si="200"/>
        <v>-395</v>
      </c>
      <c r="P453" s="945"/>
      <c r="Q453" s="885"/>
      <c r="R453" s="969"/>
      <c r="S453" s="885"/>
      <c r="T453" s="945"/>
      <c r="U453" s="945">
        <f>SUM(U448:U451)</f>
        <v>-100</v>
      </c>
      <c r="V453" s="945">
        <f>SUM(V448:V451)</f>
        <v>-99</v>
      </c>
      <c r="W453" s="945">
        <f>SUM(W448:W451)</f>
        <v>-97</v>
      </c>
      <c r="X453" s="945">
        <f>SUM(X448:X451)</f>
        <v>-99</v>
      </c>
      <c r="Y453" s="945">
        <f>SUM(Y448:Y451)</f>
        <v>-395</v>
      </c>
      <c r="Z453" s="888"/>
    </row>
    <row r="454" spans="1:26" ht="6" customHeight="1" x14ac:dyDescent="0.2">
      <c r="A454" s="897"/>
      <c r="B454" s="898"/>
      <c r="C454" s="945"/>
      <c r="D454" s="945"/>
      <c r="E454" s="945"/>
      <c r="F454" s="945"/>
      <c r="G454" s="945"/>
      <c r="H454" s="945"/>
      <c r="I454" s="945"/>
      <c r="J454" s="945"/>
      <c r="K454" s="945"/>
      <c r="L454" s="945"/>
      <c r="M454" s="945"/>
      <c r="N454" s="945"/>
      <c r="O454" s="945"/>
      <c r="P454" s="945"/>
      <c r="Q454" s="885"/>
      <c r="R454" s="969"/>
      <c r="S454" s="885"/>
      <c r="T454" s="945"/>
      <c r="U454" s="945"/>
      <c r="V454" s="945"/>
      <c r="W454" s="945"/>
      <c r="X454" s="945"/>
      <c r="Y454" s="945"/>
      <c r="Z454" s="888"/>
    </row>
    <row r="455" spans="1:26" x14ac:dyDescent="0.2">
      <c r="A455" s="897" t="s">
        <v>183</v>
      </c>
      <c r="B455" s="898"/>
      <c r="C455" s="917">
        <f t="shared" ref="C455:O455" si="201">+C396+C404+C412+C424+C432+C439+C446+C453</f>
        <v>9053</v>
      </c>
      <c r="D455" s="918">
        <f t="shared" si="201"/>
        <v>7245</v>
      </c>
      <c r="E455" s="918">
        <f t="shared" si="201"/>
        <v>8649</v>
      </c>
      <c r="F455" s="918">
        <f t="shared" si="201"/>
        <v>8287</v>
      </c>
      <c r="G455" s="918">
        <f t="shared" si="201"/>
        <v>8916</v>
      </c>
      <c r="H455" s="918">
        <f t="shared" si="201"/>
        <v>9478</v>
      </c>
      <c r="I455" s="918">
        <f t="shared" si="201"/>
        <v>10280</v>
      </c>
      <c r="J455" s="918">
        <f t="shared" si="201"/>
        <v>10085</v>
      </c>
      <c r="K455" s="918">
        <f t="shared" si="201"/>
        <v>9556</v>
      </c>
      <c r="L455" s="918">
        <f t="shared" si="201"/>
        <v>10045</v>
      </c>
      <c r="M455" s="918">
        <f t="shared" si="201"/>
        <v>9987</v>
      </c>
      <c r="N455" s="918">
        <f t="shared" si="201"/>
        <v>10185</v>
      </c>
      <c r="O455" s="919">
        <f t="shared" si="201"/>
        <v>111766</v>
      </c>
      <c r="P455" s="920"/>
      <c r="Q455" s="885"/>
      <c r="R455" s="969"/>
      <c r="S455" s="885"/>
      <c r="T455" s="920"/>
      <c r="U455" s="917">
        <f>+U396+U404+U412+U424+U432+U439+U446+U453</f>
        <v>24947</v>
      </c>
      <c r="V455" s="918">
        <f>+V396+V404+V412+V424+V432+V439+V446+V453</f>
        <v>26681</v>
      </c>
      <c r="W455" s="918">
        <f>+W396+W404+W412+W424+W432+W439+W446+W453</f>
        <v>29921</v>
      </c>
      <c r="X455" s="918">
        <f>+X396+X404+X412+X424+X432+X439+X446+X453</f>
        <v>30217</v>
      </c>
      <c r="Y455" s="919">
        <f>+Y396+Y404+Y412+Y424+Y432+Y439+Y446+Y453</f>
        <v>111766</v>
      </c>
      <c r="Z455" s="888"/>
    </row>
    <row r="456" spans="1:26" x14ac:dyDescent="0.2">
      <c r="A456" s="897"/>
      <c r="B456" s="898"/>
      <c r="C456" s="945"/>
      <c r="D456" s="945"/>
      <c r="E456" s="945"/>
      <c r="F456" s="945"/>
      <c r="G456" s="945"/>
      <c r="H456" s="945"/>
      <c r="I456" s="945"/>
      <c r="J456" s="945"/>
      <c r="K456" s="945"/>
      <c r="L456" s="945"/>
      <c r="M456" s="945"/>
      <c r="N456" s="945"/>
      <c r="O456" s="945"/>
      <c r="P456" s="945"/>
      <c r="Q456" s="885"/>
      <c r="R456" s="969"/>
      <c r="S456" s="885"/>
      <c r="T456" s="945"/>
      <c r="U456" s="945"/>
      <c r="V456" s="945"/>
      <c r="W456" s="945"/>
      <c r="X456" s="945"/>
      <c r="Y456" s="945"/>
      <c r="Z456" s="888"/>
    </row>
    <row r="457" spans="1:26" x14ac:dyDescent="0.2">
      <c r="A457" s="894" t="s">
        <v>848</v>
      </c>
      <c r="B457" s="898"/>
      <c r="C457" s="904">
        <f>+C386+C399+C407+C416+C428+C435+C442+C449</f>
        <v>-4078</v>
      </c>
      <c r="D457" s="904">
        <f t="shared" ref="D457:O457" si="202">+D386+D399+D407+D416+D428+D435+D442+D449</f>
        <v>-4138</v>
      </c>
      <c r="E457" s="904">
        <f t="shared" si="202"/>
        <v>-4049</v>
      </c>
      <c r="F457" s="904">
        <f t="shared" si="202"/>
        <v>-4041</v>
      </c>
      <c r="G457" s="904">
        <f t="shared" si="202"/>
        <v>-4077</v>
      </c>
      <c r="H457" s="904">
        <f t="shared" si="202"/>
        <v>-4146</v>
      </c>
      <c r="I457" s="904">
        <f t="shared" si="202"/>
        <v>-4729</v>
      </c>
      <c r="J457" s="904">
        <f t="shared" si="202"/>
        <v>-4750</v>
      </c>
      <c r="K457" s="904">
        <f t="shared" si="202"/>
        <v>-4780</v>
      </c>
      <c r="L457" s="904">
        <f t="shared" si="202"/>
        <v>-4732</v>
      </c>
      <c r="M457" s="904">
        <f t="shared" si="202"/>
        <v>-4702</v>
      </c>
      <c r="N457" s="904">
        <f t="shared" si="202"/>
        <v>-4815</v>
      </c>
      <c r="O457" s="904">
        <f t="shared" si="202"/>
        <v>-53037</v>
      </c>
      <c r="P457" s="945"/>
      <c r="Q457" s="885"/>
      <c r="R457" s="969"/>
      <c r="S457" s="885"/>
      <c r="T457" s="945"/>
      <c r="U457" s="904">
        <f>+U386+U399+U407+U416+U428+U435+U442+U449</f>
        <v>-12265</v>
      </c>
      <c r="V457" s="904">
        <f>+V386+V399+V407+V416+V428+V435+V442+V449</f>
        <v>-12264</v>
      </c>
      <c r="W457" s="904">
        <f>+W386+W399+W407+W416+W428+W435+W442+W449</f>
        <v>-14259</v>
      </c>
      <c r="X457" s="904">
        <f>+X386+X399+X407+X416+X428+X435+X442+X449</f>
        <v>-14249</v>
      </c>
      <c r="Y457" s="904">
        <f>+Y386+Y399+Y407+Y416+Y428+Y435+Y442+Y449</f>
        <v>-53037</v>
      </c>
      <c r="Z457" s="888"/>
    </row>
    <row r="458" spans="1:26" x14ac:dyDescent="0.2">
      <c r="A458" s="894" t="s">
        <v>849</v>
      </c>
      <c r="B458" s="898"/>
      <c r="C458" s="989">
        <f>+C390+C400+C408+C417+C429+C436+C443+C450</f>
        <v>-1800</v>
      </c>
      <c r="D458" s="989">
        <f t="shared" ref="D458:O458" si="203">+D390+D400+D408+D417+D429+D436+D443+D450</f>
        <v>-1803</v>
      </c>
      <c r="E458" s="989">
        <f t="shared" si="203"/>
        <v>-1803</v>
      </c>
      <c r="F458" s="989">
        <f t="shared" si="203"/>
        <v>-1803</v>
      </c>
      <c r="G458" s="989">
        <f t="shared" si="203"/>
        <v>-1803</v>
      </c>
      <c r="H458" s="989">
        <f t="shared" si="203"/>
        <v>-1805</v>
      </c>
      <c r="I458" s="989">
        <f t="shared" si="203"/>
        <v>-1809</v>
      </c>
      <c r="J458" s="989">
        <f t="shared" si="203"/>
        <v>-1809</v>
      </c>
      <c r="K458" s="989">
        <f t="shared" si="203"/>
        <v>-1828</v>
      </c>
      <c r="L458" s="989">
        <f t="shared" si="203"/>
        <v>-1828</v>
      </c>
      <c r="M458" s="989">
        <f t="shared" si="203"/>
        <v>-1831</v>
      </c>
      <c r="N458" s="989">
        <f t="shared" si="203"/>
        <v>-1835</v>
      </c>
      <c r="O458" s="989">
        <f t="shared" si="203"/>
        <v>-21757</v>
      </c>
      <c r="P458" s="971"/>
      <c r="Q458" s="885"/>
      <c r="R458" s="969"/>
      <c r="S458" s="885"/>
      <c r="T458" s="971"/>
      <c r="U458" s="989">
        <f>+U390+U400+U408+U417+U429+U436+U443+U450</f>
        <v>-5406</v>
      </c>
      <c r="V458" s="989">
        <f>+V390+V400+V408+V417+V429+V436+V443+V450</f>
        <v>-5411</v>
      </c>
      <c r="W458" s="989">
        <f>+W390+W400+W408+W417+W429+W436+W443+W450</f>
        <v>-5446</v>
      </c>
      <c r="X458" s="989">
        <f>+X390+X400+X408+X417+X429+X436+X443+X450</f>
        <v>-5494</v>
      </c>
      <c r="Y458" s="989">
        <f>+Y390+Y400+Y408+Y417+Y429+Y436+Y443+Y450</f>
        <v>-21757</v>
      </c>
      <c r="Z458" s="888"/>
    </row>
    <row r="459" spans="1:26" x14ac:dyDescent="0.2">
      <c r="A459" s="913"/>
      <c r="B459" s="898"/>
      <c r="C459" s="904"/>
      <c r="D459" s="904"/>
      <c r="E459" s="904"/>
      <c r="F459" s="904"/>
      <c r="G459" s="904"/>
      <c r="H459" s="904"/>
      <c r="I459" s="904"/>
      <c r="J459" s="904"/>
      <c r="K459" s="904"/>
      <c r="L459" s="904"/>
      <c r="M459" s="904"/>
      <c r="N459" s="904"/>
      <c r="O459" s="902"/>
      <c r="P459" s="902"/>
      <c r="Q459" s="885"/>
      <c r="R459" s="969"/>
      <c r="S459" s="885"/>
      <c r="T459" s="902"/>
      <c r="U459" s="902"/>
      <c r="V459" s="902"/>
      <c r="W459" s="902"/>
      <c r="X459" s="902"/>
      <c r="Y459" s="904"/>
      <c r="Z459" s="888"/>
    </row>
    <row r="460" spans="1:26" x14ac:dyDescent="0.2">
      <c r="A460" s="897"/>
      <c r="B460" s="898"/>
      <c r="C460" s="700"/>
      <c r="D460" s="700"/>
      <c r="E460" s="700"/>
      <c r="F460" s="700"/>
      <c r="G460" s="700"/>
      <c r="H460" s="700"/>
      <c r="I460" s="700"/>
      <c r="J460" s="700"/>
      <c r="K460" s="700"/>
      <c r="L460" s="700"/>
      <c r="M460" s="700"/>
      <c r="N460" s="700"/>
      <c r="O460" s="700"/>
      <c r="P460" s="700"/>
      <c r="Q460" s="885"/>
      <c r="R460" s="969"/>
      <c r="S460" s="885"/>
      <c r="T460" s="700"/>
      <c r="U460" s="700"/>
      <c r="V460" s="700"/>
      <c r="W460" s="700"/>
      <c r="X460" s="700"/>
      <c r="Y460" s="700"/>
      <c r="Z460" s="888"/>
    </row>
    <row r="461" spans="1:26" x14ac:dyDescent="0.2">
      <c r="A461" s="913"/>
      <c r="B461" s="898"/>
      <c r="C461" s="904"/>
      <c r="D461" s="904"/>
      <c r="E461" s="904"/>
      <c r="F461" s="904"/>
      <c r="G461" s="904"/>
      <c r="H461" s="904"/>
      <c r="I461" s="904"/>
      <c r="J461" s="904"/>
      <c r="K461" s="904"/>
      <c r="L461" s="904"/>
      <c r="M461" s="904"/>
      <c r="N461" s="904"/>
      <c r="O461" s="902"/>
      <c r="P461" s="902"/>
      <c r="Q461" s="885"/>
      <c r="R461" s="969"/>
      <c r="S461" s="885"/>
      <c r="T461" s="902"/>
      <c r="U461" s="902"/>
      <c r="V461" s="902"/>
      <c r="W461" s="902"/>
      <c r="X461" s="902"/>
      <c r="Y461" s="904"/>
      <c r="Z461" s="888"/>
    </row>
    <row r="462" spans="1:26" x14ac:dyDescent="0.2">
      <c r="A462" s="894" t="s">
        <v>310</v>
      </c>
      <c r="C462" s="904">
        <f t="shared" ref="C462:O462" si="204">+C342-C455</f>
        <v>0</v>
      </c>
      <c r="D462" s="904">
        <f t="shared" si="204"/>
        <v>0</v>
      </c>
      <c r="E462" s="904">
        <f t="shared" si="204"/>
        <v>0</v>
      </c>
      <c r="F462" s="904">
        <f t="shared" si="204"/>
        <v>0</v>
      </c>
      <c r="G462" s="904">
        <f t="shared" si="204"/>
        <v>0</v>
      </c>
      <c r="H462" s="904">
        <f t="shared" si="204"/>
        <v>0</v>
      </c>
      <c r="I462" s="904">
        <f t="shared" si="204"/>
        <v>0</v>
      </c>
      <c r="J462" s="904">
        <f t="shared" si="204"/>
        <v>0</v>
      </c>
      <c r="K462" s="904">
        <f t="shared" si="204"/>
        <v>0</v>
      </c>
      <c r="L462" s="904">
        <f t="shared" si="204"/>
        <v>0</v>
      </c>
      <c r="M462" s="904">
        <f t="shared" si="204"/>
        <v>0</v>
      </c>
      <c r="N462" s="904">
        <f t="shared" si="204"/>
        <v>0</v>
      </c>
      <c r="O462" s="904">
        <f t="shared" si="204"/>
        <v>0</v>
      </c>
      <c r="P462" s="904"/>
      <c r="Q462" s="885"/>
      <c r="R462" s="969"/>
      <c r="S462" s="885"/>
      <c r="T462" s="904"/>
      <c r="U462" s="904">
        <f>+U342-U455</f>
        <v>0</v>
      </c>
      <c r="V462" s="904">
        <f>+V342-V455</f>
        <v>0</v>
      </c>
      <c r="W462" s="904">
        <f>+W342-W455</f>
        <v>0</v>
      </c>
      <c r="X462" s="904">
        <f>+X342-X455</f>
        <v>0</v>
      </c>
      <c r="Y462" s="904">
        <f>+Y342-Y455</f>
        <v>0</v>
      </c>
      <c r="Z462" s="888"/>
    </row>
    <row r="463" spans="1:26" x14ac:dyDescent="0.2">
      <c r="Q463" s="885"/>
      <c r="S463" s="885"/>
      <c r="U463" s="881"/>
      <c r="V463" s="881"/>
    </row>
    <row r="464" spans="1:26" x14ac:dyDescent="0.2">
      <c r="A464" s="897" t="s">
        <v>184</v>
      </c>
      <c r="C464" s="959"/>
      <c r="D464" s="959"/>
      <c r="E464" s="959"/>
      <c r="F464" s="959"/>
      <c r="G464" s="959"/>
      <c r="H464" s="959"/>
      <c r="I464" s="959"/>
      <c r="J464" s="959"/>
      <c r="K464" s="959"/>
      <c r="L464" s="959"/>
      <c r="M464" s="959"/>
      <c r="N464" s="959"/>
      <c r="O464" s="959"/>
      <c r="P464" s="959"/>
      <c r="Q464" s="885"/>
      <c r="R464" s="967"/>
      <c r="S464" s="885"/>
      <c r="T464" s="959"/>
      <c r="U464" s="959"/>
      <c r="V464" s="959"/>
      <c r="W464" s="959"/>
      <c r="X464" s="959"/>
      <c r="Y464" s="959"/>
    </row>
    <row r="465" spans="1:25" x14ac:dyDescent="0.2">
      <c r="A465" s="897" t="s">
        <v>269</v>
      </c>
      <c r="C465" s="959"/>
      <c r="D465" s="959"/>
      <c r="E465" s="959"/>
      <c r="F465" s="959"/>
      <c r="G465" s="959"/>
      <c r="H465" s="959"/>
      <c r="I465" s="959"/>
      <c r="J465" s="959"/>
      <c r="K465" s="959"/>
      <c r="L465" s="959"/>
      <c r="M465" s="959"/>
      <c r="N465" s="959"/>
      <c r="O465" s="959"/>
      <c r="P465" s="959"/>
      <c r="Q465" s="885"/>
      <c r="R465" s="967"/>
      <c r="S465" s="885"/>
      <c r="T465" s="959"/>
      <c r="U465" s="959"/>
      <c r="V465" s="959"/>
      <c r="W465" s="959"/>
      <c r="X465" s="959"/>
      <c r="Y465" s="959"/>
    </row>
    <row r="466" spans="1:25" x14ac:dyDescent="0.2">
      <c r="A466" s="897" t="s">
        <v>255</v>
      </c>
      <c r="B466" s="898"/>
      <c r="C466" s="902"/>
      <c r="D466" s="902"/>
      <c r="E466" s="902"/>
      <c r="F466" s="902"/>
      <c r="G466" s="902"/>
      <c r="H466" s="902"/>
      <c r="I466" s="902"/>
      <c r="J466" s="902"/>
      <c r="K466" s="902"/>
      <c r="L466" s="902"/>
      <c r="M466" s="902"/>
      <c r="N466" s="902"/>
      <c r="O466" s="902"/>
      <c r="P466" s="902"/>
      <c r="Q466" s="885"/>
      <c r="R466" s="968"/>
      <c r="S466" s="885"/>
      <c r="T466" s="902"/>
      <c r="U466" s="887"/>
      <c r="V466" s="887"/>
      <c r="W466" s="887"/>
      <c r="X466" s="887"/>
      <c r="Y466" s="904"/>
    </row>
    <row r="467" spans="1:25" x14ac:dyDescent="0.2">
      <c r="A467" s="894" t="s">
        <v>270</v>
      </c>
      <c r="B467" s="898"/>
      <c r="C467" s="904"/>
      <c r="D467" s="904"/>
      <c r="E467" s="904"/>
      <c r="F467" s="904"/>
      <c r="G467" s="904"/>
      <c r="H467" s="904"/>
      <c r="I467" s="904"/>
      <c r="J467" s="904"/>
      <c r="K467" s="904"/>
      <c r="L467" s="904"/>
      <c r="M467" s="904"/>
      <c r="N467" s="904"/>
      <c r="O467" s="142"/>
      <c r="P467" s="142"/>
      <c r="Q467" s="885"/>
      <c r="R467" s="969"/>
      <c r="S467" s="885"/>
      <c r="T467" s="142"/>
      <c r="U467" s="902"/>
      <c r="V467" s="902"/>
      <c r="W467" s="902"/>
      <c r="X467" s="902"/>
      <c r="Y467" s="888"/>
    </row>
    <row r="468" spans="1:25" x14ac:dyDescent="0.2">
      <c r="A468" s="894" t="s">
        <v>294</v>
      </c>
      <c r="B468" s="898"/>
      <c r="C468" s="855">
        <v>0</v>
      </c>
      <c r="D468" s="855">
        <v>0</v>
      </c>
      <c r="E468" s="855">
        <v>0</v>
      </c>
      <c r="F468" s="855">
        <v>0</v>
      </c>
      <c r="G468" s="855">
        <v>0</v>
      </c>
      <c r="H468" s="855">
        <v>0</v>
      </c>
      <c r="I468" s="855">
        <v>0</v>
      </c>
      <c r="J468" s="855">
        <v>0</v>
      </c>
      <c r="K468" s="855">
        <v>0</v>
      </c>
      <c r="L468" s="855">
        <v>0</v>
      </c>
      <c r="M468" s="855">
        <v>0</v>
      </c>
      <c r="N468" s="855">
        <v>0</v>
      </c>
      <c r="O468" s="142">
        <f t="shared" ref="O468:O476" si="205">SUM(C468:N468)</f>
        <v>0</v>
      </c>
      <c r="P468" s="142"/>
      <c r="Q468" s="885"/>
      <c r="R468" s="969"/>
      <c r="S468" s="885"/>
      <c r="T468" s="142"/>
      <c r="U468" s="902">
        <f t="shared" ref="U468:U476" si="206">C468+D468+E468</f>
        <v>0</v>
      </c>
      <c r="V468" s="902">
        <f t="shared" ref="V468:V476" si="207">F468+G468+H468</f>
        <v>0</v>
      </c>
      <c r="W468" s="902">
        <f t="shared" ref="W468:W476" si="208">I468+J468+K468</f>
        <v>0</v>
      </c>
      <c r="X468" s="902">
        <f t="shared" ref="X468:X476" si="209">L468+M468+N468</f>
        <v>0</v>
      </c>
      <c r="Y468" s="904">
        <f t="shared" ref="Y468:Y476" si="210">SUM(U468:X468)</f>
        <v>0</v>
      </c>
    </row>
    <row r="469" spans="1:25" x14ac:dyDescent="0.2">
      <c r="A469" s="894" t="s">
        <v>271</v>
      </c>
      <c r="B469" s="898"/>
      <c r="C469" s="128">
        <v>0</v>
      </c>
      <c r="D469" s="128">
        <v>0</v>
      </c>
      <c r="E469" s="128">
        <v>0</v>
      </c>
      <c r="F469" s="128">
        <v>0</v>
      </c>
      <c r="G469" s="128">
        <v>0</v>
      </c>
      <c r="H469" s="128">
        <v>0</v>
      </c>
      <c r="I469" s="128">
        <v>0</v>
      </c>
      <c r="J469" s="128">
        <v>0</v>
      </c>
      <c r="K469" s="128">
        <v>0</v>
      </c>
      <c r="L469" s="128">
        <v>0</v>
      </c>
      <c r="M469" s="128">
        <v>0</v>
      </c>
      <c r="N469" s="128">
        <v>0</v>
      </c>
      <c r="O469" s="142">
        <f t="shared" si="205"/>
        <v>0</v>
      </c>
      <c r="P469" s="142"/>
      <c r="Q469" s="885"/>
      <c r="R469" s="969"/>
      <c r="S469" s="885"/>
      <c r="T469" s="142"/>
      <c r="U469" s="902">
        <f t="shared" si="206"/>
        <v>0</v>
      </c>
      <c r="V469" s="902">
        <f t="shared" si="207"/>
        <v>0</v>
      </c>
      <c r="W469" s="902">
        <f t="shared" si="208"/>
        <v>0</v>
      </c>
      <c r="X469" s="902">
        <f t="shared" si="209"/>
        <v>0</v>
      </c>
      <c r="Y469" s="904">
        <f t="shared" si="210"/>
        <v>0</v>
      </c>
    </row>
    <row r="470" spans="1:25" x14ac:dyDescent="0.2">
      <c r="A470" s="894" t="s">
        <v>291</v>
      </c>
      <c r="B470" s="898"/>
      <c r="C470" s="128">
        <v>0</v>
      </c>
      <c r="D470" s="128">
        <v>0</v>
      </c>
      <c r="E470" s="128">
        <v>0</v>
      </c>
      <c r="F470" s="128">
        <v>0</v>
      </c>
      <c r="G470" s="128">
        <v>0</v>
      </c>
      <c r="H470" s="128">
        <v>0</v>
      </c>
      <c r="I470" s="128">
        <v>0</v>
      </c>
      <c r="J470" s="128">
        <v>0</v>
      </c>
      <c r="K470" s="128">
        <v>0</v>
      </c>
      <c r="L470" s="128">
        <v>0</v>
      </c>
      <c r="M470" s="128">
        <v>0</v>
      </c>
      <c r="N470" s="128">
        <v>0</v>
      </c>
      <c r="O470" s="142">
        <f t="shared" si="205"/>
        <v>0</v>
      </c>
      <c r="P470" s="142"/>
      <c r="Q470" s="885"/>
      <c r="R470" s="969"/>
      <c r="S470" s="885"/>
      <c r="T470" s="142"/>
      <c r="U470" s="902">
        <f t="shared" si="206"/>
        <v>0</v>
      </c>
      <c r="V470" s="902">
        <f t="shared" si="207"/>
        <v>0</v>
      </c>
      <c r="W470" s="902">
        <f t="shared" si="208"/>
        <v>0</v>
      </c>
      <c r="X470" s="902">
        <f t="shared" si="209"/>
        <v>0</v>
      </c>
      <c r="Y470" s="904">
        <f t="shared" si="210"/>
        <v>0</v>
      </c>
    </row>
    <row r="471" spans="1:25" x14ac:dyDescent="0.2">
      <c r="A471" s="894" t="s">
        <v>292</v>
      </c>
      <c r="B471" s="898"/>
      <c r="C471" s="128">
        <v>0</v>
      </c>
      <c r="D471" s="128">
        <v>0</v>
      </c>
      <c r="E471" s="128">
        <v>0</v>
      </c>
      <c r="F471" s="128">
        <v>0</v>
      </c>
      <c r="G471" s="128">
        <v>0</v>
      </c>
      <c r="H471" s="128">
        <v>0</v>
      </c>
      <c r="I471" s="128">
        <v>0</v>
      </c>
      <c r="J471" s="128">
        <v>0</v>
      </c>
      <c r="K471" s="128">
        <v>0</v>
      </c>
      <c r="L471" s="128">
        <v>0</v>
      </c>
      <c r="M471" s="128">
        <v>0</v>
      </c>
      <c r="N471" s="128">
        <v>0</v>
      </c>
      <c r="O471" s="142">
        <f t="shared" si="205"/>
        <v>0</v>
      </c>
      <c r="P471" s="142"/>
      <c r="Q471" s="908"/>
      <c r="R471" s="970"/>
      <c r="S471" s="908"/>
      <c r="T471" s="142"/>
      <c r="U471" s="902">
        <f t="shared" si="206"/>
        <v>0</v>
      </c>
      <c r="V471" s="902">
        <f t="shared" si="207"/>
        <v>0</v>
      </c>
      <c r="W471" s="902">
        <f t="shared" si="208"/>
        <v>0</v>
      </c>
      <c r="X471" s="902">
        <f t="shared" si="209"/>
        <v>0</v>
      </c>
      <c r="Y471" s="904">
        <f t="shared" si="210"/>
        <v>0</v>
      </c>
    </row>
    <row r="472" spans="1:25" x14ac:dyDescent="0.2">
      <c r="A472" s="894" t="s">
        <v>293</v>
      </c>
      <c r="B472" s="898"/>
      <c r="C472" s="128">
        <v>0</v>
      </c>
      <c r="D472" s="128">
        <v>0</v>
      </c>
      <c r="E472" s="128">
        <v>0</v>
      </c>
      <c r="F472" s="128">
        <v>0</v>
      </c>
      <c r="G472" s="128">
        <v>0</v>
      </c>
      <c r="H472" s="128">
        <v>0</v>
      </c>
      <c r="I472" s="128">
        <v>0</v>
      </c>
      <c r="J472" s="128">
        <v>0</v>
      </c>
      <c r="K472" s="128">
        <v>0</v>
      </c>
      <c r="L472" s="128">
        <v>0</v>
      </c>
      <c r="M472" s="128">
        <v>0</v>
      </c>
      <c r="N472" s="128">
        <v>0</v>
      </c>
      <c r="O472" s="142">
        <f t="shared" si="205"/>
        <v>0</v>
      </c>
      <c r="P472" s="142"/>
      <c r="Q472" s="885"/>
      <c r="R472" s="969"/>
      <c r="S472" s="885"/>
      <c r="T472" s="142"/>
      <c r="U472" s="902">
        <f t="shared" si="206"/>
        <v>0</v>
      </c>
      <c r="V472" s="902">
        <f t="shared" si="207"/>
        <v>0</v>
      </c>
      <c r="W472" s="902">
        <f t="shared" si="208"/>
        <v>0</v>
      </c>
      <c r="X472" s="902">
        <f t="shared" si="209"/>
        <v>0</v>
      </c>
      <c r="Y472" s="904">
        <f t="shared" si="210"/>
        <v>0</v>
      </c>
    </row>
    <row r="473" spans="1:25" x14ac:dyDescent="0.2">
      <c r="A473" s="894" t="s">
        <v>296</v>
      </c>
      <c r="B473" s="898"/>
      <c r="C473" s="128">
        <v>0</v>
      </c>
      <c r="D473" s="128">
        <v>0</v>
      </c>
      <c r="E473" s="128">
        <v>0</v>
      </c>
      <c r="F473" s="128">
        <v>0</v>
      </c>
      <c r="G473" s="128">
        <v>0</v>
      </c>
      <c r="H473" s="128">
        <v>0</v>
      </c>
      <c r="I473" s="128">
        <v>0</v>
      </c>
      <c r="J473" s="128">
        <v>0</v>
      </c>
      <c r="K473" s="128">
        <v>0</v>
      </c>
      <c r="L473" s="128">
        <v>0</v>
      </c>
      <c r="M473" s="128">
        <v>0</v>
      </c>
      <c r="N473" s="128">
        <v>0</v>
      </c>
      <c r="O473" s="142">
        <f t="shared" si="205"/>
        <v>0</v>
      </c>
      <c r="P473" s="142"/>
      <c r="Q473" s="885"/>
      <c r="R473" s="969"/>
      <c r="S473" s="885"/>
      <c r="T473" s="142"/>
      <c r="U473" s="902">
        <f t="shared" si="206"/>
        <v>0</v>
      </c>
      <c r="V473" s="902">
        <f t="shared" si="207"/>
        <v>0</v>
      </c>
      <c r="W473" s="902">
        <f t="shared" si="208"/>
        <v>0</v>
      </c>
      <c r="X473" s="902">
        <f t="shared" si="209"/>
        <v>0</v>
      </c>
      <c r="Y473" s="904">
        <f t="shared" si="210"/>
        <v>0</v>
      </c>
    </row>
    <row r="474" spans="1:25" x14ac:dyDescent="0.2">
      <c r="A474" s="894" t="s">
        <v>272</v>
      </c>
      <c r="B474" s="898"/>
      <c r="C474" s="128">
        <v>0</v>
      </c>
      <c r="D474" s="128">
        <v>0</v>
      </c>
      <c r="E474" s="128">
        <v>0</v>
      </c>
      <c r="F474" s="128">
        <v>0</v>
      </c>
      <c r="G474" s="128">
        <v>0</v>
      </c>
      <c r="H474" s="128">
        <v>0</v>
      </c>
      <c r="I474" s="128">
        <v>0</v>
      </c>
      <c r="J474" s="128">
        <v>0</v>
      </c>
      <c r="K474" s="128">
        <v>0</v>
      </c>
      <c r="L474" s="128">
        <v>0</v>
      </c>
      <c r="M474" s="128">
        <v>0</v>
      </c>
      <c r="N474" s="128">
        <v>0</v>
      </c>
      <c r="O474" s="142">
        <f t="shared" si="205"/>
        <v>0</v>
      </c>
      <c r="P474" s="142"/>
      <c r="Q474" s="885"/>
      <c r="R474" s="969"/>
      <c r="S474" s="885"/>
      <c r="T474" s="142"/>
      <c r="U474" s="902">
        <f t="shared" si="206"/>
        <v>0</v>
      </c>
      <c r="V474" s="902">
        <f t="shared" si="207"/>
        <v>0</v>
      </c>
      <c r="W474" s="902">
        <f t="shared" si="208"/>
        <v>0</v>
      </c>
      <c r="X474" s="902">
        <f t="shared" si="209"/>
        <v>0</v>
      </c>
      <c r="Y474" s="904">
        <f t="shared" si="210"/>
        <v>0</v>
      </c>
    </row>
    <row r="475" spans="1:25" x14ac:dyDescent="0.2">
      <c r="A475" s="894" t="s">
        <v>273</v>
      </c>
      <c r="B475" s="898"/>
      <c r="C475" s="128">
        <v>0</v>
      </c>
      <c r="D475" s="128">
        <v>0</v>
      </c>
      <c r="E475" s="128">
        <v>0</v>
      </c>
      <c r="F475" s="128">
        <v>0</v>
      </c>
      <c r="G475" s="128">
        <v>0</v>
      </c>
      <c r="H475" s="128">
        <v>0</v>
      </c>
      <c r="I475" s="128">
        <v>0</v>
      </c>
      <c r="J475" s="128">
        <v>0</v>
      </c>
      <c r="K475" s="128">
        <v>0</v>
      </c>
      <c r="L475" s="128">
        <v>0</v>
      </c>
      <c r="M475" s="128">
        <v>0</v>
      </c>
      <c r="N475" s="128">
        <v>0</v>
      </c>
      <c r="O475" s="142">
        <f t="shared" si="205"/>
        <v>0</v>
      </c>
      <c r="P475" s="142"/>
      <c r="Q475" s="885"/>
      <c r="R475" s="969"/>
      <c r="S475" s="885"/>
      <c r="T475" s="142"/>
      <c r="U475" s="902">
        <f t="shared" si="206"/>
        <v>0</v>
      </c>
      <c r="V475" s="902">
        <f t="shared" si="207"/>
        <v>0</v>
      </c>
      <c r="W475" s="902">
        <f t="shared" si="208"/>
        <v>0</v>
      </c>
      <c r="X475" s="902">
        <f t="shared" si="209"/>
        <v>0</v>
      </c>
      <c r="Y475" s="904">
        <f t="shared" si="210"/>
        <v>0</v>
      </c>
    </row>
    <row r="476" spans="1:25" x14ac:dyDescent="0.2">
      <c r="A476" s="894" t="s">
        <v>279</v>
      </c>
      <c r="B476" s="898"/>
      <c r="C476" s="260">
        <v>0</v>
      </c>
      <c r="D476" s="260">
        <v>0</v>
      </c>
      <c r="E476" s="260">
        <v>0</v>
      </c>
      <c r="F476" s="260">
        <v>0</v>
      </c>
      <c r="G476" s="260">
        <v>0</v>
      </c>
      <c r="H476" s="260">
        <v>0</v>
      </c>
      <c r="I476" s="260">
        <v>0</v>
      </c>
      <c r="J476" s="260">
        <v>0</v>
      </c>
      <c r="K476" s="260">
        <v>0</v>
      </c>
      <c r="L476" s="260">
        <v>0</v>
      </c>
      <c r="M476" s="260">
        <v>0</v>
      </c>
      <c r="N476" s="260">
        <v>0</v>
      </c>
      <c r="O476" s="972">
        <f t="shared" si="205"/>
        <v>0</v>
      </c>
      <c r="P476" s="972"/>
      <c r="Q476" s="885"/>
      <c r="R476" s="969"/>
      <c r="S476" s="885"/>
      <c r="T476" s="972"/>
      <c r="U476" s="943">
        <f t="shared" si="206"/>
        <v>0</v>
      </c>
      <c r="V476" s="943">
        <f t="shared" si="207"/>
        <v>0</v>
      </c>
      <c r="W476" s="943">
        <f t="shared" si="208"/>
        <v>0</v>
      </c>
      <c r="X476" s="943">
        <f t="shared" si="209"/>
        <v>0</v>
      </c>
      <c r="Y476" s="891">
        <f t="shared" si="210"/>
        <v>0</v>
      </c>
    </row>
    <row r="477" spans="1:25" x14ac:dyDescent="0.2">
      <c r="A477" s="894" t="s">
        <v>274</v>
      </c>
      <c r="B477" s="898"/>
      <c r="C477" s="891">
        <f>SUM(C468:C476)</f>
        <v>0</v>
      </c>
      <c r="D477" s="891">
        <f t="shared" ref="D477:O477" si="211">SUM(D468:D476)</f>
        <v>0</v>
      </c>
      <c r="E477" s="891">
        <f t="shared" si="211"/>
        <v>0</v>
      </c>
      <c r="F477" s="891">
        <f t="shared" si="211"/>
        <v>0</v>
      </c>
      <c r="G477" s="891">
        <f t="shared" si="211"/>
        <v>0</v>
      </c>
      <c r="H477" s="891">
        <f t="shared" si="211"/>
        <v>0</v>
      </c>
      <c r="I477" s="891">
        <f t="shared" si="211"/>
        <v>0</v>
      </c>
      <c r="J477" s="891">
        <f t="shared" si="211"/>
        <v>0</v>
      </c>
      <c r="K477" s="891">
        <f t="shared" si="211"/>
        <v>0</v>
      </c>
      <c r="L477" s="891">
        <f t="shared" si="211"/>
        <v>0</v>
      </c>
      <c r="M477" s="891">
        <f t="shared" si="211"/>
        <v>0</v>
      </c>
      <c r="N477" s="891">
        <f t="shared" si="211"/>
        <v>0</v>
      </c>
      <c r="O477" s="891">
        <f t="shared" si="211"/>
        <v>0</v>
      </c>
      <c r="P477" s="902"/>
      <c r="Q477" s="885"/>
      <c r="R477" s="969"/>
      <c r="S477" s="885"/>
      <c r="T477" s="902"/>
      <c r="U477" s="891">
        <f>SUM(U468:U476)</f>
        <v>0</v>
      </c>
      <c r="V477" s="891">
        <f>SUM(V468:V476)</f>
        <v>0</v>
      </c>
      <c r="W477" s="891">
        <f>SUM(W468:W476)</f>
        <v>0</v>
      </c>
      <c r="X477" s="891">
        <f>SUM(X468:X476)</f>
        <v>0</v>
      </c>
      <c r="Y477" s="891">
        <f>SUM(Y468:Y476)</f>
        <v>0</v>
      </c>
    </row>
    <row r="478" spans="1:25" ht="3.95" customHeight="1" x14ac:dyDescent="0.2">
      <c r="A478" s="913"/>
      <c r="B478" s="898"/>
      <c r="C478" s="904"/>
      <c r="D478" s="904"/>
      <c r="E478" s="904"/>
      <c r="F478" s="904"/>
      <c r="G478" s="904"/>
      <c r="H478" s="904"/>
      <c r="I478" s="904"/>
      <c r="J478" s="904"/>
      <c r="K478" s="904"/>
      <c r="L478" s="904"/>
      <c r="M478" s="904"/>
      <c r="N478" s="904"/>
      <c r="O478" s="902"/>
      <c r="P478" s="902"/>
      <c r="Q478" s="885"/>
      <c r="R478" s="969"/>
      <c r="S478" s="885"/>
      <c r="T478" s="902"/>
      <c r="U478" s="902"/>
      <c r="V478" s="902"/>
      <c r="W478" s="902"/>
      <c r="X478" s="902"/>
      <c r="Y478" s="904"/>
    </row>
    <row r="479" spans="1:25" x14ac:dyDescent="0.2">
      <c r="A479" s="894" t="s">
        <v>275</v>
      </c>
      <c r="B479" s="898"/>
      <c r="C479" s="904"/>
      <c r="D479" s="904"/>
      <c r="E479" s="904"/>
      <c r="F479" s="904"/>
      <c r="G479" s="904"/>
      <c r="H479" s="904"/>
      <c r="I479" s="904"/>
      <c r="J479" s="904"/>
      <c r="K479" s="904"/>
      <c r="L479" s="904"/>
      <c r="M479" s="904"/>
      <c r="N479" s="904"/>
      <c r="O479" s="142"/>
      <c r="P479" s="142"/>
      <c r="Q479" s="885"/>
      <c r="R479" s="969"/>
      <c r="S479" s="885"/>
      <c r="T479" s="142"/>
      <c r="U479" s="902"/>
      <c r="V479" s="902"/>
      <c r="W479" s="902"/>
      <c r="X479" s="902"/>
      <c r="Y479" s="888"/>
    </row>
    <row r="480" spans="1:25" x14ac:dyDescent="0.2">
      <c r="A480" s="894" t="s">
        <v>295</v>
      </c>
      <c r="B480" s="898"/>
      <c r="C480" s="128">
        <v>0</v>
      </c>
      <c r="D480" s="128">
        <v>0</v>
      </c>
      <c r="E480" s="128">
        <v>0</v>
      </c>
      <c r="F480" s="128">
        <v>0</v>
      </c>
      <c r="G480" s="128">
        <v>0</v>
      </c>
      <c r="H480" s="128">
        <v>0</v>
      </c>
      <c r="I480" s="128">
        <v>0</v>
      </c>
      <c r="J480" s="128">
        <v>0</v>
      </c>
      <c r="K480" s="128">
        <v>0</v>
      </c>
      <c r="L480" s="128">
        <v>0</v>
      </c>
      <c r="M480" s="128">
        <v>0</v>
      </c>
      <c r="N480" s="128">
        <v>0</v>
      </c>
      <c r="O480" s="142">
        <f t="shared" ref="O480:O489" si="212">SUM(C480:N480)</f>
        <v>0</v>
      </c>
      <c r="P480" s="142"/>
      <c r="Q480" s="885"/>
      <c r="R480" s="969"/>
      <c r="S480" s="885"/>
      <c r="T480" s="142"/>
      <c r="U480" s="902">
        <f t="shared" ref="U480:U489" si="213">C480+D480+E480</f>
        <v>0</v>
      </c>
      <c r="V480" s="902">
        <f t="shared" ref="V480:V489" si="214">F480+G480+H480</f>
        <v>0</v>
      </c>
      <c r="W480" s="902">
        <f t="shared" ref="W480:W489" si="215">I480+J480+K480</f>
        <v>0</v>
      </c>
      <c r="X480" s="902">
        <f t="shared" ref="X480:X489" si="216">L480+M480+N480</f>
        <v>0</v>
      </c>
      <c r="Y480" s="904">
        <f t="shared" ref="Y480:Y489" si="217">SUM(U480:X480)</f>
        <v>0</v>
      </c>
    </row>
    <row r="481" spans="1:25" x14ac:dyDescent="0.2">
      <c r="A481" s="894" t="s">
        <v>271</v>
      </c>
      <c r="B481" s="898"/>
      <c r="C481" s="128">
        <v>0</v>
      </c>
      <c r="D481" s="128">
        <v>0</v>
      </c>
      <c r="E481" s="128">
        <v>0</v>
      </c>
      <c r="F481" s="128">
        <v>0</v>
      </c>
      <c r="G481" s="128">
        <v>0</v>
      </c>
      <c r="H481" s="128">
        <v>0</v>
      </c>
      <c r="I481" s="128">
        <v>0</v>
      </c>
      <c r="J481" s="128">
        <v>0</v>
      </c>
      <c r="K481" s="128">
        <v>0</v>
      </c>
      <c r="L481" s="128">
        <v>0</v>
      </c>
      <c r="M481" s="128">
        <v>0</v>
      </c>
      <c r="N481" s="128">
        <v>0</v>
      </c>
      <c r="O481" s="142">
        <f t="shared" si="212"/>
        <v>0</v>
      </c>
      <c r="P481" s="142"/>
      <c r="Q481" s="885"/>
      <c r="R481" s="969"/>
      <c r="S481" s="885"/>
      <c r="T481" s="142"/>
      <c r="U481" s="902">
        <f t="shared" si="213"/>
        <v>0</v>
      </c>
      <c r="V481" s="902">
        <f t="shared" si="214"/>
        <v>0</v>
      </c>
      <c r="W481" s="902">
        <f t="shared" si="215"/>
        <v>0</v>
      </c>
      <c r="X481" s="902">
        <f t="shared" si="216"/>
        <v>0</v>
      </c>
      <c r="Y481" s="904">
        <f t="shared" si="217"/>
        <v>0</v>
      </c>
    </row>
    <row r="482" spans="1:25" x14ac:dyDescent="0.2">
      <c r="A482" s="894" t="s">
        <v>296</v>
      </c>
      <c r="B482" s="898"/>
      <c r="C482" s="128">
        <v>0</v>
      </c>
      <c r="D482" s="128">
        <v>0</v>
      </c>
      <c r="E482" s="128">
        <v>0</v>
      </c>
      <c r="F482" s="128">
        <v>0</v>
      </c>
      <c r="G482" s="128">
        <v>0</v>
      </c>
      <c r="H482" s="128">
        <v>0</v>
      </c>
      <c r="I482" s="128">
        <v>0</v>
      </c>
      <c r="J482" s="128">
        <v>0</v>
      </c>
      <c r="K482" s="128">
        <v>0</v>
      </c>
      <c r="L482" s="128">
        <v>0</v>
      </c>
      <c r="M482" s="128">
        <v>0</v>
      </c>
      <c r="N482" s="128">
        <v>0</v>
      </c>
      <c r="O482" s="142">
        <f>SUM(C482:N482)</f>
        <v>0</v>
      </c>
      <c r="P482" s="142"/>
      <c r="Q482" s="885"/>
      <c r="R482" s="969"/>
      <c r="S482" s="885"/>
      <c r="T482" s="142"/>
      <c r="U482" s="902">
        <f>C482+D482+E482</f>
        <v>0</v>
      </c>
      <c r="V482" s="902">
        <f>F482+G482+H482</f>
        <v>0</v>
      </c>
      <c r="W482" s="902">
        <f>I482+J482+K482</f>
        <v>0</v>
      </c>
      <c r="X482" s="902">
        <f>L482+M482+N482</f>
        <v>0</v>
      </c>
      <c r="Y482" s="904">
        <f>SUM(U482:X482)</f>
        <v>0</v>
      </c>
    </row>
    <row r="483" spans="1:25" x14ac:dyDescent="0.2">
      <c r="A483" s="894" t="s">
        <v>276</v>
      </c>
      <c r="B483" s="898"/>
      <c r="C483" s="128">
        <v>0</v>
      </c>
      <c r="D483" s="128">
        <v>0</v>
      </c>
      <c r="E483" s="128">
        <v>0</v>
      </c>
      <c r="F483" s="128">
        <v>0</v>
      </c>
      <c r="G483" s="128">
        <v>0</v>
      </c>
      <c r="H483" s="128">
        <v>0</v>
      </c>
      <c r="I483" s="128">
        <v>0</v>
      </c>
      <c r="J483" s="128">
        <v>0</v>
      </c>
      <c r="K483" s="128">
        <v>-1400</v>
      </c>
      <c r="L483" s="128">
        <v>0</v>
      </c>
      <c r="M483" s="128">
        <v>0</v>
      </c>
      <c r="N483" s="128">
        <v>0</v>
      </c>
      <c r="O483" s="142">
        <f t="shared" si="212"/>
        <v>-1400</v>
      </c>
      <c r="P483" s="142"/>
      <c r="Q483" s="885"/>
      <c r="R483" s="969"/>
      <c r="S483" s="885"/>
      <c r="T483" s="142"/>
      <c r="U483" s="902">
        <f t="shared" si="213"/>
        <v>0</v>
      </c>
      <c r="V483" s="902">
        <f t="shared" si="214"/>
        <v>0</v>
      </c>
      <c r="W483" s="902">
        <f t="shared" si="215"/>
        <v>-1400</v>
      </c>
      <c r="X483" s="902">
        <f t="shared" si="216"/>
        <v>0</v>
      </c>
      <c r="Y483" s="904">
        <f t="shared" si="217"/>
        <v>-1400</v>
      </c>
    </row>
    <row r="484" spans="1:25" x14ac:dyDescent="0.2">
      <c r="A484" s="894" t="s">
        <v>273</v>
      </c>
      <c r="B484" s="898"/>
      <c r="C484" s="128">
        <v>0</v>
      </c>
      <c r="D484" s="128">
        <v>0</v>
      </c>
      <c r="E484" s="128">
        <v>0</v>
      </c>
      <c r="F484" s="128">
        <v>0</v>
      </c>
      <c r="G484" s="128">
        <v>0</v>
      </c>
      <c r="H484" s="128">
        <v>0</v>
      </c>
      <c r="I484" s="128">
        <v>0</v>
      </c>
      <c r="J484" s="128">
        <v>0</v>
      </c>
      <c r="K484" s="128">
        <v>0</v>
      </c>
      <c r="L484" s="128">
        <v>0</v>
      </c>
      <c r="M484" s="128">
        <v>0</v>
      </c>
      <c r="N484" s="128">
        <v>0</v>
      </c>
      <c r="O484" s="142">
        <f t="shared" si="212"/>
        <v>0</v>
      </c>
      <c r="P484" s="142"/>
      <c r="Q484" s="885"/>
      <c r="R484" s="969"/>
      <c r="S484" s="885"/>
      <c r="T484" s="142"/>
      <c r="U484" s="902">
        <f t="shared" si="213"/>
        <v>0</v>
      </c>
      <c r="V484" s="902">
        <f t="shared" si="214"/>
        <v>0</v>
      </c>
      <c r="W484" s="902">
        <f t="shared" si="215"/>
        <v>0</v>
      </c>
      <c r="X484" s="902">
        <f t="shared" si="216"/>
        <v>0</v>
      </c>
      <c r="Y484" s="904">
        <f t="shared" si="217"/>
        <v>0</v>
      </c>
    </row>
    <row r="485" spans="1:25" x14ac:dyDescent="0.2">
      <c r="A485" s="894" t="s">
        <v>273</v>
      </c>
      <c r="B485" s="898"/>
      <c r="C485" s="128">
        <v>0</v>
      </c>
      <c r="D485" s="128">
        <v>0</v>
      </c>
      <c r="E485" s="128">
        <v>0</v>
      </c>
      <c r="F485" s="128">
        <v>0</v>
      </c>
      <c r="G485" s="128">
        <v>0</v>
      </c>
      <c r="H485" s="128">
        <v>0</v>
      </c>
      <c r="I485" s="128">
        <v>0</v>
      </c>
      <c r="J485" s="128">
        <v>0</v>
      </c>
      <c r="K485" s="128">
        <v>0</v>
      </c>
      <c r="L485" s="128">
        <v>0</v>
      </c>
      <c r="M485" s="128">
        <v>0</v>
      </c>
      <c r="N485" s="128">
        <v>0</v>
      </c>
      <c r="O485" s="142">
        <f t="shared" si="212"/>
        <v>0</v>
      </c>
      <c r="P485" s="142"/>
      <c r="Q485" s="885"/>
      <c r="R485" s="969"/>
      <c r="S485" s="885"/>
      <c r="T485" s="142"/>
      <c r="U485" s="902">
        <f t="shared" si="213"/>
        <v>0</v>
      </c>
      <c r="V485" s="902">
        <f t="shared" si="214"/>
        <v>0</v>
      </c>
      <c r="W485" s="902">
        <f t="shared" si="215"/>
        <v>0</v>
      </c>
      <c r="X485" s="902">
        <f t="shared" si="216"/>
        <v>0</v>
      </c>
      <c r="Y485" s="904">
        <f t="shared" si="217"/>
        <v>0</v>
      </c>
    </row>
    <row r="486" spans="1:25" x14ac:dyDescent="0.2">
      <c r="A486" s="894" t="s">
        <v>277</v>
      </c>
      <c r="B486" s="898"/>
      <c r="C486" s="128">
        <v>0</v>
      </c>
      <c r="D486" s="128">
        <v>0</v>
      </c>
      <c r="E486" s="128">
        <v>0</v>
      </c>
      <c r="F486" s="128">
        <v>0</v>
      </c>
      <c r="G486" s="128">
        <v>0</v>
      </c>
      <c r="H486" s="128">
        <v>0</v>
      </c>
      <c r="I486" s="128">
        <v>0</v>
      </c>
      <c r="J486" s="128">
        <v>0</v>
      </c>
      <c r="K486" s="128">
        <v>0</v>
      </c>
      <c r="L486" s="128">
        <v>0</v>
      </c>
      <c r="M486" s="128">
        <v>0</v>
      </c>
      <c r="N486" s="128">
        <v>0</v>
      </c>
      <c r="O486" s="142">
        <f t="shared" si="212"/>
        <v>0</v>
      </c>
      <c r="P486" s="142"/>
      <c r="Q486" s="885"/>
      <c r="R486" s="969"/>
      <c r="S486" s="885"/>
      <c r="T486" s="142"/>
      <c r="U486" s="902">
        <f t="shared" si="213"/>
        <v>0</v>
      </c>
      <c r="V486" s="902">
        <f t="shared" si="214"/>
        <v>0</v>
      </c>
      <c r="W486" s="902">
        <f t="shared" si="215"/>
        <v>0</v>
      </c>
      <c r="X486" s="902">
        <f t="shared" si="216"/>
        <v>0</v>
      </c>
      <c r="Y486" s="904">
        <f t="shared" si="217"/>
        <v>0</v>
      </c>
    </row>
    <row r="487" spans="1:25" x14ac:dyDescent="0.2">
      <c r="A487" s="894" t="s">
        <v>278</v>
      </c>
      <c r="B487" s="898"/>
      <c r="C487" s="128">
        <v>0</v>
      </c>
      <c r="D487" s="128">
        <v>0</v>
      </c>
      <c r="E487" s="128">
        <v>0</v>
      </c>
      <c r="F487" s="128">
        <v>0</v>
      </c>
      <c r="G487" s="128">
        <v>0</v>
      </c>
      <c r="H487" s="128">
        <v>0</v>
      </c>
      <c r="I487" s="128">
        <v>0</v>
      </c>
      <c r="J487" s="128">
        <v>0</v>
      </c>
      <c r="K487" s="128">
        <v>0</v>
      </c>
      <c r="L487" s="128">
        <v>0</v>
      </c>
      <c r="M487" s="128">
        <v>0</v>
      </c>
      <c r="N487" s="128">
        <v>0</v>
      </c>
      <c r="O487" s="142">
        <f t="shared" si="212"/>
        <v>0</v>
      </c>
      <c r="P487" s="142"/>
      <c r="Q487" s="885"/>
      <c r="R487" s="969"/>
      <c r="S487" s="885"/>
      <c r="T487" s="142"/>
      <c r="U487" s="902">
        <f t="shared" si="213"/>
        <v>0</v>
      </c>
      <c r="V487" s="902">
        <f t="shared" si="214"/>
        <v>0</v>
      </c>
      <c r="W487" s="902">
        <f t="shared" si="215"/>
        <v>0</v>
      </c>
      <c r="X487" s="902">
        <f t="shared" si="216"/>
        <v>0</v>
      </c>
      <c r="Y487" s="904">
        <f t="shared" si="217"/>
        <v>0</v>
      </c>
    </row>
    <row r="488" spans="1:25" x14ac:dyDescent="0.2">
      <c r="A488" s="894" t="s">
        <v>273</v>
      </c>
      <c r="B488" s="898"/>
      <c r="C488" s="128">
        <v>0</v>
      </c>
      <c r="D488" s="128">
        <v>0</v>
      </c>
      <c r="E488" s="128">
        <v>0</v>
      </c>
      <c r="F488" s="128">
        <v>0</v>
      </c>
      <c r="G488" s="128">
        <v>0</v>
      </c>
      <c r="H488" s="128">
        <v>0</v>
      </c>
      <c r="I488" s="128">
        <v>0</v>
      </c>
      <c r="J488" s="128">
        <v>0</v>
      </c>
      <c r="K488" s="128">
        <v>0</v>
      </c>
      <c r="L488" s="128">
        <v>0</v>
      </c>
      <c r="M488" s="128">
        <v>0</v>
      </c>
      <c r="N488" s="128">
        <v>0</v>
      </c>
      <c r="O488" s="142">
        <f t="shared" si="212"/>
        <v>0</v>
      </c>
      <c r="P488" s="142"/>
      <c r="Q488" s="885"/>
      <c r="R488" s="969"/>
      <c r="S488" s="885"/>
      <c r="T488" s="142"/>
      <c r="U488" s="902">
        <f t="shared" si="213"/>
        <v>0</v>
      </c>
      <c r="V488" s="902">
        <f t="shared" si="214"/>
        <v>0</v>
      </c>
      <c r="W488" s="902">
        <f t="shared" si="215"/>
        <v>0</v>
      </c>
      <c r="X488" s="902">
        <f t="shared" si="216"/>
        <v>0</v>
      </c>
      <c r="Y488" s="904">
        <f t="shared" si="217"/>
        <v>0</v>
      </c>
    </row>
    <row r="489" spans="1:25" x14ac:dyDescent="0.2">
      <c r="A489" s="894" t="s">
        <v>279</v>
      </c>
      <c r="B489" s="898"/>
      <c r="C489" s="260">
        <v>0</v>
      </c>
      <c r="D489" s="260">
        <v>0</v>
      </c>
      <c r="E489" s="260">
        <v>0</v>
      </c>
      <c r="F489" s="260">
        <v>0</v>
      </c>
      <c r="G489" s="260">
        <v>0</v>
      </c>
      <c r="H489" s="260">
        <v>0</v>
      </c>
      <c r="I489" s="260">
        <v>0</v>
      </c>
      <c r="J489" s="260">
        <v>0</v>
      </c>
      <c r="K489" s="260">
        <v>0</v>
      </c>
      <c r="L489" s="260">
        <v>0</v>
      </c>
      <c r="M489" s="260">
        <v>0</v>
      </c>
      <c r="N489" s="260">
        <v>0</v>
      </c>
      <c r="O489" s="972">
        <f t="shared" si="212"/>
        <v>0</v>
      </c>
      <c r="P489" s="972"/>
      <c r="Q489" s="885"/>
      <c r="R489" s="969"/>
      <c r="S489" s="885"/>
      <c r="T489" s="972"/>
      <c r="U489" s="943">
        <f t="shared" si="213"/>
        <v>0</v>
      </c>
      <c r="V489" s="943">
        <f t="shared" si="214"/>
        <v>0</v>
      </c>
      <c r="W489" s="943">
        <f t="shared" si="215"/>
        <v>0</v>
      </c>
      <c r="X489" s="943">
        <f t="shared" si="216"/>
        <v>0</v>
      </c>
      <c r="Y489" s="891">
        <f t="shared" si="217"/>
        <v>0</v>
      </c>
    </row>
    <row r="490" spans="1:25" x14ac:dyDescent="0.2">
      <c r="A490" s="894" t="s">
        <v>280</v>
      </c>
      <c r="B490" s="898"/>
      <c r="C490" s="891">
        <f>SUM(C480:C489)</f>
        <v>0</v>
      </c>
      <c r="D490" s="891">
        <f t="shared" ref="D490:O490" si="218">SUM(D480:D489)</f>
        <v>0</v>
      </c>
      <c r="E490" s="891">
        <f t="shared" si="218"/>
        <v>0</v>
      </c>
      <c r="F490" s="891">
        <f t="shared" si="218"/>
        <v>0</v>
      </c>
      <c r="G490" s="891">
        <f t="shared" si="218"/>
        <v>0</v>
      </c>
      <c r="H490" s="891">
        <f t="shared" si="218"/>
        <v>0</v>
      </c>
      <c r="I490" s="891">
        <f t="shared" si="218"/>
        <v>0</v>
      </c>
      <c r="J490" s="891">
        <f t="shared" si="218"/>
        <v>0</v>
      </c>
      <c r="K490" s="891">
        <f t="shared" si="218"/>
        <v>-1400</v>
      </c>
      <c r="L490" s="891">
        <f t="shared" si="218"/>
        <v>0</v>
      </c>
      <c r="M490" s="891">
        <f t="shared" si="218"/>
        <v>0</v>
      </c>
      <c r="N490" s="891">
        <f t="shared" si="218"/>
        <v>0</v>
      </c>
      <c r="O490" s="891">
        <f t="shared" si="218"/>
        <v>-1400</v>
      </c>
      <c r="P490" s="902"/>
      <c r="Q490" s="885"/>
      <c r="R490" s="969"/>
      <c r="S490" s="885"/>
      <c r="T490" s="902"/>
      <c r="U490" s="891">
        <f>SUM(U480:U489)</f>
        <v>0</v>
      </c>
      <c r="V490" s="891">
        <f>SUM(V480:V489)</f>
        <v>0</v>
      </c>
      <c r="W490" s="891">
        <f>SUM(W480:W489)</f>
        <v>-1400</v>
      </c>
      <c r="X490" s="891">
        <f>SUM(X480:X489)</f>
        <v>0</v>
      </c>
      <c r="Y490" s="891">
        <f>SUM(Y480:Y489)</f>
        <v>-1400</v>
      </c>
    </row>
    <row r="491" spans="1:25" ht="3.95" customHeight="1" x14ac:dyDescent="0.2">
      <c r="A491" s="913"/>
      <c r="B491" s="898"/>
      <c r="C491" s="904"/>
      <c r="D491" s="904"/>
      <c r="E491" s="904"/>
      <c r="F491" s="904"/>
      <c r="G491" s="904"/>
      <c r="H491" s="904"/>
      <c r="I491" s="904"/>
      <c r="J491" s="904"/>
      <c r="K491" s="904"/>
      <c r="L491" s="904"/>
      <c r="M491" s="904"/>
      <c r="N491" s="904"/>
      <c r="O491" s="902"/>
      <c r="P491" s="902"/>
      <c r="Q491" s="885"/>
      <c r="R491" s="969"/>
      <c r="S491" s="885"/>
      <c r="T491" s="902"/>
      <c r="U491" s="902"/>
      <c r="V491" s="902"/>
      <c r="W491" s="902"/>
      <c r="X491" s="902"/>
      <c r="Y491" s="904"/>
    </row>
    <row r="492" spans="1:25" x14ac:dyDescent="0.2">
      <c r="A492" s="897" t="s">
        <v>281</v>
      </c>
      <c r="B492" s="898"/>
      <c r="C492" s="945">
        <f t="shared" ref="C492:O492" si="219">+C477+C490</f>
        <v>0</v>
      </c>
      <c r="D492" s="945">
        <f t="shared" si="219"/>
        <v>0</v>
      </c>
      <c r="E492" s="945">
        <f t="shared" si="219"/>
        <v>0</v>
      </c>
      <c r="F492" s="945">
        <f t="shared" si="219"/>
        <v>0</v>
      </c>
      <c r="G492" s="945">
        <f t="shared" si="219"/>
        <v>0</v>
      </c>
      <c r="H492" s="945">
        <f t="shared" si="219"/>
        <v>0</v>
      </c>
      <c r="I492" s="945">
        <f t="shared" si="219"/>
        <v>0</v>
      </c>
      <c r="J492" s="945">
        <f t="shared" si="219"/>
        <v>0</v>
      </c>
      <c r="K492" s="945">
        <f t="shared" si="219"/>
        <v>-1400</v>
      </c>
      <c r="L492" s="945">
        <f t="shared" si="219"/>
        <v>0</v>
      </c>
      <c r="M492" s="945">
        <f t="shared" si="219"/>
        <v>0</v>
      </c>
      <c r="N492" s="945">
        <f t="shared" si="219"/>
        <v>0</v>
      </c>
      <c r="O492" s="945">
        <f t="shared" si="219"/>
        <v>-1400</v>
      </c>
      <c r="P492" s="945"/>
      <c r="Q492" s="885"/>
      <c r="R492" s="969"/>
      <c r="S492" s="885"/>
      <c r="T492" s="945"/>
      <c r="U492" s="945">
        <f>+U477+U490</f>
        <v>0</v>
      </c>
      <c r="V492" s="945">
        <f>+V477+V490</f>
        <v>0</v>
      </c>
      <c r="W492" s="945">
        <f>+W477+W490</f>
        <v>-1400</v>
      </c>
      <c r="X492" s="945">
        <f>+X477+X490</f>
        <v>0</v>
      </c>
      <c r="Y492" s="945">
        <f>+Y477+Y490</f>
        <v>-1400</v>
      </c>
    </row>
    <row r="493" spans="1:25" ht="6" customHeight="1" x14ac:dyDescent="0.2">
      <c r="A493" s="897"/>
      <c r="B493" s="898"/>
      <c r="C493" s="945"/>
      <c r="D493" s="945"/>
      <c r="E493" s="945"/>
      <c r="F493" s="945"/>
      <c r="G493" s="945"/>
      <c r="H493" s="945"/>
      <c r="I493" s="945"/>
      <c r="J493" s="945"/>
      <c r="K493" s="945"/>
      <c r="L493" s="945"/>
      <c r="M493" s="945"/>
      <c r="N493" s="945"/>
      <c r="O493" s="945"/>
      <c r="P493" s="945"/>
      <c r="Q493" s="885"/>
      <c r="R493" s="969"/>
      <c r="S493" s="885"/>
      <c r="T493" s="945"/>
      <c r="U493" s="945"/>
      <c r="V493" s="945"/>
      <c r="W493" s="945"/>
      <c r="X493" s="945"/>
      <c r="Y493" s="945"/>
    </row>
    <row r="494" spans="1:25" x14ac:dyDescent="0.2">
      <c r="A494" s="897" t="s">
        <v>549</v>
      </c>
      <c r="B494" s="898"/>
      <c r="C494" s="945"/>
      <c r="D494" s="945"/>
      <c r="E494" s="945"/>
      <c r="F494" s="945"/>
      <c r="G494" s="945"/>
      <c r="H494" s="945"/>
      <c r="I494" s="945"/>
      <c r="J494" s="945"/>
      <c r="K494" s="945"/>
      <c r="L494" s="945"/>
      <c r="M494" s="945"/>
      <c r="N494" s="945"/>
      <c r="O494" s="945"/>
      <c r="P494" s="945"/>
      <c r="Q494" s="885"/>
      <c r="R494" s="969"/>
      <c r="S494" s="885"/>
      <c r="T494" s="945"/>
      <c r="U494" s="945"/>
      <c r="V494" s="945"/>
      <c r="W494" s="945"/>
      <c r="X494" s="945"/>
      <c r="Y494" s="945"/>
    </row>
    <row r="495" spans="1:25" x14ac:dyDescent="0.2">
      <c r="A495" s="894" t="s">
        <v>282</v>
      </c>
      <c r="B495" s="898"/>
      <c r="C495" s="128">
        <v>0</v>
      </c>
      <c r="D495" s="128">
        <v>0</v>
      </c>
      <c r="E495" s="128">
        <v>0</v>
      </c>
      <c r="F495" s="128">
        <v>0</v>
      </c>
      <c r="G495" s="128">
        <v>0</v>
      </c>
      <c r="H495" s="128">
        <v>0</v>
      </c>
      <c r="I495" s="128">
        <v>0</v>
      </c>
      <c r="J495" s="128">
        <v>0</v>
      </c>
      <c r="K495" s="128">
        <v>0</v>
      </c>
      <c r="L495" s="128">
        <v>0</v>
      </c>
      <c r="M495" s="128">
        <v>0</v>
      </c>
      <c r="N495" s="128">
        <v>0</v>
      </c>
      <c r="O495" s="142">
        <f>SUM(C495:N495)</f>
        <v>0</v>
      </c>
      <c r="P495" s="142"/>
      <c r="Q495" s="885"/>
      <c r="R495" s="969"/>
      <c r="S495" s="885"/>
      <c r="T495" s="142"/>
      <c r="U495" s="902">
        <f>C495+D495+E495</f>
        <v>0</v>
      </c>
      <c r="V495" s="902">
        <f>F495+G495+H495</f>
        <v>0</v>
      </c>
      <c r="W495" s="902">
        <f>I495+J495+K495</f>
        <v>0</v>
      </c>
      <c r="X495" s="902">
        <f>L495+M495+N495</f>
        <v>0</v>
      </c>
      <c r="Y495" s="904">
        <f>SUM(U495:X495)</f>
        <v>0</v>
      </c>
    </row>
    <row r="496" spans="1:25" x14ac:dyDescent="0.2">
      <c r="A496" s="894" t="s">
        <v>279</v>
      </c>
      <c r="B496" s="898"/>
      <c r="C496" s="260">
        <v>0</v>
      </c>
      <c r="D496" s="260">
        <v>0</v>
      </c>
      <c r="E496" s="260">
        <v>0</v>
      </c>
      <c r="F496" s="260">
        <v>0</v>
      </c>
      <c r="G496" s="260">
        <v>0</v>
      </c>
      <c r="H496" s="260">
        <v>0</v>
      </c>
      <c r="I496" s="260">
        <v>0</v>
      </c>
      <c r="J496" s="260">
        <v>0</v>
      </c>
      <c r="K496" s="260">
        <v>0</v>
      </c>
      <c r="L496" s="260">
        <v>0</v>
      </c>
      <c r="M496" s="260">
        <v>0</v>
      </c>
      <c r="N496" s="260">
        <v>0</v>
      </c>
      <c r="O496" s="972">
        <f>SUM(C496:N496)</f>
        <v>0</v>
      </c>
      <c r="P496" s="972"/>
      <c r="Q496" s="885"/>
      <c r="R496" s="969"/>
      <c r="S496" s="885"/>
      <c r="T496" s="972"/>
      <c r="U496" s="943">
        <f>C496+D496+E496</f>
        <v>0</v>
      </c>
      <c r="V496" s="943">
        <f>F496+G496+H496</f>
        <v>0</v>
      </c>
      <c r="W496" s="943">
        <f>I496+J496+K496</f>
        <v>0</v>
      </c>
      <c r="X496" s="943">
        <f>L496+M496+N496</f>
        <v>0</v>
      </c>
      <c r="Y496" s="891">
        <f>SUM(U496:X496)</f>
        <v>0</v>
      </c>
    </row>
    <row r="497" spans="1:25" x14ac:dyDescent="0.2">
      <c r="A497" s="894" t="s">
        <v>280</v>
      </c>
      <c r="B497" s="898"/>
      <c r="C497" s="891">
        <f>SUM(C495:C496)</f>
        <v>0</v>
      </c>
      <c r="D497" s="891">
        <f t="shared" ref="D497:O497" si="220">SUM(D495:D496)</f>
        <v>0</v>
      </c>
      <c r="E497" s="891">
        <f t="shared" si="220"/>
        <v>0</v>
      </c>
      <c r="F497" s="891">
        <f t="shared" si="220"/>
        <v>0</v>
      </c>
      <c r="G497" s="891">
        <f t="shared" si="220"/>
        <v>0</v>
      </c>
      <c r="H497" s="891">
        <f t="shared" si="220"/>
        <v>0</v>
      </c>
      <c r="I497" s="891">
        <f t="shared" si="220"/>
        <v>0</v>
      </c>
      <c r="J497" s="891">
        <f t="shared" si="220"/>
        <v>0</v>
      </c>
      <c r="K497" s="891">
        <f t="shared" si="220"/>
        <v>0</v>
      </c>
      <c r="L497" s="891">
        <f t="shared" si="220"/>
        <v>0</v>
      </c>
      <c r="M497" s="891">
        <f t="shared" si="220"/>
        <v>0</v>
      </c>
      <c r="N497" s="891">
        <f t="shared" si="220"/>
        <v>0</v>
      </c>
      <c r="O497" s="891">
        <f t="shared" si="220"/>
        <v>0</v>
      </c>
      <c r="P497" s="891"/>
      <c r="Q497" s="885"/>
      <c r="R497" s="969"/>
      <c r="S497" s="885"/>
      <c r="T497" s="902"/>
      <c r="U497" s="891">
        <f>SUM(U495:U496)</f>
        <v>0</v>
      </c>
      <c r="V497" s="891">
        <f>SUM(V495:V496)</f>
        <v>0</v>
      </c>
      <c r="W497" s="891">
        <f>SUM(W495:W496)</f>
        <v>0</v>
      </c>
      <c r="X497" s="891">
        <f>SUM(X495:X496)</f>
        <v>0</v>
      </c>
      <c r="Y497" s="891">
        <f>SUM(Y495:Y496)</f>
        <v>0</v>
      </c>
    </row>
    <row r="498" spans="1:25" ht="3.95" customHeight="1" x14ac:dyDescent="0.2">
      <c r="A498" s="897"/>
      <c r="B498" s="898"/>
      <c r="C498" s="945"/>
      <c r="D498" s="945"/>
      <c r="E498" s="945"/>
      <c r="F498" s="945"/>
      <c r="G498" s="945"/>
      <c r="H498" s="945"/>
      <c r="I498" s="945"/>
      <c r="J498" s="945"/>
      <c r="K498" s="945"/>
      <c r="L498" s="945"/>
      <c r="M498" s="945"/>
      <c r="N498" s="945"/>
      <c r="O498" s="945"/>
      <c r="P498" s="945"/>
      <c r="Q498" s="885"/>
      <c r="R498" s="969"/>
      <c r="S498" s="885"/>
      <c r="T498" s="945"/>
      <c r="U498" s="945"/>
      <c r="V498" s="945"/>
      <c r="W498" s="945"/>
      <c r="X498" s="945"/>
      <c r="Y498" s="945"/>
    </row>
    <row r="499" spans="1:25" x14ac:dyDescent="0.2">
      <c r="A499" s="897" t="s">
        <v>551</v>
      </c>
      <c r="B499" s="898"/>
      <c r="C499" s="945">
        <f>+C497</f>
        <v>0</v>
      </c>
      <c r="D499" s="945">
        <f t="shared" ref="D499:O499" si="221">+D497</f>
        <v>0</v>
      </c>
      <c r="E499" s="945">
        <f t="shared" si="221"/>
        <v>0</v>
      </c>
      <c r="F499" s="945">
        <f t="shared" si="221"/>
        <v>0</v>
      </c>
      <c r="G499" s="945">
        <f t="shared" si="221"/>
        <v>0</v>
      </c>
      <c r="H499" s="945">
        <f t="shared" si="221"/>
        <v>0</v>
      </c>
      <c r="I499" s="945">
        <f t="shared" si="221"/>
        <v>0</v>
      </c>
      <c r="J499" s="945">
        <f t="shared" si="221"/>
        <v>0</v>
      </c>
      <c r="K499" s="945">
        <f t="shared" si="221"/>
        <v>0</v>
      </c>
      <c r="L499" s="945">
        <f t="shared" si="221"/>
        <v>0</v>
      </c>
      <c r="M499" s="945">
        <f t="shared" si="221"/>
        <v>0</v>
      </c>
      <c r="N499" s="945">
        <f t="shared" si="221"/>
        <v>0</v>
      </c>
      <c r="O499" s="945">
        <f t="shared" si="221"/>
        <v>0</v>
      </c>
      <c r="P499" s="945"/>
      <c r="Q499" s="885"/>
      <c r="R499" s="969"/>
      <c r="S499" s="885"/>
      <c r="T499" s="945"/>
      <c r="U499" s="945">
        <f>+U497</f>
        <v>0</v>
      </c>
      <c r="V499" s="945">
        <f>+V497</f>
        <v>0</v>
      </c>
      <c r="W499" s="945">
        <f>+W497</f>
        <v>0</v>
      </c>
      <c r="X499" s="945">
        <f>+X497</f>
        <v>0</v>
      </c>
      <c r="Y499" s="945">
        <f>+Y497</f>
        <v>0</v>
      </c>
    </row>
    <row r="500" spans="1:25" ht="6" customHeight="1" x14ac:dyDescent="0.2">
      <c r="A500" s="897"/>
      <c r="B500" s="898"/>
      <c r="C500" s="945"/>
      <c r="D500" s="945"/>
      <c r="E500" s="945"/>
      <c r="F500" s="945"/>
      <c r="G500" s="945"/>
      <c r="H500" s="945"/>
      <c r="I500" s="945"/>
      <c r="J500" s="945"/>
      <c r="K500" s="945"/>
      <c r="L500" s="945"/>
      <c r="M500" s="945"/>
      <c r="N500" s="945"/>
      <c r="O500" s="945"/>
      <c r="P500" s="945"/>
      <c r="Q500" s="885"/>
      <c r="R500" s="969"/>
      <c r="S500" s="885"/>
      <c r="T500" s="945"/>
      <c r="U500" s="945"/>
      <c r="V500" s="945"/>
      <c r="W500" s="945"/>
      <c r="X500" s="945"/>
      <c r="Y500" s="945"/>
    </row>
    <row r="501" spans="1:25" x14ac:dyDescent="0.2">
      <c r="A501" s="897" t="s">
        <v>297</v>
      </c>
      <c r="B501" s="898"/>
      <c r="C501" s="945"/>
      <c r="D501" s="945"/>
      <c r="E501" s="945"/>
      <c r="F501" s="945"/>
      <c r="G501" s="945"/>
      <c r="H501" s="945"/>
      <c r="I501" s="945"/>
      <c r="J501" s="945"/>
      <c r="K501" s="945"/>
      <c r="L501" s="945"/>
      <c r="M501" s="945"/>
      <c r="N501" s="945"/>
      <c r="O501" s="945"/>
      <c r="P501" s="945"/>
      <c r="Q501" s="885"/>
      <c r="R501" s="969"/>
      <c r="S501" s="885"/>
      <c r="T501" s="945"/>
      <c r="U501" s="945"/>
      <c r="V501" s="945"/>
      <c r="W501" s="945"/>
      <c r="X501" s="945"/>
      <c r="Y501" s="945"/>
    </row>
    <row r="502" spans="1:25" x14ac:dyDescent="0.2">
      <c r="A502" s="894" t="s">
        <v>283</v>
      </c>
      <c r="B502" s="898"/>
      <c r="C502" s="128">
        <v>0</v>
      </c>
      <c r="D502" s="128">
        <v>0</v>
      </c>
      <c r="E502" s="128">
        <v>0</v>
      </c>
      <c r="F502" s="128">
        <v>0</v>
      </c>
      <c r="G502" s="128">
        <v>0</v>
      </c>
      <c r="H502" s="128">
        <v>0</v>
      </c>
      <c r="I502" s="128">
        <v>0</v>
      </c>
      <c r="J502" s="128">
        <v>0</v>
      </c>
      <c r="K502" s="128">
        <v>0</v>
      </c>
      <c r="L502" s="128">
        <v>0</v>
      </c>
      <c r="M502" s="128">
        <v>0</v>
      </c>
      <c r="N502" s="128">
        <v>0</v>
      </c>
      <c r="O502" s="142">
        <f>SUM(C502:N502)</f>
        <v>0</v>
      </c>
      <c r="P502" s="142"/>
      <c r="Q502" s="885"/>
      <c r="R502" s="969"/>
      <c r="S502" s="885"/>
      <c r="T502" s="142"/>
      <c r="U502" s="902">
        <f>C502+D502+E502</f>
        <v>0</v>
      </c>
      <c r="V502" s="902">
        <f>F502+G502+H502</f>
        <v>0</v>
      </c>
      <c r="W502" s="902">
        <f>I502+J502+K502</f>
        <v>0</v>
      </c>
      <c r="X502" s="902">
        <f>L502+M502+N502</f>
        <v>0</v>
      </c>
      <c r="Y502" s="904">
        <f>SUM(U502:X502)</f>
        <v>0</v>
      </c>
    </row>
    <row r="503" spans="1:25" x14ac:dyDescent="0.2">
      <c r="A503" s="894" t="s">
        <v>279</v>
      </c>
      <c r="B503" s="898"/>
      <c r="C503" s="260">
        <v>0</v>
      </c>
      <c r="D503" s="260">
        <v>0</v>
      </c>
      <c r="E503" s="260">
        <v>0</v>
      </c>
      <c r="F503" s="260">
        <v>0</v>
      </c>
      <c r="G503" s="260">
        <v>0</v>
      </c>
      <c r="H503" s="260">
        <v>0</v>
      </c>
      <c r="I503" s="260">
        <v>0</v>
      </c>
      <c r="J503" s="260">
        <v>0</v>
      </c>
      <c r="K503" s="260">
        <v>0</v>
      </c>
      <c r="L503" s="260">
        <v>0</v>
      </c>
      <c r="M503" s="260">
        <v>0</v>
      </c>
      <c r="N503" s="260">
        <v>0</v>
      </c>
      <c r="O503" s="972">
        <f>SUM(C503:N503)</f>
        <v>0</v>
      </c>
      <c r="P503" s="972"/>
      <c r="Q503" s="885"/>
      <c r="R503" s="969"/>
      <c r="S503" s="885"/>
      <c r="T503" s="972"/>
      <c r="U503" s="943">
        <f>C503+D503+E503</f>
        <v>0</v>
      </c>
      <c r="V503" s="943">
        <f>F503+G503+H503</f>
        <v>0</v>
      </c>
      <c r="W503" s="943">
        <f>I503+J503+K503</f>
        <v>0</v>
      </c>
      <c r="X503" s="943">
        <f>L503+M503+N503</f>
        <v>0</v>
      </c>
      <c r="Y503" s="891">
        <f>SUM(U503:X503)</f>
        <v>0</v>
      </c>
    </row>
    <row r="504" spans="1:25" x14ac:dyDescent="0.2">
      <c r="A504" s="894" t="s">
        <v>274</v>
      </c>
      <c r="B504" s="898"/>
      <c r="C504" s="891">
        <f>SUM(C502:C503)</f>
        <v>0</v>
      </c>
      <c r="D504" s="891">
        <f t="shared" ref="D504:O504" si="222">SUM(D502:D503)</f>
        <v>0</v>
      </c>
      <c r="E504" s="891">
        <f t="shared" si="222"/>
        <v>0</v>
      </c>
      <c r="F504" s="891">
        <f t="shared" si="222"/>
        <v>0</v>
      </c>
      <c r="G504" s="891">
        <f t="shared" si="222"/>
        <v>0</v>
      </c>
      <c r="H504" s="891">
        <f t="shared" si="222"/>
        <v>0</v>
      </c>
      <c r="I504" s="891">
        <f t="shared" si="222"/>
        <v>0</v>
      </c>
      <c r="J504" s="891">
        <f t="shared" si="222"/>
        <v>0</v>
      </c>
      <c r="K504" s="891">
        <f t="shared" si="222"/>
        <v>0</v>
      </c>
      <c r="L504" s="891">
        <f t="shared" si="222"/>
        <v>0</v>
      </c>
      <c r="M504" s="891">
        <f t="shared" si="222"/>
        <v>0</v>
      </c>
      <c r="N504" s="891">
        <f t="shared" si="222"/>
        <v>0</v>
      </c>
      <c r="O504" s="891">
        <f t="shared" si="222"/>
        <v>0</v>
      </c>
      <c r="P504" s="891"/>
      <c r="Q504" s="885"/>
      <c r="R504" s="969"/>
      <c r="S504" s="885"/>
      <c r="T504" s="902"/>
      <c r="U504" s="891">
        <f>SUM(U502:U503)</f>
        <v>0</v>
      </c>
      <c r="V504" s="891">
        <f>SUM(V502:V503)</f>
        <v>0</v>
      </c>
      <c r="W504" s="891">
        <f>SUM(W502:W503)</f>
        <v>0</v>
      </c>
      <c r="X504" s="891">
        <f>SUM(X502:X503)</f>
        <v>0</v>
      </c>
      <c r="Y504" s="891">
        <f>SUM(Y502:Y503)</f>
        <v>0</v>
      </c>
    </row>
    <row r="505" spans="1:25" ht="3.95" customHeight="1" x14ac:dyDescent="0.2">
      <c r="A505" s="897"/>
      <c r="B505" s="898"/>
      <c r="C505" s="945"/>
      <c r="D505" s="945"/>
      <c r="E505" s="945"/>
      <c r="F505" s="945"/>
      <c r="G505" s="945"/>
      <c r="H505" s="945"/>
      <c r="I505" s="945"/>
      <c r="J505" s="945"/>
      <c r="K505" s="945"/>
      <c r="L505" s="945"/>
      <c r="M505" s="945"/>
      <c r="N505" s="945"/>
      <c r="O505" s="945"/>
      <c r="P505" s="945"/>
      <c r="Q505" s="885"/>
      <c r="R505" s="969"/>
      <c r="S505" s="885"/>
      <c r="T505" s="945"/>
      <c r="U505" s="945"/>
      <c r="V505" s="945"/>
      <c r="W505" s="945"/>
      <c r="X505" s="945"/>
      <c r="Y505" s="945"/>
    </row>
    <row r="506" spans="1:25" x14ac:dyDescent="0.2">
      <c r="A506" s="894" t="s">
        <v>282</v>
      </c>
      <c r="B506" s="898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2">
        <f>SUM(C506:N506)</f>
        <v>0</v>
      </c>
      <c r="P506" s="142"/>
      <c r="Q506" s="885"/>
      <c r="R506" s="969"/>
      <c r="S506" s="885"/>
      <c r="T506" s="142"/>
      <c r="U506" s="902">
        <f>C506+D506+E506</f>
        <v>0</v>
      </c>
      <c r="V506" s="902">
        <f>F506+G506+H506</f>
        <v>0</v>
      </c>
      <c r="W506" s="902">
        <f>I506+J506+K506</f>
        <v>0</v>
      </c>
      <c r="X506" s="902">
        <f>L506+M506+N506</f>
        <v>0</v>
      </c>
      <c r="Y506" s="904">
        <f>SUM(U506:X506)</f>
        <v>0</v>
      </c>
    </row>
    <row r="507" spans="1:25" x14ac:dyDescent="0.2">
      <c r="A507" s="894" t="s">
        <v>279</v>
      </c>
      <c r="B507" s="898"/>
      <c r="C507" s="260">
        <v>0</v>
      </c>
      <c r="D507" s="260">
        <v>0</v>
      </c>
      <c r="E507" s="260">
        <v>0</v>
      </c>
      <c r="F507" s="260">
        <v>0</v>
      </c>
      <c r="G507" s="260">
        <v>0</v>
      </c>
      <c r="H507" s="260">
        <v>0</v>
      </c>
      <c r="I507" s="260">
        <v>0</v>
      </c>
      <c r="J507" s="260">
        <v>0</v>
      </c>
      <c r="K507" s="260">
        <v>0</v>
      </c>
      <c r="L507" s="260">
        <v>0</v>
      </c>
      <c r="M507" s="260">
        <v>0</v>
      </c>
      <c r="N507" s="260">
        <v>0</v>
      </c>
      <c r="O507" s="972">
        <f>SUM(C507:N507)</f>
        <v>0</v>
      </c>
      <c r="P507" s="972"/>
      <c r="Q507" s="885"/>
      <c r="R507" s="969"/>
      <c r="S507" s="885"/>
      <c r="T507" s="972"/>
      <c r="U507" s="943">
        <f>C507+D507+E507</f>
        <v>0</v>
      </c>
      <c r="V507" s="943">
        <f>F507+G507+H507</f>
        <v>0</v>
      </c>
      <c r="W507" s="943">
        <f>I507+J507+K507</f>
        <v>0</v>
      </c>
      <c r="X507" s="943">
        <f>L507+M507+N507</f>
        <v>0</v>
      </c>
      <c r="Y507" s="891">
        <f>SUM(U507:X507)</f>
        <v>0</v>
      </c>
    </row>
    <row r="508" spans="1:25" x14ac:dyDescent="0.2">
      <c r="A508" s="894" t="s">
        <v>280</v>
      </c>
      <c r="B508" s="898"/>
      <c r="C508" s="891">
        <f>SUM(C506:C507)</f>
        <v>0</v>
      </c>
      <c r="D508" s="891">
        <f t="shared" ref="D508:O508" si="223">SUM(D506:D507)</f>
        <v>0</v>
      </c>
      <c r="E508" s="891">
        <f t="shared" si="223"/>
        <v>0</v>
      </c>
      <c r="F508" s="891">
        <f t="shared" si="223"/>
        <v>0</v>
      </c>
      <c r="G508" s="891">
        <f t="shared" si="223"/>
        <v>0</v>
      </c>
      <c r="H508" s="891">
        <f t="shared" si="223"/>
        <v>0</v>
      </c>
      <c r="I508" s="891">
        <f t="shared" si="223"/>
        <v>0</v>
      </c>
      <c r="J508" s="891">
        <f t="shared" si="223"/>
        <v>0</v>
      </c>
      <c r="K508" s="891">
        <f t="shared" si="223"/>
        <v>0</v>
      </c>
      <c r="L508" s="891">
        <f t="shared" si="223"/>
        <v>0</v>
      </c>
      <c r="M508" s="891">
        <f t="shared" si="223"/>
        <v>0</v>
      </c>
      <c r="N508" s="891">
        <f t="shared" si="223"/>
        <v>0</v>
      </c>
      <c r="O508" s="891">
        <f t="shared" si="223"/>
        <v>0</v>
      </c>
      <c r="P508" s="891"/>
      <c r="Q508" s="885"/>
      <c r="R508" s="969"/>
      <c r="S508" s="885"/>
      <c r="T508" s="902"/>
      <c r="U508" s="891">
        <f>SUM(U506:U507)</f>
        <v>0</v>
      </c>
      <c r="V508" s="891">
        <f>SUM(V506:V507)</f>
        <v>0</v>
      </c>
      <c r="W508" s="891">
        <f>SUM(W506:W507)</f>
        <v>0</v>
      </c>
      <c r="X508" s="891">
        <f>SUM(X506:X507)</f>
        <v>0</v>
      </c>
      <c r="Y508" s="891">
        <f>SUM(Y506:Y507)</f>
        <v>0</v>
      </c>
    </row>
    <row r="509" spans="1:25" ht="3.95" customHeight="1" x14ac:dyDescent="0.2">
      <c r="A509" s="897"/>
      <c r="B509" s="898"/>
      <c r="C509" s="945"/>
      <c r="D509" s="945"/>
      <c r="E509" s="945"/>
      <c r="F509" s="945"/>
      <c r="G509" s="945"/>
      <c r="H509" s="945"/>
      <c r="I509" s="945"/>
      <c r="J509" s="945"/>
      <c r="K509" s="945"/>
      <c r="L509" s="945"/>
      <c r="M509" s="945"/>
      <c r="N509" s="945"/>
      <c r="O509" s="945"/>
      <c r="P509" s="945"/>
      <c r="Q509" s="885"/>
      <c r="R509" s="969"/>
      <c r="S509" s="885"/>
      <c r="T509" s="945"/>
      <c r="U509" s="945"/>
      <c r="V509" s="945"/>
      <c r="W509" s="945"/>
      <c r="X509" s="945"/>
      <c r="Y509" s="945"/>
    </row>
    <row r="510" spans="1:25" x14ac:dyDescent="0.2">
      <c r="A510" s="897" t="s">
        <v>284</v>
      </c>
      <c r="B510" s="898"/>
      <c r="C510" s="945">
        <f>+C504+C508</f>
        <v>0</v>
      </c>
      <c r="D510" s="945">
        <f t="shared" ref="D510:O510" si="224">+D504+D508</f>
        <v>0</v>
      </c>
      <c r="E510" s="945">
        <f t="shared" si="224"/>
        <v>0</v>
      </c>
      <c r="F510" s="945">
        <f t="shared" si="224"/>
        <v>0</v>
      </c>
      <c r="G510" s="945">
        <f t="shared" si="224"/>
        <v>0</v>
      </c>
      <c r="H510" s="945">
        <f t="shared" si="224"/>
        <v>0</v>
      </c>
      <c r="I510" s="945">
        <f t="shared" si="224"/>
        <v>0</v>
      </c>
      <c r="J510" s="945">
        <f t="shared" si="224"/>
        <v>0</v>
      </c>
      <c r="K510" s="945">
        <f t="shared" si="224"/>
        <v>0</v>
      </c>
      <c r="L510" s="945">
        <f t="shared" si="224"/>
        <v>0</v>
      </c>
      <c r="M510" s="945">
        <f t="shared" si="224"/>
        <v>0</v>
      </c>
      <c r="N510" s="945">
        <f t="shared" si="224"/>
        <v>0</v>
      </c>
      <c r="O510" s="945">
        <f t="shared" si="224"/>
        <v>0</v>
      </c>
      <c r="P510" s="945"/>
      <c r="Q510" s="885"/>
      <c r="R510" s="969"/>
      <c r="S510" s="885"/>
      <c r="T510" s="945"/>
      <c r="U510" s="945">
        <f>+U504+U508</f>
        <v>0</v>
      </c>
      <c r="V510" s="945">
        <f>+V504+V508</f>
        <v>0</v>
      </c>
      <c r="W510" s="945">
        <f>+W504+W508</f>
        <v>0</v>
      </c>
      <c r="X510" s="945">
        <f>+X504+X508</f>
        <v>0</v>
      </c>
      <c r="Y510" s="945">
        <f>+Y504+Y508</f>
        <v>0</v>
      </c>
    </row>
    <row r="511" spans="1:25" ht="6" customHeight="1" x14ac:dyDescent="0.2">
      <c r="A511" s="897"/>
      <c r="B511" s="898"/>
      <c r="C511" s="945"/>
      <c r="D511" s="945"/>
      <c r="E511" s="945"/>
      <c r="F511" s="945"/>
      <c r="G511" s="945"/>
      <c r="H511" s="945"/>
      <c r="I511" s="945"/>
      <c r="J511" s="945"/>
      <c r="K511" s="945"/>
      <c r="L511" s="945"/>
      <c r="M511" s="945"/>
      <c r="N511" s="945"/>
      <c r="O511" s="945"/>
      <c r="P511" s="945"/>
      <c r="Q511" s="885"/>
      <c r="R511" s="969"/>
      <c r="S511" s="885"/>
      <c r="T511" s="945"/>
      <c r="U511" s="945"/>
      <c r="V511" s="945"/>
      <c r="W511" s="945"/>
      <c r="X511" s="945"/>
      <c r="Y511" s="945"/>
    </row>
    <row r="512" spans="1:25" x14ac:dyDescent="0.2">
      <c r="A512" s="897" t="s">
        <v>285</v>
      </c>
      <c r="B512" s="898"/>
      <c r="C512" s="945"/>
      <c r="D512" s="945"/>
      <c r="E512" s="945"/>
      <c r="F512" s="945"/>
      <c r="G512" s="945"/>
      <c r="H512" s="945"/>
      <c r="I512" s="945"/>
      <c r="J512" s="945"/>
      <c r="K512" s="945"/>
      <c r="L512" s="945"/>
      <c r="M512" s="945"/>
      <c r="N512" s="945"/>
      <c r="O512" s="945"/>
      <c r="P512" s="945"/>
      <c r="Q512" s="885"/>
      <c r="R512" s="969"/>
      <c r="S512" s="885"/>
      <c r="T512" s="945"/>
      <c r="U512" s="945"/>
      <c r="V512" s="945"/>
      <c r="W512" s="945"/>
      <c r="X512" s="945"/>
      <c r="Y512" s="945"/>
    </row>
    <row r="513" spans="1:25" x14ac:dyDescent="0.2">
      <c r="A513" s="894" t="s">
        <v>282</v>
      </c>
      <c r="B513" s="898"/>
      <c r="C513" s="128">
        <v>0</v>
      </c>
      <c r="D513" s="128">
        <v>0</v>
      </c>
      <c r="E513" s="128">
        <v>0</v>
      </c>
      <c r="F513" s="128">
        <v>0</v>
      </c>
      <c r="G513" s="128">
        <v>0</v>
      </c>
      <c r="H513" s="128">
        <v>0</v>
      </c>
      <c r="I513" s="128">
        <v>0</v>
      </c>
      <c r="J513" s="128">
        <v>0</v>
      </c>
      <c r="K513" s="128">
        <v>0</v>
      </c>
      <c r="L513" s="128">
        <v>0</v>
      </c>
      <c r="M513" s="128">
        <v>0</v>
      </c>
      <c r="N513" s="128">
        <v>0</v>
      </c>
      <c r="O513" s="142">
        <f>SUM(C513:N513)</f>
        <v>0</v>
      </c>
      <c r="P513" s="142"/>
      <c r="Q513" s="885"/>
      <c r="R513" s="969"/>
      <c r="S513" s="885"/>
      <c r="T513" s="142"/>
      <c r="U513" s="902">
        <f>C513+D513+E513</f>
        <v>0</v>
      </c>
      <c r="V513" s="902">
        <f>F513+G513+H513</f>
        <v>0</v>
      </c>
      <c r="W513" s="902">
        <f>I513+J513+K513</f>
        <v>0</v>
      </c>
      <c r="X513" s="902">
        <f>L513+M513+N513</f>
        <v>0</v>
      </c>
      <c r="Y513" s="904">
        <f>SUM(U513:X513)</f>
        <v>0</v>
      </c>
    </row>
    <row r="514" spans="1:25" x14ac:dyDescent="0.2">
      <c r="A514" s="894" t="s">
        <v>61</v>
      </c>
      <c r="B514" s="898"/>
      <c r="C514" s="128">
        <v>0</v>
      </c>
      <c r="D514" s="128">
        <v>0</v>
      </c>
      <c r="E514" s="128">
        <v>0</v>
      </c>
      <c r="F514" s="128">
        <v>0</v>
      </c>
      <c r="G514" s="128">
        <v>0</v>
      </c>
      <c r="H514" s="128">
        <v>0</v>
      </c>
      <c r="I514" s="128">
        <v>0</v>
      </c>
      <c r="J514" s="128">
        <v>0</v>
      </c>
      <c r="K514" s="128">
        <v>0</v>
      </c>
      <c r="L514" s="128">
        <v>0</v>
      </c>
      <c r="M514" s="128">
        <v>0</v>
      </c>
      <c r="N514" s="128">
        <v>0</v>
      </c>
      <c r="O514" s="142">
        <f>SUM(C514:N514)</f>
        <v>0</v>
      </c>
      <c r="P514" s="142"/>
      <c r="Q514" s="885"/>
      <c r="R514" s="969"/>
      <c r="S514" s="885"/>
      <c r="T514" s="142"/>
      <c r="U514" s="902">
        <f>C514+D514+E514</f>
        <v>0</v>
      </c>
      <c r="V514" s="902">
        <f>F514+G514+H514</f>
        <v>0</v>
      </c>
      <c r="W514" s="902">
        <f>I514+J514+K514</f>
        <v>0</v>
      </c>
      <c r="X514" s="902">
        <f>L514+M514+N514</f>
        <v>0</v>
      </c>
      <c r="Y514" s="904">
        <f>SUM(U514:X514)</f>
        <v>0</v>
      </c>
    </row>
    <row r="515" spans="1:25" x14ac:dyDescent="0.2">
      <c r="A515" s="894" t="s">
        <v>279</v>
      </c>
      <c r="B515" s="898"/>
      <c r="C515" s="260">
        <v>0</v>
      </c>
      <c r="D515" s="260">
        <v>0</v>
      </c>
      <c r="E515" s="260">
        <v>0</v>
      </c>
      <c r="F515" s="260">
        <v>0</v>
      </c>
      <c r="G515" s="260">
        <v>0</v>
      </c>
      <c r="H515" s="260">
        <v>0</v>
      </c>
      <c r="I515" s="260">
        <v>0</v>
      </c>
      <c r="J515" s="260">
        <v>0</v>
      </c>
      <c r="K515" s="260">
        <v>0</v>
      </c>
      <c r="L515" s="260">
        <v>0</v>
      </c>
      <c r="M515" s="260">
        <v>0</v>
      </c>
      <c r="N515" s="260">
        <v>0</v>
      </c>
      <c r="O515" s="972">
        <f>SUM(C515:N515)</f>
        <v>0</v>
      </c>
      <c r="P515" s="972"/>
      <c r="Q515" s="885"/>
      <c r="R515" s="969"/>
      <c r="S515" s="885"/>
      <c r="T515" s="972"/>
      <c r="U515" s="943">
        <f>C515+D515+E515</f>
        <v>0</v>
      </c>
      <c r="V515" s="943">
        <f>F515+G515+H515</f>
        <v>0</v>
      </c>
      <c r="W515" s="943">
        <f>I515+J515+K515</f>
        <v>0</v>
      </c>
      <c r="X515" s="943">
        <f>L515+M515+N515</f>
        <v>0</v>
      </c>
      <c r="Y515" s="891">
        <f>SUM(U515:X515)</f>
        <v>0</v>
      </c>
    </row>
    <row r="516" spans="1:25" x14ac:dyDescent="0.2">
      <c r="A516" s="894" t="s">
        <v>280</v>
      </c>
      <c r="B516" s="898"/>
      <c r="C516" s="891">
        <f>SUM(C513:C515)</f>
        <v>0</v>
      </c>
      <c r="D516" s="891">
        <f t="shared" ref="D516:O516" si="225">SUM(D513:D515)</f>
        <v>0</v>
      </c>
      <c r="E516" s="891">
        <f t="shared" si="225"/>
        <v>0</v>
      </c>
      <c r="F516" s="891">
        <f t="shared" si="225"/>
        <v>0</v>
      </c>
      <c r="G516" s="891">
        <f t="shared" si="225"/>
        <v>0</v>
      </c>
      <c r="H516" s="891">
        <f t="shared" si="225"/>
        <v>0</v>
      </c>
      <c r="I516" s="891">
        <f t="shared" si="225"/>
        <v>0</v>
      </c>
      <c r="J516" s="891">
        <f t="shared" si="225"/>
        <v>0</v>
      </c>
      <c r="K516" s="891">
        <f t="shared" si="225"/>
        <v>0</v>
      </c>
      <c r="L516" s="891">
        <f t="shared" si="225"/>
        <v>0</v>
      </c>
      <c r="M516" s="891">
        <f t="shared" si="225"/>
        <v>0</v>
      </c>
      <c r="N516" s="891">
        <f t="shared" si="225"/>
        <v>0</v>
      </c>
      <c r="O516" s="891">
        <f t="shared" si="225"/>
        <v>0</v>
      </c>
      <c r="P516" s="891"/>
      <c r="Q516" s="885"/>
      <c r="R516" s="969"/>
      <c r="S516" s="885"/>
      <c r="T516" s="902"/>
      <c r="U516" s="891">
        <f>SUM(U513:U515)</f>
        <v>0</v>
      </c>
      <c r="V516" s="891">
        <f>SUM(V513:V515)</f>
        <v>0</v>
      </c>
      <c r="W516" s="891">
        <f>SUM(W513:W515)</f>
        <v>0</v>
      </c>
      <c r="X516" s="891">
        <f>SUM(X513:X515)</f>
        <v>0</v>
      </c>
      <c r="Y516" s="891">
        <f>SUM(Y513:Y515)</f>
        <v>0</v>
      </c>
    </row>
    <row r="517" spans="1:25" ht="3.95" customHeight="1" x14ac:dyDescent="0.2">
      <c r="A517" s="897"/>
      <c r="B517" s="898"/>
      <c r="C517" s="945"/>
      <c r="D517" s="945"/>
      <c r="E517" s="945"/>
      <c r="F517" s="945"/>
      <c r="G517" s="945"/>
      <c r="H517" s="945"/>
      <c r="I517" s="945"/>
      <c r="J517" s="945"/>
      <c r="K517" s="945"/>
      <c r="L517" s="945"/>
      <c r="M517" s="945"/>
      <c r="N517" s="945"/>
      <c r="O517" s="945"/>
      <c r="P517" s="945"/>
      <c r="Q517" s="885"/>
      <c r="R517" s="969"/>
      <c r="S517" s="885"/>
      <c r="T517" s="945"/>
      <c r="U517" s="945"/>
      <c r="V517" s="945"/>
      <c r="W517" s="945"/>
      <c r="X517" s="945"/>
      <c r="Y517" s="945"/>
    </row>
    <row r="518" spans="1:25" x14ac:dyDescent="0.2">
      <c r="A518" s="897" t="s">
        <v>286</v>
      </c>
      <c r="B518" s="898"/>
      <c r="C518" s="945">
        <f>+C516</f>
        <v>0</v>
      </c>
      <c r="D518" s="945">
        <f t="shared" ref="D518:O518" si="226">+D516</f>
        <v>0</v>
      </c>
      <c r="E518" s="945">
        <f t="shared" si="226"/>
        <v>0</v>
      </c>
      <c r="F518" s="945">
        <f t="shared" si="226"/>
        <v>0</v>
      </c>
      <c r="G518" s="945">
        <f t="shared" si="226"/>
        <v>0</v>
      </c>
      <c r="H518" s="945">
        <f t="shared" si="226"/>
        <v>0</v>
      </c>
      <c r="I518" s="945">
        <f t="shared" si="226"/>
        <v>0</v>
      </c>
      <c r="J518" s="945">
        <f t="shared" si="226"/>
        <v>0</v>
      </c>
      <c r="K518" s="945">
        <f t="shared" si="226"/>
        <v>0</v>
      </c>
      <c r="L518" s="945">
        <f t="shared" si="226"/>
        <v>0</v>
      </c>
      <c r="M518" s="945">
        <f t="shared" si="226"/>
        <v>0</v>
      </c>
      <c r="N518" s="945">
        <f t="shared" si="226"/>
        <v>0</v>
      </c>
      <c r="O518" s="945">
        <f t="shared" si="226"/>
        <v>0</v>
      </c>
      <c r="P518" s="945"/>
      <c r="Q518" s="885"/>
      <c r="R518" s="969"/>
      <c r="S518" s="885"/>
      <c r="T518" s="945"/>
      <c r="U518" s="945">
        <f>+U516</f>
        <v>0</v>
      </c>
      <c r="V518" s="945">
        <f>+V516</f>
        <v>0</v>
      </c>
      <c r="W518" s="945">
        <f>+W516</f>
        <v>0</v>
      </c>
      <c r="X518" s="945">
        <f>+X516</f>
        <v>0</v>
      </c>
      <c r="Y518" s="945">
        <f>+Y516</f>
        <v>0</v>
      </c>
    </row>
    <row r="519" spans="1:25" ht="6" customHeight="1" x14ac:dyDescent="0.2">
      <c r="A519" s="897"/>
      <c r="B519" s="898"/>
      <c r="C519" s="945"/>
      <c r="D519" s="945"/>
      <c r="E519" s="945"/>
      <c r="F519" s="945"/>
      <c r="G519" s="945"/>
      <c r="H519" s="945"/>
      <c r="I519" s="945"/>
      <c r="J519" s="945"/>
      <c r="K519" s="945"/>
      <c r="L519" s="945"/>
      <c r="M519" s="945"/>
      <c r="N519" s="945"/>
      <c r="O519" s="945"/>
      <c r="P519" s="945"/>
      <c r="Q519" s="885"/>
      <c r="R519" s="969"/>
      <c r="S519" s="885"/>
      <c r="T519" s="945"/>
      <c r="U519" s="945"/>
      <c r="V519" s="945"/>
      <c r="W519" s="945"/>
      <c r="X519" s="945"/>
      <c r="Y519" s="945"/>
    </row>
    <row r="520" spans="1:25" x14ac:dyDescent="0.2">
      <c r="A520" s="897" t="s">
        <v>304</v>
      </c>
      <c r="B520" s="898"/>
      <c r="C520" s="945"/>
      <c r="D520" s="945"/>
      <c r="E520" s="945"/>
      <c r="F520" s="945"/>
      <c r="G520" s="945"/>
      <c r="H520" s="945"/>
      <c r="I520" s="945"/>
      <c r="J520" s="945"/>
      <c r="K520" s="945"/>
      <c r="L520" s="945"/>
      <c r="M520" s="945"/>
      <c r="N520" s="945"/>
      <c r="O520" s="945"/>
      <c r="P520" s="945"/>
      <c r="Q520" s="885"/>
      <c r="R520" s="969"/>
      <c r="S520" s="885"/>
      <c r="T520" s="945"/>
      <c r="U520" s="945"/>
      <c r="V520" s="945"/>
      <c r="W520" s="945"/>
      <c r="X520" s="945"/>
      <c r="Y520" s="945"/>
    </row>
    <row r="521" spans="1:25" x14ac:dyDescent="0.2">
      <c r="A521" s="894" t="s">
        <v>282</v>
      </c>
      <c r="B521" s="898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128">
        <v>0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2">
        <f>SUM(C521:N521)</f>
        <v>0</v>
      </c>
      <c r="P521" s="142"/>
      <c r="Q521" s="885"/>
      <c r="R521" s="969"/>
      <c r="S521" s="885"/>
      <c r="T521" s="142"/>
      <c r="U521" s="902">
        <f>C521+D521+E521</f>
        <v>0</v>
      </c>
      <c r="V521" s="902">
        <f>F521+G521+H521</f>
        <v>0</v>
      </c>
      <c r="W521" s="902">
        <f>I521+J521+K521</f>
        <v>0</v>
      </c>
      <c r="X521" s="902">
        <f>L521+M521+N521</f>
        <v>0</v>
      </c>
      <c r="Y521" s="904">
        <f>SUM(U521:X521)</f>
        <v>0</v>
      </c>
    </row>
    <row r="522" spans="1:25" x14ac:dyDescent="0.2">
      <c r="A522" s="894" t="s">
        <v>279</v>
      </c>
      <c r="B522" s="898"/>
      <c r="C522" s="260">
        <v>0</v>
      </c>
      <c r="D522" s="260">
        <v>0</v>
      </c>
      <c r="E522" s="260">
        <v>0</v>
      </c>
      <c r="F522" s="260">
        <v>0</v>
      </c>
      <c r="G522" s="260">
        <v>0</v>
      </c>
      <c r="H522" s="260">
        <v>0</v>
      </c>
      <c r="I522" s="260">
        <v>0</v>
      </c>
      <c r="J522" s="260">
        <v>0</v>
      </c>
      <c r="K522" s="260">
        <v>0</v>
      </c>
      <c r="L522" s="260">
        <v>0</v>
      </c>
      <c r="M522" s="260">
        <v>0</v>
      </c>
      <c r="N522" s="260">
        <v>0</v>
      </c>
      <c r="O522" s="972">
        <f>SUM(C522:N522)</f>
        <v>0</v>
      </c>
      <c r="P522" s="972"/>
      <c r="Q522" s="885"/>
      <c r="R522" s="969"/>
      <c r="S522" s="885"/>
      <c r="T522" s="972"/>
      <c r="U522" s="943">
        <f>C522+D522+E522</f>
        <v>0</v>
      </c>
      <c r="V522" s="943">
        <f>F522+G522+H522</f>
        <v>0</v>
      </c>
      <c r="W522" s="943">
        <f>I522+J522+K522</f>
        <v>0</v>
      </c>
      <c r="X522" s="943">
        <f>L522+M522+N522</f>
        <v>0</v>
      </c>
      <c r="Y522" s="891">
        <f>SUM(U522:X522)</f>
        <v>0</v>
      </c>
    </row>
    <row r="523" spans="1:25" x14ac:dyDescent="0.2">
      <c r="A523" s="894" t="s">
        <v>280</v>
      </c>
      <c r="B523" s="898"/>
      <c r="C523" s="891">
        <f>SUM(C521:C522)</f>
        <v>0</v>
      </c>
      <c r="D523" s="891">
        <f t="shared" ref="D523:O523" si="227">SUM(D521:D522)</f>
        <v>0</v>
      </c>
      <c r="E523" s="891">
        <f t="shared" si="227"/>
        <v>0</v>
      </c>
      <c r="F523" s="891">
        <f t="shared" si="227"/>
        <v>0</v>
      </c>
      <c r="G523" s="891">
        <f t="shared" si="227"/>
        <v>0</v>
      </c>
      <c r="H523" s="891">
        <f t="shared" si="227"/>
        <v>0</v>
      </c>
      <c r="I523" s="891">
        <f t="shared" si="227"/>
        <v>0</v>
      </c>
      <c r="J523" s="891">
        <f t="shared" si="227"/>
        <v>0</v>
      </c>
      <c r="K523" s="891">
        <f t="shared" si="227"/>
        <v>0</v>
      </c>
      <c r="L523" s="891">
        <f t="shared" si="227"/>
        <v>0</v>
      </c>
      <c r="M523" s="891">
        <f t="shared" si="227"/>
        <v>0</v>
      </c>
      <c r="N523" s="891">
        <f t="shared" si="227"/>
        <v>0</v>
      </c>
      <c r="O523" s="891">
        <f t="shared" si="227"/>
        <v>0</v>
      </c>
      <c r="P523" s="891"/>
      <c r="Q523" s="885"/>
      <c r="R523" s="969"/>
      <c r="S523" s="885"/>
      <c r="T523" s="902"/>
      <c r="U523" s="891">
        <f>SUM(U521:U522)</f>
        <v>0</v>
      </c>
      <c r="V523" s="891">
        <f>SUM(V521:V522)</f>
        <v>0</v>
      </c>
      <c r="W523" s="891">
        <f>SUM(W521:W522)</f>
        <v>0</v>
      </c>
      <c r="X523" s="891">
        <f>SUM(X521:X522)</f>
        <v>0</v>
      </c>
      <c r="Y523" s="891">
        <f>SUM(Y521:Y522)</f>
        <v>0</v>
      </c>
    </row>
    <row r="524" spans="1:25" ht="3.95" customHeight="1" x14ac:dyDescent="0.2">
      <c r="A524" s="897"/>
      <c r="B524" s="898"/>
      <c r="C524" s="945"/>
      <c r="D524" s="945"/>
      <c r="E524" s="945"/>
      <c r="F524" s="945"/>
      <c r="G524" s="945"/>
      <c r="H524" s="945"/>
      <c r="I524" s="945"/>
      <c r="J524" s="945"/>
      <c r="K524" s="945"/>
      <c r="L524" s="945"/>
      <c r="M524" s="945"/>
      <c r="N524" s="945"/>
      <c r="O524" s="945"/>
      <c r="P524" s="945"/>
      <c r="Q524" s="885"/>
      <c r="R524" s="969"/>
      <c r="S524" s="885"/>
      <c r="T524" s="945"/>
      <c r="U524" s="945"/>
      <c r="V524" s="945"/>
      <c r="W524" s="945"/>
      <c r="X524" s="945"/>
      <c r="Y524" s="945"/>
    </row>
    <row r="525" spans="1:25" x14ac:dyDescent="0.2">
      <c r="A525" s="897" t="s">
        <v>287</v>
      </c>
      <c r="B525" s="898"/>
      <c r="C525" s="945">
        <f>+C523</f>
        <v>0</v>
      </c>
      <c r="D525" s="945">
        <f t="shared" ref="D525:O525" si="228">+D523</f>
        <v>0</v>
      </c>
      <c r="E525" s="945">
        <f t="shared" si="228"/>
        <v>0</v>
      </c>
      <c r="F525" s="945">
        <f t="shared" si="228"/>
        <v>0</v>
      </c>
      <c r="G525" s="945">
        <f t="shared" si="228"/>
        <v>0</v>
      </c>
      <c r="H525" s="945">
        <f t="shared" si="228"/>
        <v>0</v>
      </c>
      <c r="I525" s="945">
        <f t="shared" si="228"/>
        <v>0</v>
      </c>
      <c r="J525" s="945">
        <f t="shared" si="228"/>
        <v>0</v>
      </c>
      <c r="K525" s="945">
        <f t="shared" si="228"/>
        <v>0</v>
      </c>
      <c r="L525" s="945">
        <f t="shared" si="228"/>
        <v>0</v>
      </c>
      <c r="M525" s="945">
        <f t="shared" si="228"/>
        <v>0</v>
      </c>
      <c r="N525" s="945">
        <f t="shared" si="228"/>
        <v>0</v>
      </c>
      <c r="O525" s="945">
        <f t="shared" si="228"/>
        <v>0</v>
      </c>
      <c r="P525" s="945"/>
      <c r="Q525" s="885"/>
      <c r="R525" s="969"/>
      <c r="S525" s="885"/>
      <c r="T525" s="945"/>
      <c r="U525" s="945">
        <f>+U523</f>
        <v>0</v>
      </c>
      <c r="V525" s="945">
        <f>+V523</f>
        <v>0</v>
      </c>
      <c r="W525" s="945">
        <f>+W523</f>
        <v>0</v>
      </c>
      <c r="X525" s="945">
        <f>+X523</f>
        <v>0</v>
      </c>
      <c r="Y525" s="945">
        <f>+Y523</f>
        <v>0</v>
      </c>
    </row>
    <row r="526" spans="1:25" ht="6" customHeight="1" x14ac:dyDescent="0.2">
      <c r="A526" s="897"/>
      <c r="B526" s="898"/>
      <c r="C526" s="945"/>
      <c r="D526" s="945"/>
      <c r="E526" s="945"/>
      <c r="F526" s="945"/>
      <c r="G526" s="945"/>
      <c r="H526" s="945"/>
      <c r="I526" s="945"/>
      <c r="J526" s="945"/>
      <c r="K526" s="945"/>
      <c r="L526" s="945"/>
      <c r="M526" s="945"/>
      <c r="N526" s="945"/>
      <c r="O526" s="945"/>
      <c r="P526" s="945"/>
      <c r="Q526" s="885"/>
      <c r="R526" s="969"/>
      <c r="S526" s="885"/>
      <c r="T526" s="945"/>
      <c r="U526" s="945"/>
      <c r="V526" s="945"/>
      <c r="W526" s="945"/>
      <c r="X526" s="945"/>
      <c r="Y526" s="945"/>
    </row>
    <row r="527" spans="1:25" x14ac:dyDescent="0.2">
      <c r="A527" s="897" t="s">
        <v>288</v>
      </c>
      <c r="B527" s="898"/>
      <c r="C527" s="945"/>
      <c r="D527" s="945"/>
      <c r="E527" s="945"/>
      <c r="F527" s="945"/>
      <c r="G527" s="945"/>
      <c r="H527" s="945"/>
      <c r="I527" s="945"/>
      <c r="J527" s="945"/>
      <c r="K527" s="945"/>
      <c r="L527" s="945"/>
      <c r="M527" s="945"/>
      <c r="N527" s="945"/>
      <c r="O527" s="945"/>
      <c r="P527" s="945"/>
      <c r="Q527" s="885"/>
      <c r="R527" s="969"/>
      <c r="S527" s="885"/>
      <c r="T527" s="945"/>
      <c r="U527" s="945"/>
      <c r="V527" s="945"/>
      <c r="W527" s="945"/>
      <c r="X527" s="945"/>
      <c r="Y527" s="945"/>
    </row>
    <row r="528" spans="1:25" x14ac:dyDescent="0.2">
      <c r="A528" s="894" t="s">
        <v>282</v>
      </c>
      <c r="B528" s="898"/>
      <c r="C528" s="128">
        <v>0</v>
      </c>
      <c r="D528" s="128">
        <v>0</v>
      </c>
      <c r="E528" s="128">
        <v>0</v>
      </c>
      <c r="F528" s="128">
        <v>0</v>
      </c>
      <c r="G528" s="128">
        <v>0</v>
      </c>
      <c r="H528" s="128">
        <v>0</v>
      </c>
      <c r="I528" s="128">
        <v>0</v>
      </c>
      <c r="J528" s="128">
        <v>0</v>
      </c>
      <c r="K528" s="128">
        <v>0</v>
      </c>
      <c r="L528" s="128">
        <v>0</v>
      </c>
      <c r="M528" s="128">
        <v>0</v>
      </c>
      <c r="N528" s="128">
        <v>0</v>
      </c>
      <c r="O528" s="142">
        <f>SUM(C528:N528)</f>
        <v>0</v>
      </c>
      <c r="P528" s="142"/>
      <c r="Q528" s="885"/>
      <c r="R528" s="969"/>
      <c r="S528" s="885"/>
      <c r="T528" s="142"/>
      <c r="U528" s="902">
        <f>C528+D528+E528</f>
        <v>0</v>
      </c>
      <c r="V528" s="902">
        <f>F528+G528+H528</f>
        <v>0</v>
      </c>
      <c r="W528" s="902">
        <f>I528+J528+K528</f>
        <v>0</v>
      </c>
      <c r="X528" s="902">
        <f>L528+M528+N528</f>
        <v>0</v>
      </c>
      <c r="Y528" s="904">
        <f>SUM(U528:X528)</f>
        <v>0</v>
      </c>
    </row>
    <row r="529" spans="1:25" x14ac:dyDescent="0.2">
      <c r="A529" s="894" t="s">
        <v>279</v>
      </c>
      <c r="B529" s="898"/>
      <c r="C529" s="260">
        <v>0</v>
      </c>
      <c r="D529" s="260">
        <v>0</v>
      </c>
      <c r="E529" s="260">
        <v>0</v>
      </c>
      <c r="F529" s="260">
        <v>0</v>
      </c>
      <c r="G529" s="260">
        <v>0</v>
      </c>
      <c r="H529" s="260">
        <v>0</v>
      </c>
      <c r="I529" s="260">
        <v>0</v>
      </c>
      <c r="J529" s="260">
        <v>0</v>
      </c>
      <c r="K529" s="260">
        <v>0</v>
      </c>
      <c r="L529" s="260">
        <v>0</v>
      </c>
      <c r="M529" s="260">
        <v>0</v>
      </c>
      <c r="N529" s="260">
        <v>0</v>
      </c>
      <c r="O529" s="972">
        <f>SUM(C529:N529)</f>
        <v>0</v>
      </c>
      <c r="P529" s="972"/>
      <c r="Q529" s="885"/>
      <c r="R529" s="969"/>
      <c r="S529" s="885"/>
      <c r="T529" s="972"/>
      <c r="U529" s="943">
        <f>C529+D529+E529</f>
        <v>0</v>
      </c>
      <c r="V529" s="943">
        <f>F529+G529+H529</f>
        <v>0</v>
      </c>
      <c r="W529" s="943">
        <f>I529+J529+K529</f>
        <v>0</v>
      </c>
      <c r="X529" s="943">
        <f>L529+M529+N529</f>
        <v>0</v>
      </c>
      <c r="Y529" s="891">
        <f>SUM(U529:X529)</f>
        <v>0</v>
      </c>
    </row>
    <row r="530" spans="1:25" x14ac:dyDescent="0.2">
      <c r="A530" s="894" t="s">
        <v>280</v>
      </c>
      <c r="B530" s="898"/>
      <c r="C530" s="891">
        <f>SUM(C528:C529)</f>
        <v>0</v>
      </c>
      <c r="D530" s="891">
        <f t="shared" ref="D530:O530" si="229">SUM(D528:D529)</f>
        <v>0</v>
      </c>
      <c r="E530" s="891">
        <f t="shared" si="229"/>
        <v>0</v>
      </c>
      <c r="F530" s="891">
        <f t="shared" si="229"/>
        <v>0</v>
      </c>
      <c r="G530" s="891">
        <f t="shared" si="229"/>
        <v>0</v>
      </c>
      <c r="H530" s="891">
        <f t="shared" si="229"/>
        <v>0</v>
      </c>
      <c r="I530" s="891">
        <f t="shared" si="229"/>
        <v>0</v>
      </c>
      <c r="J530" s="891">
        <f t="shared" si="229"/>
        <v>0</v>
      </c>
      <c r="K530" s="891">
        <f t="shared" si="229"/>
        <v>0</v>
      </c>
      <c r="L530" s="891">
        <f t="shared" si="229"/>
        <v>0</v>
      </c>
      <c r="M530" s="891">
        <f t="shared" si="229"/>
        <v>0</v>
      </c>
      <c r="N530" s="891">
        <f t="shared" si="229"/>
        <v>0</v>
      </c>
      <c r="O530" s="891">
        <f t="shared" si="229"/>
        <v>0</v>
      </c>
      <c r="P530" s="891"/>
      <c r="Q530" s="885"/>
      <c r="R530" s="969"/>
      <c r="S530" s="885"/>
      <c r="T530" s="902"/>
      <c r="U530" s="891">
        <f>SUM(U528:U529)</f>
        <v>0</v>
      </c>
      <c r="V530" s="891">
        <f>SUM(V528:V529)</f>
        <v>0</v>
      </c>
      <c r="W530" s="891">
        <f>SUM(W528:W529)</f>
        <v>0</v>
      </c>
      <c r="X530" s="891">
        <f>SUM(X528:X529)</f>
        <v>0</v>
      </c>
      <c r="Y530" s="891">
        <f>SUM(Y528:Y529)</f>
        <v>0</v>
      </c>
    </row>
    <row r="531" spans="1:25" ht="3.95" customHeight="1" x14ac:dyDescent="0.2">
      <c r="A531" s="897"/>
      <c r="B531" s="898"/>
      <c r="C531" s="945"/>
      <c r="D531" s="945"/>
      <c r="E531" s="945"/>
      <c r="F531" s="945"/>
      <c r="G531" s="945"/>
      <c r="H531" s="945"/>
      <c r="I531" s="945"/>
      <c r="J531" s="945"/>
      <c r="K531" s="945"/>
      <c r="L531" s="945"/>
      <c r="M531" s="945"/>
      <c r="N531" s="945"/>
      <c r="O531" s="945"/>
      <c r="P531" s="945"/>
      <c r="Q531" s="885"/>
      <c r="R531" s="969"/>
      <c r="S531" s="885"/>
      <c r="T531" s="945"/>
      <c r="U531" s="945"/>
      <c r="V531" s="945"/>
      <c r="W531" s="945"/>
      <c r="X531" s="945"/>
      <c r="Y531" s="945"/>
    </row>
    <row r="532" spans="1:25" x14ac:dyDescent="0.2">
      <c r="A532" s="897" t="s">
        <v>289</v>
      </c>
      <c r="B532" s="898"/>
      <c r="C532" s="945">
        <f>+C530</f>
        <v>0</v>
      </c>
      <c r="D532" s="945">
        <f t="shared" ref="D532:O532" si="230">+D530</f>
        <v>0</v>
      </c>
      <c r="E532" s="945">
        <f t="shared" si="230"/>
        <v>0</v>
      </c>
      <c r="F532" s="945">
        <f t="shared" si="230"/>
        <v>0</v>
      </c>
      <c r="G532" s="945">
        <f t="shared" si="230"/>
        <v>0</v>
      </c>
      <c r="H532" s="945">
        <f t="shared" si="230"/>
        <v>0</v>
      </c>
      <c r="I532" s="945">
        <f t="shared" si="230"/>
        <v>0</v>
      </c>
      <c r="J532" s="945">
        <f t="shared" si="230"/>
        <v>0</v>
      </c>
      <c r="K532" s="945">
        <f t="shared" si="230"/>
        <v>0</v>
      </c>
      <c r="L532" s="945">
        <f t="shared" si="230"/>
        <v>0</v>
      </c>
      <c r="M532" s="945">
        <f t="shared" si="230"/>
        <v>0</v>
      </c>
      <c r="N532" s="945">
        <f t="shared" si="230"/>
        <v>0</v>
      </c>
      <c r="O532" s="945">
        <f t="shared" si="230"/>
        <v>0</v>
      </c>
      <c r="P532" s="945"/>
      <c r="Q532" s="885"/>
      <c r="R532" s="969"/>
      <c r="S532" s="885"/>
      <c r="T532" s="945"/>
      <c r="U532" s="945">
        <f>+U530</f>
        <v>0</v>
      </c>
      <c r="V532" s="945">
        <f>+V530</f>
        <v>0</v>
      </c>
      <c r="W532" s="945">
        <f>+W530</f>
        <v>0</v>
      </c>
      <c r="X532" s="945">
        <f>+X530</f>
        <v>0</v>
      </c>
      <c r="Y532" s="945">
        <f>+Y530</f>
        <v>0</v>
      </c>
    </row>
    <row r="533" spans="1:25" x14ac:dyDescent="0.2">
      <c r="A533" s="897"/>
      <c r="B533" s="898"/>
      <c r="C533" s="945"/>
      <c r="D533" s="945"/>
      <c r="E533" s="945"/>
      <c r="F533" s="945"/>
      <c r="G533" s="945"/>
      <c r="H533" s="945"/>
      <c r="I533" s="945"/>
      <c r="J533" s="945"/>
      <c r="K533" s="945"/>
      <c r="L533" s="945"/>
      <c r="M533" s="945"/>
      <c r="N533" s="945"/>
      <c r="O533" s="945"/>
      <c r="P533" s="945"/>
      <c r="Q533" s="885"/>
      <c r="R533" s="969"/>
      <c r="S533" s="885"/>
      <c r="T533" s="945"/>
      <c r="U533" s="945"/>
      <c r="V533" s="945"/>
      <c r="W533" s="945"/>
      <c r="X533" s="945"/>
      <c r="Y533" s="945"/>
    </row>
    <row r="534" spans="1:25" x14ac:dyDescent="0.2">
      <c r="A534" s="897" t="s">
        <v>290</v>
      </c>
      <c r="B534" s="898"/>
      <c r="C534" s="945">
        <f t="shared" ref="C534:O534" si="231">+C474+C487+C495+C502+C506+C513+C521+C528</f>
        <v>0</v>
      </c>
      <c r="D534" s="945">
        <f t="shared" si="231"/>
        <v>0</v>
      </c>
      <c r="E534" s="945">
        <f t="shared" si="231"/>
        <v>0</v>
      </c>
      <c r="F534" s="945">
        <f t="shared" si="231"/>
        <v>0</v>
      </c>
      <c r="G534" s="945">
        <f t="shared" si="231"/>
        <v>0</v>
      </c>
      <c r="H534" s="945">
        <f t="shared" si="231"/>
        <v>0</v>
      </c>
      <c r="I534" s="945">
        <f t="shared" si="231"/>
        <v>0</v>
      </c>
      <c r="J534" s="945">
        <f t="shared" si="231"/>
        <v>0</v>
      </c>
      <c r="K534" s="945">
        <f t="shared" si="231"/>
        <v>0</v>
      </c>
      <c r="L534" s="945">
        <f t="shared" si="231"/>
        <v>0</v>
      </c>
      <c r="M534" s="945">
        <f t="shared" si="231"/>
        <v>0</v>
      </c>
      <c r="N534" s="945">
        <f t="shared" si="231"/>
        <v>0</v>
      </c>
      <c r="O534" s="945">
        <f t="shared" si="231"/>
        <v>0</v>
      </c>
      <c r="P534" s="945"/>
      <c r="Q534" s="885"/>
      <c r="R534" s="969"/>
      <c r="S534" s="885"/>
      <c r="T534" s="945"/>
      <c r="U534" s="945">
        <f>+U474+U487+U495+U502+U506+U513+U521+U528</f>
        <v>0</v>
      </c>
      <c r="V534" s="945">
        <f>+V474+V487+V495+V502+V506+V513+V521+V528</f>
        <v>0</v>
      </c>
      <c r="W534" s="945">
        <f>+W474+W487+W495+W502+W506+W513+W521+W528</f>
        <v>0</v>
      </c>
      <c r="X534" s="945">
        <f>+X474+X487+X495+X502+X506+X513+X521+X528</f>
        <v>0</v>
      </c>
      <c r="Y534" s="945">
        <f>+Y474+Y487+Y495+Y502+Y506+Y513+Y521+Y528</f>
        <v>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31" max="16383" man="1"/>
    <brk id="179" max="16383" man="1"/>
    <brk id="299" max="16383" man="1"/>
    <brk id="379" max="16383" man="1"/>
    <brk id="462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71"/>
  <sheetViews>
    <sheetView showGridLines="0" workbookViewId="0">
      <pane xSplit="2" ySplit="4" topLeftCell="C5" activePane="bottomRight" state="frozen"/>
      <selection activeCell="D3" sqref="D3"/>
      <selection pane="topRight" activeCell="D3" sqref="D3"/>
      <selection pane="bottomLeft" activeCell="D3" sqref="D3"/>
      <selection pane="bottomRight" activeCell="C5" sqref="C5"/>
    </sheetView>
  </sheetViews>
  <sheetFormatPr defaultColWidth="10.7109375" defaultRowHeight="12.75" x14ac:dyDescent="0.2"/>
  <cols>
    <col min="1" max="1" width="45.7109375" style="150" customWidth="1"/>
    <col min="2" max="2" width="8.7109375" style="793" customWidth="1"/>
    <col min="3" max="14" width="8.7109375" style="150" customWidth="1"/>
    <col min="15" max="17" width="9.7109375" style="150" customWidth="1"/>
    <col min="18" max="16384" width="10.7109375" style="150"/>
  </cols>
  <sheetData>
    <row r="1" spans="1:21" x14ac:dyDescent="0.2">
      <c r="A1" s="548" t="str">
        <f ca="1">CELL("FILENAME")</f>
        <v>P:\Finance\2002 Plan\[EMTW02PL.XLS]IncomeState</v>
      </c>
      <c r="R1" s="151"/>
    </row>
    <row r="2" spans="1:21" x14ac:dyDescent="0.2">
      <c r="A2" s="390" t="s">
        <v>905</v>
      </c>
      <c r="C2" s="152" t="s">
        <v>608</v>
      </c>
      <c r="D2" s="152" t="s">
        <v>608</v>
      </c>
      <c r="E2" s="152" t="s">
        <v>608</v>
      </c>
      <c r="F2" s="152" t="s">
        <v>608</v>
      </c>
      <c r="G2" s="488"/>
      <c r="H2" s="152" t="s">
        <v>608</v>
      </c>
      <c r="I2" s="153"/>
      <c r="J2" s="153"/>
      <c r="K2" s="153"/>
      <c r="L2" s="153"/>
      <c r="M2" s="153"/>
      <c r="N2" s="153"/>
      <c r="O2" s="154"/>
      <c r="P2" s="154"/>
      <c r="Q2" s="154"/>
    </row>
    <row r="3" spans="1:21" x14ac:dyDescent="0.2">
      <c r="A3" s="551" t="str">
        <f>IncomeState!A3</f>
        <v>2002 OPERATING PLAN</v>
      </c>
      <c r="B3" s="794">
        <f ca="1">NOW()</f>
        <v>37189.6149224537</v>
      </c>
      <c r="C3" s="564" t="str">
        <f>DataBase!C2</f>
        <v>PLAN</v>
      </c>
      <c r="D3" s="564" t="str">
        <f>DataBase!D2</f>
        <v>PLAN</v>
      </c>
      <c r="E3" s="564" t="str">
        <f>DataBase!E2</f>
        <v>PLAN</v>
      </c>
      <c r="F3" s="564" t="str">
        <f>DataBase!F2</f>
        <v>PLAN</v>
      </c>
      <c r="G3" s="564" t="str">
        <f>DataBase!G2</f>
        <v>PLAN</v>
      </c>
      <c r="H3" s="564" t="str">
        <f>DataBase!H2</f>
        <v>PLAN</v>
      </c>
      <c r="I3" s="564" t="str">
        <f>DataBase!I2</f>
        <v>PLAN</v>
      </c>
      <c r="J3" s="564" t="str">
        <f>DataBase!J2</f>
        <v>PLAN</v>
      </c>
      <c r="K3" s="564" t="str">
        <f>DataBase!K2</f>
        <v>PLAN</v>
      </c>
      <c r="L3" s="564" t="str">
        <f>DataBase!L2</f>
        <v>PLAN</v>
      </c>
      <c r="M3" s="564" t="str">
        <f>DataBase!M2</f>
        <v>PLAN</v>
      </c>
      <c r="N3" s="564" t="str">
        <f>DataBase!N2</f>
        <v>PLAN</v>
      </c>
      <c r="O3" s="564" t="str">
        <f>DataBase!O2</f>
        <v>TOTAL</v>
      </c>
      <c r="P3" s="564" t="str">
        <f>IncomeState!P6</f>
        <v>FEB.</v>
      </c>
      <c r="Q3" s="564" t="str">
        <f>IncomeState!Q6</f>
        <v>ESTIMATE</v>
      </c>
    </row>
    <row r="4" spans="1:21" x14ac:dyDescent="0.2">
      <c r="A4" s="391"/>
      <c r="B4" s="795">
        <f ca="1">NOW()</f>
        <v>37189.6149224537</v>
      </c>
      <c r="C4" s="394" t="s">
        <v>609</v>
      </c>
      <c r="D4" s="394" t="s">
        <v>610</v>
      </c>
      <c r="E4" s="394" t="s">
        <v>611</v>
      </c>
      <c r="F4" s="394" t="s">
        <v>612</v>
      </c>
      <c r="G4" s="394" t="s">
        <v>613</v>
      </c>
      <c r="H4" s="394" t="s">
        <v>614</v>
      </c>
      <c r="I4" s="394" t="s">
        <v>615</v>
      </c>
      <c r="J4" s="394" t="s">
        <v>616</v>
      </c>
      <c r="K4" s="394" t="s">
        <v>617</v>
      </c>
      <c r="L4" s="394" t="s">
        <v>618</v>
      </c>
      <c r="M4" s="394" t="s">
        <v>619</v>
      </c>
      <c r="N4" s="394" t="s">
        <v>620</v>
      </c>
      <c r="O4" s="565">
        <f>DataBase!O3</f>
        <v>2002</v>
      </c>
      <c r="P4" s="565" t="str">
        <f>IncomeState!P7</f>
        <v>Y-T-D</v>
      </c>
      <c r="Q4" s="565" t="str">
        <f>IncomeState!Q7</f>
        <v>R.M.</v>
      </c>
    </row>
    <row r="5" spans="1:21" ht="3.95" customHeight="1" x14ac:dyDescent="0.2">
      <c r="A5" s="392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P5" s="155"/>
    </row>
    <row r="6" spans="1:21" x14ac:dyDescent="0.2">
      <c r="A6" s="395" t="s">
        <v>982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</row>
    <row r="7" spans="1:21" x14ac:dyDescent="0.2">
      <c r="A7" s="157" t="s">
        <v>1072</v>
      </c>
      <c r="B7" s="847" t="s">
        <v>1066</v>
      </c>
      <c r="C7" s="156">
        <f>-Trackers!D254</f>
        <v>0</v>
      </c>
      <c r="D7" s="156">
        <f>-Trackers!E254</f>
        <v>0</v>
      </c>
      <c r="E7" s="156">
        <f>-Trackers!F254</f>
        <v>0</v>
      </c>
      <c r="F7" s="156">
        <f>-Trackers!G254</f>
        <v>0</v>
      </c>
      <c r="G7" s="156">
        <f>-Trackers!H254</f>
        <v>0</v>
      </c>
      <c r="H7" s="156">
        <f>-Trackers!I254</f>
        <v>0</v>
      </c>
      <c r="I7" s="156">
        <f>-Trackers!J254</f>
        <v>0</v>
      </c>
      <c r="J7" s="156">
        <f>-Trackers!K254</f>
        <v>0</v>
      </c>
      <c r="K7" s="156">
        <f>-Trackers!L254</f>
        <v>0</v>
      </c>
      <c r="L7" s="156">
        <f>-Trackers!M254</f>
        <v>0</v>
      </c>
      <c r="M7" s="156">
        <f>-Trackers!N254</f>
        <v>0</v>
      </c>
      <c r="N7" s="156">
        <f>-Trackers!O254</f>
        <v>0</v>
      </c>
      <c r="O7" s="156">
        <f t="shared" ref="O7:O16" si="0">SUM(C7:N7)</f>
        <v>0</v>
      </c>
      <c r="P7" s="158">
        <f>SUM(C7:D7)</f>
        <v>0</v>
      </c>
      <c r="Q7" s="156">
        <f t="shared" ref="Q7:Q16" si="1">(O7-P7)</f>
        <v>0</v>
      </c>
      <c r="R7" s="156"/>
      <c r="S7" s="156"/>
      <c r="T7" s="156"/>
      <c r="U7" s="156"/>
    </row>
    <row r="8" spans="1:21" x14ac:dyDescent="0.2">
      <c r="A8" s="157" t="s">
        <v>1073</v>
      </c>
      <c r="B8" s="847" t="s">
        <v>1066</v>
      </c>
      <c r="C8" s="156">
        <f>-Trackers!D567</f>
        <v>0</v>
      </c>
      <c r="D8" s="156">
        <f>-Trackers!E567</f>
        <v>0</v>
      </c>
      <c r="E8" s="156">
        <f>-Trackers!F567</f>
        <v>0</v>
      </c>
      <c r="F8" s="156">
        <f>-Trackers!G567</f>
        <v>0</v>
      </c>
      <c r="G8" s="156">
        <f>-Trackers!H567</f>
        <v>0</v>
      </c>
      <c r="H8" s="156">
        <f>-Trackers!I567</f>
        <v>0</v>
      </c>
      <c r="I8" s="156">
        <f>-Trackers!J567</f>
        <v>0</v>
      </c>
      <c r="J8" s="156">
        <f>-Trackers!K567</f>
        <v>0</v>
      </c>
      <c r="K8" s="156">
        <f>-Trackers!L567</f>
        <v>0</v>
      </c>
      <c r="L8" s="156">
        <f>-Trackers!M567</f>
        <v>0</v>
      </c>
      <c r="M8" s="156">
        <f>-Trackers!N567</f>
        <v>0</v>
      </c>
      <c r="N8" s="156">
        <f>-Trackers!O567</f>
        <v>0</v>
      </c>
      <c r="O8" s="156">
        <f t="shared" si="0"/>
        <v>0</v>
      </c>
      <c r="P8" s="158">
        <f t="shared" ref="P8:P16" si="2">SUM(C8:D8)</f>
        <v>0</v>
      </c>
      <c r="Q8" s="156">
        <f t="shared" si="1"/>
        <v>0</v>
      </c>
      <c r="R8" s="156"/>
    </row>
    <row r="9" spans="1:21" x14ac:dyDescent="0.2">
      <c r="A9" s="157" t="s">
        <v>1074</v>
      </c>
      <c r="B9" s="847" t="s">
        <v>1066</v>
      </c>
      <c r="C9" s="156">
        <f>-Trackers!D619</f>
        <v>0</v>
      </c>
      <c r="D9" s="156">
        <f>-Trackers!E619</f>
        <v>0</v>
      </c>
      <c r="E9" s="156">
        <f>-Trackers!F619</f>
        <v>0</v>
      </c>
      <c r="F9" s="156">
        <f>-Trackers!G619</f>
        <v>0</v>
      </c>
      <c r="G9" s="156">
        <f>-Trackers!H619</f>
        <v>0</v>
      </c>
      <c r="H9" s="156">
        <f>-Trackers!I619</f>
        <v>0</v>
      </c>
      <c r="I9" s="156">
        <f>-Trackers!J619</f>
        <v>0</v>
      </c>
      <c r="J9" s="156">
        <f>-Trackers!K619</f>
        <v>0</v>
      </c>
      <c r="K9" s="156">
        <f>-Trackers!L619</f>
        <v>0</v>
      </c>
      <c r="L9" s="156">
        <f>-Trackers!M619</f>
        <v>0</v>
      </c>
      <c r="M9" s="156">
        <f>-Trackers!N619</f>
        <v>0</v>
      </c>
      <c r="N9" s="156">
        <f>-Trackers!O619</f>
        <v>0</v>
      </c>
      <c r="O9" s="156">
        <f t="shared" si="0"/>
        <v>0</v>
      </c>
      <c r="P9" s="158">
        <f t="shared" si="2"/>
        <v>0</v>
      </c>
      <c r="Q9" s="156">
        <f t="shared" si="1"/>
        <v>0</v>
      </c>
      <c r="R9" s="156"/>
    </row>
    <row r="10" spans="1:21" x14ac:dyDescent="0.2">
      <c r="A10" s="157" t="s">
        <v>1075</v>
      </c>
      <c r="B10" s="847" t="s">
        <v>1066</v>
      </c>
      <c r="C10" s="156">
        <f>-Trackers!D646</f>
        <v>0</v>
      </c>
      <c r="D10" s="156">
        <f>-Trackers!E646</f>
        <v>0</v>
      </c>
      <c r="E10" s="156">
        <f>-Trackers!F646</f>
        <v>0</v>
      </c>
      <c r="F10" s="156">
        <f>-Trackers!G646</f>
        <v>0</v>
      </c>
      <c r="G10" s="156">
        <f>-Trackers!H646</f>
        <v>0</v>
      </c>
      <c r="H10" s="156">
        <f>-Trackers!I646</f>
        <v>0</v>
      </c>
      <c r="I10" s="156">
        <f>-Trackers!J646</f>
        <v>0</v>
      </c>
      <c r="J10" s="156">
        <f>-Trackers!K646</f>
        <v>0</v>
      </c>
      <c r="K10" s="156">
        <f>-Trackers!L646</f>
        <v>0</v>
      </c>
      <c r="L10" s="156">
        <f>-Trackers!M646</f>
        <v>0</v>
      </c>
      <c r="M10" s="156">
        <f>-Trackers!N646</f>
        <v>0</v>
      </c>
      <c r="N10" s="156">
        <f>-Trackers!O646</f>
        <v>0</v>
      </c>
      <c r="O10" s="156">
        <f t="shared" si="0"/>
        <v>0</v>
      </c>
      <c r="P10" s="158">
        <f t="shared" si="2"/>
        <v>0</v>
      </c>
      <c r="Q10" s="156">
        <f t="shared" si="1"/>
        <v>0</v>
      </c>
      <c r="R10" s="156"/>
      <c r="S10" s="156"/>
      <c r="T10" s="156"/>
      <c r="U10" s="156"/>
    </row>
    <row r="11" spans="1:21" x14ac:dyDescent="0.2">
      <c r="A11" s="157" t="s">
        <v>1076</v>
      </c>
      <c r="B11" s="796" t="s">
        <v>630</v>
      </c>
      <c r="C11" s="158">
        <v>0</v>
      </c>
      <c r="D11" s="158">
        <v>0</v>
      </c>
      <c r="E11" s="158">
        <v>0</v>
      </c>
      <c r="F11" s="158">
        <v>0</v>
      </c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v>0</v>
      </c>
      <c r="O11" s="156">
        <f t="shared" si="0"/>
        <v>0</v>
      </c>
      <c r="P11" s="158">
        <f t="shared" si="2"/>
        <v>0</v>
      </c>
      <c r="Q11" s="156">
        <f t="shared" si="1"/>
        <v>0</v>
      </c>
      <c r="R11" s="156"/>
      <c r="S11" s="156"/>
      <c r="T11" s="156"/>
      <c r="U11" s="156"/>
    </row>
    <row r="12" spans="1:21" x14ac:dyDescent="0.2">
      <c r="A12" s="157" t="s">
        <v>983</v>
      </c>
      <c r="B12" s="849" t="s">
        <v>1050</v>
      </c>
      <c r="C12" s="1000">
        <f>-8+8</f>
        <v>0</v>
      </c>
      <c r="D12" s="1000">
        <f>-14+14</f>
        <v>0</v>
      </c>
      <c r="E12" s="1000">
        <f>-11+11</f>
        <v>0</v>
      </c>
      <c r="F12" s="1000">
        <f>-21+21</f>
        <v>0</v>
      </c>
      <c r="G12" s="1000">
        <f>-32+32</f>
        <v>0</v>
      </c>
      <c r="H12" s="1000">
        <f>-38+38</f>
        <v>0</v>
      </c>
      <c r="I12" s="1000">
        <f>-40+40</f>
        <v>0</v>
      </c>
      <c r="J12" s="1000">
        <f>-39+39</f>
        <v>0</v>
      </c>
      <c r="K12" s="1000">
        <f>-37+37</f>
        <v>0</v>
      </c>
      <c r="L12" s="1000">
        <f>-35+35</f>
        <v>0</v>
      </c>
      <c r="M12" s="1000">
        <f>-39+39</f>
        <v>0</v>
      </c>
      <c r="N12" s="1000">
        <f>-39+39</f>
        <v>0</v>
      </c>
      <c r="O12" s="156">
        <f t="shared" si="0"/>
        <v>0</v>
      </c>
      <c r="P12" s="158">
        <f t="shared" si="2"/>
        <v>0</v>
      </c>
      <c r="Q12" s="156">
        <f t="shared" si="1"/>
        <v>0</v>
      </c>
      <c r="R12" s="156"/>
      <c r="S12" s="156"/>
      <c r="T12" s="156"/>
      <c r="U12" s="156"/>
    </row>
    <row r="13" spans="1:21" x14ac:dyDescent="0.2">
      <c r="A13" s="157" t="s">
        <v>988</v>
      </c>
      <c r="B13" s="797"/>
      <c r="C13" s="158">
        <v>0</v>
      </c>
      <c r="D13" s="158">
        <v>0</v>
      </c>
      <c r="E13" s="158">
        <v>0</v>
      </c>
      <c r="F13" s="158">
        <v>0</v>
      </c>
      <c r="G13" s="158">
        <v>0</v>
      </c>
      <c r="H13" s="158">
        <v>0</v>
      </c>
      <c r="I13" s="158">
        <v>0</v>
      </c>
      <c r="J13" s="158">
        <v>0</v>
      </c>
      <c r="K13" s="158">
        <v>0</v>
      </c>
      <c r="L13" s="158">
        <v>0</v>
      </c>
      <c r="M13" s="158">
        <v>0</v>
      </c>
      <c r="N13" s="158">
        <v>0</v>
      </c>
      <c r="O13" s="156">
        <f t="shared" si="0"/>
        <v>0</v>
      </c>
      <c r="P13" s="158">
        <f t="shared" si="2"/>
        <v>0</v>
      </c>
      <c r="Q13" s="156">
        <f>(O13-P13)</f>
        <v>0</v>
      </c>
      <c r="R13" s="156"/>
      <c r="S13" s="156"/>
      <c r="T13" s="156"/>
      <c r="U13" s="156"/>
    </row>
    <row r="14" spans="1:21" x14ac:dyDescent="0.2">
      <c r="A14" s="157" t="s">
        <v>623</v>
      </c>
      <c r="B14" s="798"/>
      <c r="C14" s="158">
        <v>0</v>
      </c>
      <c r="D14" s="158">
        <v>0</v>
      </c>
      <c r="E14" s="158">
        <v>0</v>
      </c>
      <c r="F14" s="158">
        <v>0</v>
      </c>
      <c r="G14" s="158">
        <v>0</v>
      </c>
      <c r="H14" s="158">
        <v>0</v>
      </c>
      <c r="I14" s="158">
        <v>0</v>
      </c>
      <c r="J14" s="158">
        <v>0</v>
      </c>
      <c r="K14" s="158">
        <v>0</v>
      </c>
      <c r="L14" s="158">
        <v>0</v>
      </c>
      <c r="M14" s="158">
        <v>0</v>
      </c>
      <c r="N14" s="158">
        <v>0</v>
      </c>
      <c r="O14" s="156">
        <f t="shared" si="0"/>
        <v>0</v>
      </c>
      <c r="P14" s="158">
        <f t="shared" si="2"/>
        <v>0</v>
      </c>
      <c r="Q14" s="156">
        <f t="shared" si="1"/>
        <v>0</v>
      </c>
      <c r="R14" s="156"/>
      <c r="S14" s="156"/>
      <c r="T14" s="156"/>
      <c r="U14" s="156"/>
    </row>
    <row r="15" spans="1:21" x14ac:dyDescent="0.2">
      <c r="A15" s="157" t="s">
        <v>1016</v>
      </c>
      <c r="B15" s="798"/>
      <c r="C15" s="158">
        <v>0</v>
      </c>
      <c r="D15" s="158">
        <v>0</v>
      </c>
      <c r="E15" s="158">
        <v>0</v>
      </c>
      <c r="F15" s="158">
        <v>0</v>
      </c>
      <c r="G15" s="158">
        <v>0</v>
      </c>
      <c r="H15" s="158">
        <v>0</v>
      </c>
      <c r="I15" s="158">
        <v>0</v>
      </c>
      <c r="J15" s="158">
        <v>0</v>
      </c>
      <c r="K15" s="158">
        <v>0</v>
      </c>
      <c r="L15" s="158">
        <v>0</v>
      </c>
      <c r="M15" s="158">
        <v>0</v>
      </c>
      <c r="N15" s="158">
        <v>0</v>
      </c>
      <c r="O15" s="156">
        <f>SUM(C15:N15)</f>
        <v>0</v>
      </c>
      <c r="P15" s="158">
        <f t="shared" si="2"/>
        <v>0</v>
      </c>
      <c r="Q15" s="156">
        <f>(O15-P15)</f>
        <v>0</v>
      </c>
      <c r="R15" s="156"/>
      <c r="S15" s="156"/>
      <c r="T15" s="156"/>
      <c r="U15" s="156"/>
    </row>
    <row r="16" spans="1:21" x14ac:dyDescent="0.2">
      <c r="A16" s="157" t="s">
        <v>622</v>
      </c>
      <c r="C16" s="262">
        <v>0</v>
      </c>
      <c r="D16" s="262">
        <v>0</v>
      </c>
      <c r="E16" s="262">
        <v>0</v>
      </c>
      <c r="F16" s="262">
        <v>0</v>
      </c>
      <c r="G16" s="262">
        <v>0</v>
      </c>
      <c r="H16" s="262">
        <v>0</v>
      </c>
      <c r="I16" s="262">
        <v>0</v>
      </c>
      <c r="J16" s="262">
        <v>0</v>
      </c>
      <c r="K16" s="262">
        <v>0</v>
      </c>
      <c r="L16" s="262">
        <v>0</v>
      </c>
      <c r="M16" s="262">
        <v>0</v>
      </c>
      <c r="N16" s="262">
        <f>0</f>
        <v>0</v>
      </c>
      <c r="O16" s="160">
        <f t="shared" si="0"/>
        <v>0</v>
      </c>
      <c r="P16" s="262">
        <f t="shared" si="2"/>
        <v>0</v>
      </c>
      <c r="Q16" s="160">
        <f t="shared" si="1"/>
        <v>0</v>
      </c>
      <c r="R16" s="156"/>
      <c r="S16" s="156"/>
      <c r="T16" s="156"/>
      <c r="U16" s="156"/>
    </row>
    <row r="17" spans="1:21" ht="3.95" customHeight="1" x14ac:dyDescent="0.2">
      <c r="A17" s="392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6"/>
      <c r="P17" s="158"/>
      <c r="Q17" s="156"/>
      <c r="R17" s="156"/>
      <c r="S17" s="156"/>
      <c r="T17" s="156"/>
      <c r="U17" s="156"/>
    </row>
    <row r="18" spans="1:21" x14ac:dyDescent="0.2">
      <c r="A18" s="393" t="s">
        <v>916</v>
      </c>
      <c r="B18" s="799"/>
      <c r="C18" s="161">
        <f>SUM(C7:C17)</f>
        <v>0</v>
      </c>
      <c r="D18" s="161">
        <f t="shared" ref="D18:Q18" si="3">SUM(D7:D17)</f>
        <v>0</v>
      </c>
      <c r="E18" s="161">
        <f t="shared" si="3"/>
        <v>0</v>
      </c>
      <c r="F18" s="161">
        <f t="shared" si="3"/>
        <v>0</v>
      </c>
      <c r="G18" s="161">
        <f t="shared" si="3"/>
        <v>0</v>
      </c>
      <c r="H18" s="161">
        <f t="shared" si="3"/>
        <v>0</v>
      </c>
      <c r="I18" s="161">
        <f t="shared" si="3"/>
        <v>0</v>
      </c>
      <c r="J18" s="161">
        <f t="shared" si="3"/>
        <v>0</v>
      </c>
      <c r="K18" s="161">
        <f t="shared" si="3"/>
        <v>0</v>
      </c>
      <c r="L18" s="161">
        <f t="shared" si="3"/>
        <v>0</v>
      </c>
      <c r="M18" s="161">
        <f t="shared" si="3"/>
        <v>0</v>
      </c>
      <c r="N18" s="161">
        <f t="shared" si="3"/>
        <v>0</v>
      </c>
      <c r="O18" s="161">
        <f t="shared" si="3"/>
        <v>0</v>
      </c>
      <c r="P18" s="161">
        <f t="shared" si="3"/>
        <v>0</v>
      </c>
      <c r="Q18" s="161">
        <f t="shared" si="3"/>
        <v>0</v>
      </c>
      <c r="R18" s="162"/>
      <c r="S18" s="162"/>
      <c r="T18" s="162"/>
      <c r="U18" s="156"/>
    </row>
    <row r="19" spans="1:21" ht="6" customHeight="1" x14ac:dyDescent="0.2">
      <c r="A19" s="393"/>
      <c r="B19" s="799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2"/>
      <c r="S19" s="162"/>
      <c r="T19" s="162"/>
      <c r="U19" s="156"/>
    </row>
    <row r="20" spans="1:21" x14ac:dyDescent="0.2">
      <c r="A20" s="395" t="s">
        <v>980</v>
      </c>
      <c r="B20" s="799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2"/>
      <c r="S20" s="162"/>
      <c r="T20" s="162"/>
      <c r="U20" s="156"/>
    </row>
    <row r="21" spans="1:21" x14ac:dyDescent="0.2">
      <c r="A21" s="157" t="s">
        <v>24</v>
      </c>
      <c r="B21" s="799"/>
      <c r="C21" s="158">
        <v>89</v>
      </c>
      <c r="D21" s="158">
        <v>89</v>
      </c>
      <c r="E21" s="158">
        <v>89</v>
      </c>
      <c r="F21" s="158">
        <v>88</v>
      </c>
      <c r="G21" s="158">
        <v>89</v>
      </c>
      <c r="H21" s="158">
        <v>89</v>
      </c>
      <c r="I21" s="158">
        <v>89</v>
      </c>
      <c r="J21" s="158">
        <v>89</v>
      </c>
      <c r="K21" s="158">
        <v>89</v>
      </c>
      <c r="L21" s="158">
        <v>88</v>
      </c>
      <c r="M21" s="158">
        <v>59</v>
      </c>
      <c r="N21" s="158">
        <v>59</v>
      </c>
      <c r="O21" s="156">
        <f t="shared" ref="O21:O26" si="4">SUM(C21:N21)</f>
        <v>1006</v>
      </c>
      <c r="P21" s="158">
        <f t="shared" ref="P21:P26" si="5">SUM(C21:D21)</f>
        <v>178</v>
      </c>
      <c r="Q21" s="156">
        <f t="shared" ref="Q21:Q26" si="6">(O21-P21)</f>
        <v>828</v>
      </c>
      <c r="R21" s="162"/>
      <c r="S21" s="162"/>
      <c r="T21" s="162"/>
      <c r="U21" s="156"/>
    </row>
    <row r="22" spans="1:21" x14ac:dyDescent="0.2">
      <c r="A22" s="157" t="s">
        <v>26</v>
      </c>
      <c r="B22" s="799"/>
      <c r="C22" s="158">
        <v>1</v>
      </c>
      <c r="D22" s="158">
        <v>1</v>
      </c>
      <c r="E22" s="158">
        <v>1</v>
      </c>
      <c r="F22" s="158">
        <v>1</v>
      </c>
      <c r="G22" s="158">
        <v>1</v>
      </c>
      <c r="H22" s="158">
        <v>1</v>
      </c>
      <c r="I22" s="158">
        <v>1</v>
      </c>
      <c r="J22" s="158">
        <v>1</v>
      </c>
      <c r="K22" s="158">
        <v>1</v>
      </c>
      <c r="L22" s="158">
        <v>1</v>
      </c>
      <c r="M22" s="158">
        <v>1</v>
      </c>
      <c r="N22" s="158">
        <v>1</v>
      </c>
      <c r="O22" s="156">
        <f t="shared" si="4"/>
        <v>12</v>
      </c>
      <c r="P22" s="158">
        <f t="shared" si="5"/>
        <v>2</v>
      </c>
      <c r="Q22" s="156">
        <f t="shared" si="6"/>
        <v>10</v>
      </c>
      <c r="R22" s="162"/>
      <c r="S22" s="162"/>
      <c r="T22" s="162"/>
      <c r="U22" s="156"/>
    </row>
    <row r="23" spans="1:21" x14ac:dyDescent="0.2">
      <c r="A23" s="157" t="s">
        <v>25</v>
      </c>
      <c r="B23" s="799"/>
      <c r="C23" s="158">
        <v>0</v>
      </c>
      <c r="D23" s="158">
        <v>0</v>
      </c>
      <c r="E23" s="158">
        <v>0</v>
      </c>
      <c r="F23" s="158">
        <v>0</v>
      </c>
      <c r="G23" s="158">
        <v>0</v>
      </c>
      <c r="H23" s="158">
        <v>0</v>
      </c>
      <c r="I23" s="158">
        <v>0</v>
      </c>
      <c r="J23" s="158">
        <v>0</v>
      </c>
      <c r="K23" s="158">
        <v>0</v>
      </c>
      <c r="L23" s="158">
        <v>0</v>
      </c>
      <c r="M23" s="158">
        <v>0</v>
      </c>
      <c r="N23" s="158">
        <v>0</v>
      </c>
      <c r="O23" s="156">
        <f t="shared" si="4"/>
        <v>0</v>
      </c>
      <c r="P23" s="158">
        <f t="shared" si="5"/>
        <v>0</v>
      </c>
      <c r="Q23" s="156">
        <f t="shared" si="6"/>
        <v>0</v>
      </c>
      <c r="R23" s="162"/>
      <c r="S23" s="162"/>
      <c r="T23" s="162"/>
      <c r="U23" s="156"/>
    </row>
    <row r="24" spans="1:21" x14ac:dyDescent="0.2">
      <c r="A24" s="157" t="s">
        <v>27</v>
      </c>
      <c r="B24" s="797"/>
      <c r="C24" s="158">
        <v>-700</v>
      </c>
      <c r="D24" s="158">
        <v>-700</v>
      </c>
      <c r="E24" s="158">
        <v>-700</v>
      </c>
      <c r="F24" s="158">
        <v>-700</v>
      </c>
      <c r="G24" s="158">
        <v>-700</v>
      </c>
      <c r="H24" s="158">
        <v>-700</v>
      </c>
      <c r="I24" s="158">
        <v>-700</v>
      </c>
      <c r="J24" s="158">
        <v>-800</v>
      </c>
      <c r="K24" s="158">
        <v>-700</v>
      </c>
      <c r="L24" s="158">
        <v>-800</v>
      </c>
      <c r="M24" s="158">
        <v>-800</v>
      </c>
      <c r="N24" s="158">
        <v>-800</v>
      </c>
      <c r="O24" s="156">
        <f t="shared" si="4"/>
        <v>-8800</v>
      </c>
      <c r="P24" s="158">
        <f t="shared" si="5"/>
        <v>-1400</v>
      </c>
      <c r="Q24" s="156">
        <f t="shared" si="6"/>
        <v>-7400</v>
      </c>
      <c r="R24" s="162"/>
      <c r="S24" s="162"/>
      <c r="T24" s="162"/>
      <c r="U24" s="156"/>
    </row>
    <row r="25" spans="1:21" x14ac:dyDescent="0.2">
      <c r="A25" s="157" t="s">
        <v>623</v>
      </c>
      <c r="B25" s="798"/>
      <c r="C25" s="158">
        <v>0</v>
      </c>
      <c r="D25" s="158">
        <v>0</v>
      </c>
      <c r="E25" s="158">
        <v>0</v>
      </c>
      <c r="F25" s="158">
        <v>0</v>
      </c>
      <c r="G25" s="158">
        <v>0</v>
      </c>
      <c r="H25" s="158">
        <v>0</v>
      </c>
      <c r="I25" s="158">
        <v>0</v>
      </c>
      <c r="J25" s="158">
        <v>0</v>
      </c>
      <c r="K25" s="158">
        <v>0</v>
      </c>
      <c r="L25" s="158">
        <v>0</v>
      </c>
      <c r="M25" s="158">
        <v>0</v>
      </c>
      <c r="N25" s="158">
        <v>0</v>
      </c>
      <c r="O25" s="156">
        <f t="shared" si="4"/>
        <v>0</v>
      </c>
      <c r="P25" s="158">
        <f t="shared" si="5"/>
        <v>0</v>
      </c>
      <c r="Q25" s="156">
        <f t="shared" si="6"/>
        <v>0</v>
      </c>
      <c r="R25" s="162"/>
      <c r="S25" s="162"/>
      <c r="T25" s="162"/>
      <c r="U25" s="156"/>
    </row>
    <row r="26" spans="1:21" x14ac:dyDescent="0.2">
      <c r="A26" s="157" t="s">
        <v>622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62">
        <v>0</v>
      </c>
      <c r="K26" s="262">
        <v>0</v>
      </c>
      <c r="L26" s="262">
        <v>0</v>
      </c>
      <c r="M26" s="262">
        <v>0</v>
      </c>
      <c r="N26" s="262">
        <f>0</f>
        <v>0</v>
      </c>
      <c r="O26" s="160">
        <f t="shared" si="4"/>
        <v>0</v>
      </c>
      <c r="P26" s="262">
        <f t="shared" si="5"/>
        <v>0</v>
      </c>
      <c r="Q26" s="160">
        <f t="shared" si="6"/>
        <v>0</v>
      </c>
      <c r="R26" s="162"/>
      <c r="S26" s="162"/>
      <c r="T26" s="162"/>
      <c r="U26" s="156"/>
    </row>
    <row r="27" spans="1:21" ht="3.95" customHeight="1" x14ac:dyDescent="0.2">
      <c r="A27" s="392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6"/>
      <c r="P27" s="158"/>
      <c r="Q27" s="156"/>
      <c r="R27" s="162"/>
      <c r="S27" s="162"/>
      <c r="T27" s="162"/>
      <c r="U27" s="156"/>
    </row>
    <row r="28" spans="1:21" x14ac:dyDescent="0.2">
      <c r="A28" s="395" t="s">
        <v>981</v>
      </c>
      <c r="B28" s="799"/>
      <c r="C28" s="161">
        <f>SUM(C21:C27)</f>
        <v>-610</v>
      </c>
      <c r="D28" s="161">
        <f t="shared" ref="D28:N28" si="7">SUM(D21:D27)</f>
        <v>-610</v>
      </c>
      <c r="E28" s="161">
        <f t="shared" si="7"/>
        <v>-610</v>
      </c>
      <c r="F28" s="161">
        <f t="shared" si="7"/>
        <v>-611</v>
      </c>
      <c r="G28" s="161">
        <f t="shared" si="7"/>
        <v>-610</v>
      </c>
      <c r="H28" s="161">
        <f t="shared" si="7"/>
        <v>-610</v>
      </c>
      <c r="I28" s="161">
        <f t="shared" si="7"/>
        <v>-610</v>
      </c>
      <c r="J28" s="161">
        <f t="shared" si="7"/>
        <v>-710</v>
      </c>
      <c r="K28" s="161">
        <f t="shared" si="7"/>
        <v>-610</v>
      </c>
      <c r="L28" s="161">
        <f t="shared" si="7"/>
        <v>-711</v>
      </c>
      <c r="M28" s="161">
        <f t="shared" si="7"/>
        <v>-740</v>
      </c>
      <c r="N28" s="161">
        <f t="shared" si="7"/>
        <v>-740</v>
      </c>
      <c r="O28" s="161">
        <f>SUM(O21:O27)</f>
        <v>-7782</v>
      </c>
      <c r="P28" s="161">
        <f>SUM(P21:P27)</f>
        <v>-1220</v>
      </c>
      <c r="Q28" s="161">
        <f>SUM(Q21:Q27)</f>
        <v>-6562</v>
      </c>
      <c r="R28" s="162"/>
      <c r="S28" s="162"/>
      <c r="T28" s="162"/>
      <c r="U28" s="156"/>
    </row>
    <row r="29" spans="1:21" ht="6" customHeight="1" x14ac:dyDescent="0.2">
      <c r="A29" s="392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6"/>
      <c r="P29" s="158"/>
      <c r="Q29" s="156"/>
      <c r="R29" s="156"/>
      <c r="S29" s="156"/>
      <c r="T29" s="156"/>
      <c r="U29" s="156"/>
    </row>
    <row r="30" spans="1:21" x14ac:dyDescent="0.2">
      <c r="A30" s="393" t="s">
        <v>917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</row>
    <row r="31" spans="1:21" x14ac:dyDescent="0.2">
      <c r="A31" s="157" t="s">
        <v>1056</v>
      </c>
      <c r="B31" s="797"/>
      <c r="C31" s="1000">
        <f>-66+66</f>
        <v>0</v>
      </c>
      <c r="D31" s="1000">
        <f>-110+110</f>
        <v>0</v>
      </c>
      <c r="E31" s="1000">
        <f>-90+90</f>
        <v>0</v>
      </c>
      <c r="F31" s="1000">
        <f>-167+167</f>
        <v>0</v>
      </c>
      <c r="G31" s="1000">
        <f>-253+253</f>
        <v>0</v>
      </c>
      <c r="H31" s="1000">
        <f>-300+300</f>
        <v>0</v>
      </c>
      <c r="I31" s="1000">
        <f>-311+311</f>
        <v>0</v>
      </c>
      <c r="J31" s="1000">
        <f>-309+309</f>
        <v>0</v>
      </c>
      <c r="K31" s="1000">
        <f>-294+294</f>
        <v>0</v>
      </c>
      <c r="L31" s="1000">
        <f>-279+279</f>
        <v>0</v>
      </c>
      <c r="M31" s="1000">
        <f>-310+310</f>
        <v>0</v>
      </c>
      <c r="N31" s="1000">
        <f>-309+309</f>
        <v>0</v>
      </c>
      <c r="O31" s="156">
        <f>SUM(C31:N31)</f>
        <v>0</v>
      </c>
      <c r="P31" s="158">
        <f>SUM(C31:D31)</f>
        <v>0</v>
      </c>
      <c r="Q31" s="156">
        <f>(O31-P31)</f>
        <v>0</v>
      </c>
      <c r="R31" s="156"/>
      <c r="S31" s="156"/>
      <c r="T31" s="156"/>
      <c r="U31" s="156"/>
    </row>
    <row r="32" spans="1:21" x14ac:dyDescent="0.2">
      <c r="A32" s="157" t="s">
        <v>719</v>
      </c>
      <c r="C32" s="158">
        <v>-8</v>
      </c>
      <c r="D32" s="158">
        <v>-14</v>
      </c>
      <c r="E32" s="158">
        <v>-11</v>
      </c>
      <c r="F32" s="158">
        <v>-21</v>
      </c>
      <c r="G32" s="158">
        <v>-32</v>
      </c>
      <c r="H32" s="158">
        <v>-38</v>
      </c>
      <c r="I32" s="158">
        <v>-40</v>
      </c>
      <c r="J32" s="158">
        <v>-39</v>
      </c>
      <c r="K32" s="158">
        <v>-37</v>
      </c>
      <c r="L32" s="158">
        <v>-35</v>
      </c>
      <c r="M32" s="158">
        <v>-39</v>
      </c>
      <c r="N32" s="158">
        <v>-39</v>
      </c>
      <c r="O32" s="156">
        <f>SUM(C32:N32)</f>
        <v>-353</v>
      </c>
      <c r="P32" s="158">
        <f>SUM(C32:D32)</f>
        <v>-22</v>
      </c>
      <c r="Q32" s="156">
        <f>(O32-P32)</f>
        <v>-331</v>
      </c>
      <c r="R32" s="156"/>
      <c r="S32" s="156"/>
      <c r="T32" s="156"/>
      <c r="U32" s="156"/>
    </row>
    <row r="33" spans="1:21" x14ac:dyDescent="0.2">
      <c r="A33" s="157" t="s">
        <v>622</v>
      </c>
      <c r="C33" s="262">
        <v>0</v>
      </c>
      <c r="D33" s="262">
        <v>0</v>
      </c>
      <c r="E33" s="262">
        <v>0</v>
      </c>
      <c r="F33" s="262">
        <v>0</v>
      </c>
      <c r="G33" s="262">
        <v>0</v>
      </c>
      <c r="H33" s="262">
        <v>0</v>
      </c>
      <c r="I33" s="262">
        <v>0</v>
      </c>
      <c r="J33" s="262">
        <v>0</v>
      </c>
      <c r="K33" s="262">
        <v>0</v>
      </c>
      <c r="L33" s="262">
        <v>0</v>
      </c>
      <c r="M33" s="262">
        <v>0</v>
      </c>
      <c r="N33" s="262">
        <v>0</v>
      </c>
      <c r="O33" s="160">
        <f>SUM(C33:N33)</f>
        <v>0</v>
      </c>
      <c r="P33" s="262">
        <f>SUM(C33:D33)</f>
        <v>0</v>
      </c>
      <c r="Q33" s="160">
        <f>(O33-P33)</f>
        <v>0</v>
      </c>
      <c r="R33" s="156"/>
      <c r="S33" s="156"/>
      <c r="T33" s="156"/>
      <c r="U33" s="156"/>
    </row>
    <row r="34" spans="1:21" ht="3.95" customHeight="1" x14ac:dyDescent="0.2">
      <c r="A34" s="155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6"/>
      <c r="P34" s="158"/>
      <c r="Q34" s="156"/>
      <c r="R34" s="156"/>
      <c r="S34" s="156"/>
      <c r="T34" s="156"/>
      <c r="U34" s="156"/>
    </row>
    <row r="35" spans="1:21" x14ac:dyDescent="0.2">
      <c r="A35" s="393" t="s">
        <v>918</v>
      </c>
      <c r="B35" s="152"/>
      <c r="C35" s="161">
        <f t="shared" ref="C35:Q35" si="8">SUM(C31:C33)</f>
        <v>-8</v>
      </c>
      <c r="D35" s="161">
        <f t="shared" si="8"/>
        <v>-14</v>
      </c>
      <c r="E35" s="161">
        <f t="shared" si="8"/>
        <v>-11</v>
      </c>
      <c r="F35" s="161">
        <f t="shared" si="8"/>
        <v>-21</v>
      </c>
      <c r="G35" s="161">
        <f t="shared" si="8"/>
        <v>-32</v>
      </c>
      <c r="H35" s="161">
        <f t="shared" si="8"/>
        <v>-38</v>
      </c>
      <c r="I35" s="161">
        <f t="shared" si="8"/>
        <v>-40</v>
      </c>
      <c r="J35" s="161">
        <f t="shared" si="8"/>
        <v>-39</v>
      </c>
      <c r="K35" s="161">
        <f t="shared" si="8"/>
        <v>-37</v>
      </c>
      <c r="L35" s="161">
        <f t="shared" si="8"/>
        <v>-35</v>
      </c>
      <c r="M35" s="161">
        <f t="shared" si="8"/>
        <v>-39</v>
      </c>
      <c r="N35" s="161">
        <f t="shared" si="8"/>
        <v>-39</v>
      </c>
      <c r="O35" s="161">
        <f t="shared" si="8"/>
        <v>-353</v>
      </c>
      <c r="P35" s="161">
        <f t="shared" si="8"/>
        <v>-22</v>
      </c>
      <c r="Q35" s="161">
        <f t="shared" si="8"/>
        <v>-331</v>
      </c>
      <c r="R35" s="162"/>
      <c r="S35" s="162"/>
      <c r="T35" s="156"/>
      <c r="U35" s="156"/>
    </row>
    <row r="36" spans="1:21" ht="6" customHeight="1" x14ac:dyDescent="0.2">
      <c r="A36" s="155"/>
      <c r="B36" s="796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6"/>
      <c r="P36" s="158"/>
      <c r="Q36" s="156"/>
      <c r="R36" s="156"/>
      <c r="S36" s="156"/>
      <c r="T36" s="156"/>
      <c r="U36" s="156"/>
    </row>
    <row r="37" spans="1:21" x14ac:dyDescent="0.2">
      <c r="A37" s="395" t="s">
        <v>984</v>
      </c>
      <c r="B37" s="79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</row>
    <row r="38" spans="1:21" x14ac:dyDescent="0.2">
      <c r="A38" s="157" t="s">
        <v>919</v>
      </c>
      <c r="B38" s="849" t="s">
        <v>1050</v>
      </c>
      <c r="C38" s="987">
        <f>DataBase!C240</f>
        <v>0</v>
      </c>
      <c r="D38" s="987">
        <f>DataBase!D240</f>
        <v>0</v>
      </c>
      <c r="E38" s="987">
        <f>DataBase!E240</f>
        <v>0</v>
      </c>
      <c r="F38" s="987">
        <f>DataBase!F240</f>
        <v>0</v>
      </c>
      <c r="G38" s="987">
        <f>DataBase!G240</f>
        <v>0</v>
      </c>
      <c r="H38" s="987">
        <f>DataBase!H240</f>
        <v>0</v>
      </c>
      <c r="I38" s="987">
        <f>DataBase!I240</f>
        <v>0</v>
      </c>
      <c r="J38" s="987">
        <f>DataBase!J240</f>
        <v>0</v>
      </c>
      <c r="K38" s="987">
        <f>DataBase!K240</f>
        <v>0</v>
      </c>
      <c r="L38" s="987">
        <f>DataBase!L240</f>
        <v>0</v>
      </c>
      <c r="M38" s="987">
        <f>DataBase!M240</f>
        <v>0</v>
      </c>
      <c r="N38" s="987">
        <f>DataBase!N240</f>
        <v>0</v>
      </c>
      <c r="O38" s="156">
        <f t="shared" ref="O38:O49" si="9">SUM(C38:N38)</f>
        <v>0</v>
      </c>
      <c r="P38" s="158">
        <f t="shared" ref="P38:P49" si="10">SUM(C38:D38)</f>
        <v>0</v>
      </c>
      <c r="Q38" s="156">
        <f t="shared" ref="Q38:Q49" si="11">(O38-P38)</f>
        <v>0</v>
      </c>
      <c r="R38" s="156"/>
      <c r="S38" s="156"/>
      <c r="T38" s="156"/>
      <c r="U38" s="156"/>
    </row>
    <row r="39" spans="1:21" x14ac:dyDescent="0.2">
      <c r="A39" s="157" t="s">
        <v>920</v>
      </c>
      <c r="B39" s="849" t="s">
        <v>1050</v>
      </c>
      <c r="C39" s="987">
        <f>DataBase!C241</f>
        <v>0</v>
      </c>
      <c r="D39" s="987">
        <f>DataBase!D241</f>
        <v>0</v>
      </c>
      <c r="E39" s="987">
        <f>DataBase!E241</f>
        <v>0</v>
      </c>
      <c r="F39" s="987">
        <f>DataBase!F241</f>
        <v>0</v>
      </c>
      <c r="G39" s="987">
        <f>DataBase!G241</f>
        <v>0</v>
      </c>
      <c r="H39" s="987">
        <f>DataBase!H241</f>
        <v>0</v>
      </c>
      <c r="I39" s="987">
        <f>DataBase!I241</f>
        <v>0</v>
      </c>
      <c r="J39" s="987">
        <f>DataBase!J241</f>
        <v>0</v>
      </c>
      <c r="K39" s="987">
        <f>DataBase!K241</f>
        <v>0</v>
      </c>
      <c r="L39" s="987">
        <f>DataBase!L241</f>
        <v>0</v>
      </c>
      <c r="M39" s="987">
        <f>DataBase!M241</f>
        <v>0</v>
      </c>
      <c r="N39" s="987">
        <f>DataBase!N241</f>
        <v>0</v>
      </c>
      <c r="O39" s="156">
        <f t="shared" si="9"/>
        <v>0</v>
      </c>
      <c r="P39" s="158">
        <f t="shared" si="10"/>
        <v>0</v>
      </c>
      <c r="Q39" s="156">
        <f t="shared" si="11"/>
        <v>0</v>
      </c>
      <c r="R39" s="156"/>
      <c r="S39" s="156"/>
      <c r="T39" s="156"/>
      <c r="U39" s="156"/>
    </row>
    <row r="40" spans="1:21" x14ac:dyDescent="0.2">
      <c r="A40" s="157" t="s">
        <v>684</v>
      </c>
      <c r="B40" s="797"/>
      <c r="C40" s="987">
        <f>DataBase!C242</f>
        <v>0</v>
      </c>
      <c r="D40" s="987">
        <f>DataBase!D242</f>
        <v>0</v>
      </c>
      <c r="E40" s="987">
        <f>DataBase!E242</f>
        <v>0</v>
      </c>
      <c r="F40" s="987">
        <f>DataBase!F242</f>
        <v>0</v>
      </c>
      <c r="G40" s="987">
        <f>DataBase!G242</f>
        <v>0</v>
      </c>
      <c r="H40" s="987">
        <f>DataBase!H242</f>
        <v>0</v>
      </c>
      <c r="I40" s="987">
        <f>DataBase!I242</f>
        <v>0</v>
      </c>
      <c r="J40" s="987">
        <f>DataBase!J242</f>
        <v>0</v>
      </c>
      <c r="K40" s="987">
        <f>DataBase!K242</f>
        <v>0</v>
      </c>
      <c r="L40" s="987">
        <f>DataBase!L242</f>
        <v>0</v>
      </c>
      <c r="M40" s="987">
        <f>DataBase!M242</f>
        <v>0</v>
      </c>
      <c r="N40" s="987">
        <f>DataBase!N242</f>
        <v>0</v>
      </c>
      <c r="O40" s="156">
        <f t="shared" si="9"/>
        <v>0</v>
      </c>
      <c r="P40" s="158">
        <f t="shared" si="10"/>
        <v>0</v>
      </c>
      <c r="Q40" s="156">
        <f t="shared" si="11"/>
        <v>0</v>
      </c>
      <c r="R40" s="156"/>
      <c r="S40" s="156"/>
      <c r="T40" s="156"/>
      <c r="U40" s="156"/>
    </row>
    <row r="41" spans="1:21" x14ac:dyDescent="0.2">
      <c r="A41" s="157" t="s">
        <v>837</v>
      </c>
      <c r="B41" s="849" t="s">
        <v>1050</v>
      </c>
      <c r="C41" s="987">
        <f>DataBase!C243</f>
        <v>0</v>
      </c>
      <c r="D41" s="987">
        <f>DataBase!D243</f>
        <v>0</v>
      </c>
      <c r="E41" s="987">
        <f>DataBase!E243</f>
        <v>0</v>
      </c>
      <c r="F41" s="987">
        <f>DataBase!F243</f>
        <v>0</v>
      </c>
      <c r="G41" s="987">
        <f>DataBase!G243</f>
        <v>0</v>
      </c>
      <c r="H41" s="987">
        <f>DataBase!H243</f>
        <v>0</v>
      </c>
      <c r="I41" s="987">
        <f>DataBase!I243</f>
        <v>0</v>
      </c>
      <c r="J41" s="987">
        <f>DataBase!J243</f>
        <v>0</v>
      </c>
      <c r="K41" s="987">
        <f>DataBase!K243</f>
        <v>0</v>
      </c>
      <c r="L41" s="987">
        <f>DataBase!L243</f>
        <v>0</v>
      </c>
      <c r="M41" s="987">
        <f>DataBase!M243</f>
        <v>0</v>
      </c>
      <c r="N41" s="987">
        <f>DataBase!N243</f>
        <v>0</v>
      </c>
      <c r="O41" s="156">
        <f t="shared" si="9"/>
        <v>0</v>
      </c>
      <c r="P41" s="158">
        <f t="shared" si="10"/>
        <v>0</v>
      </c>
      <c r="Q41" s="156">
        <f t="shared" si="11"/>
        <v>0</v>
      </c>
      <c r="R41" s="156"/>
      <c r="S41" s="156"/>
      <c r="T41" s="156"/>
      <c r="U41" s="156"/>
    </row>
    <row r="42" spans="1:21" x14ac:dyDescent="0.2">
      <c r="A42" s="157" t="s">
        <v>838</v>
      </c>
      <c r="B42" s="849" t="s">
        <v>1050</v>
      </c>
      <c r="C42" s="987">
        <f>DataBase!C244</f>
        <v>0</v>
      </c>
      <c r="D42" s="987">
        <f>DataBase!D244</f>
        <v>0</v>
      </c>
      <c r="E42" s="987">
        <f>DataBase!E244</f>
        <v>0</v>
      </c>
      <c r="F42" s="987">
        <f>DataBase!F244</f>
        <v>0</v>
      </c>
      <c r="G42" s="987">
        <f>DataBase!G244</f>
        <v>0</v>
      </c>
      <c r="H42" s="987">
        <f>DataBase!H244</f>
        <v>0</v>
      </c>
      <c r="I42" s="987">
        <f>DataBase!I244</f>
        <v>0</v>
      </c>
      <c r="J42" s="987">
        <f>DataBase!J244</f>
        <v>0</v>
      </c>
      <c r="K42" s="987">
        <f>DataBase!K244</f>
        <v>0</v>
      </c>
      <c r="L42" s="987">
        <f>DataBase!L244</f>
        <v>0</v>
      </c>
      <c r="M42" s="987">
        <f>DataBase!M244</f>
        <v>0</v>
      </c>
      <c r="N42" s="987">
        <f>DataBase!N244</f>
        <v>0</v>
      </c>
      <c r="O42" s="156">
        <f t="shared" si="9"/>
        <v>0</v>
      </c>
      <c r="P42" s="158">
        <f t="shared" si="10"/>
        <v>0</v>
      </c>
      <c r="Q42" s="156">
        <f t="shared" si="11"/>
        <v>0</v>
      </c>
      <c r="R42" s="156"/>
      <c r="S42" s="156"/>
      <c r="T42" s="156"/>
      <c r="U42" s="156"/>
    </row>
    <row r="43" spans="1:21" x14ac:dyDescent="0.2">
      <c r="A43" s="157" t="s">
        <v>839</v>
      </c>
      <c r="B43" s="849" t="s">
        <v>1050</v>
      </c>
      <c r="C43" s="987">
        <f>DataBase!C245</f>
        <v>0</v>
      </c>
      <c r="D43" s="987">
        <f>DataBase!D245</f>
        <v>0</v>
      </c>
      <c r="E43" s="987">
        <f>DataBase!E245</f>
        <v>0</v>
      </c>
      <c r="F43" s="987">
        <f>DataBase!F245</f>
        <v>0</v>
      </c>
      <c r="G43" s="987">
        <f>DataBase!G245</f>
        <v>0</v>
      </c>
      <c r="H43" s="987">
        <f>DataBase!H245</f>
        <v>0</v>
      </c>
      <c r="I43" s="987">
        <f>DataBase!I245</f>
        <v>0</v>
      </c>
      <c r="J43" s="987">
        <f>DataBase!J245</f>
        <v>0</v>
      </c>
      <c r="K43" s="987">
        <f>DataBase!K245</f>
        <v>0</v>
      </c>
      <c r="L43" s="987">
        <f>DataBase!L245</f>
        <v>0</v>
      </c>
      <c r="M43" s="987">
        <f>DataBase!M245</f>
        <v>0</v>
      </c>
      <c r="N43" s="987">
        <f>DataBase!N245</f>
        <v>0</v>
      </c>
      <c r="O43" s="156">
        <f t="shared" si="9"/>
        <v>0</v>
      </c>
      <c r="P43" s="158">
        <f t="shared" si="10"/>
        <v>0</v>
      </c>
      <c r="Q43" s="156">
        <f t="shared" si="11"/>
        <v>0</v>
      </c>
      <c r="R43" s="156"/>
      <c r="S43" s="156"/>
      <c r="T43" s="156"/>
      <c r="U43" s="156"/>
    </row>
    <row r="44" spans="1:21" x14ac:dyDescent="0.2">
      <c r="A44" s="157" t="s">
        <v>4</v>
      </c>
      <c r="B44" s="797"/>
      <c r="C44" s="987">
        <f>-DataBase!C246</f>
        <v>3</v>
      </c>
      <c r="D44" s="987">
        <f>-DataBase!D246</f>
        <v>3</v>
      </c>
      <c r="E44" s="987">
        <f>-DataBase!E246</f>
        <v>3</v>
      </c>
      <c r="F44" s="987">
        <f>-DataBase!F246</f>
        <v>3</v>
      </c>
      <c r="G44" s="987">
        <f>-DataBase!G246</f>
        <v>3</v>
      </c>
      <c r="H44" s="987">
        <f>-DataBase!H246</f>
        <v>3</v>
      </c>
      <c r="I44" s="987">
        <f>-DataBase!I246</f>
        <v>3</v>
      </c>
      <c r="J44" s="987">
        <f>-DataBase!J246</f>
        <v>3</v>
      </c>
      <c r="K44" s="987">
        <f>-DataBase!K246</f>
        <v>3</v>
      </c>
      <c r="L44" s="987">
        <f>-DataBase!L246</f>
        <v>3</v>
      </c>
      <c r="M44" s="987">
        <f>-DataBase!M246</f>
        <v>3</v>
      </c>
      <c r="N44" s="987">
        <f>-DataBase!N246</f>
        <v>3</v>
      </c>
      <c r="O44" s="156">
        <f t="shared" si="9"/>
        <v>36</v>
      </c>
      <c r="P44" s="158">
        <f t="shared" si="10"/>
        <v>6</v>
      </c>
      <c r="Q44" s="156">
        <f t="shared" si="11"/>
        <v>30</v>
      </c>
      <c r="R44" s="156"/>
      <c r="S44" s="156"/>
      <c r="T44" s="156"/>
      <c r="U44" s="156"/>
    </row>
    <row r="45" spans="1:21" x14ac:dyDescent="0.2">
      <c r="A45" s="157" t="s">
        <v>1034</v>
      </c>
      <c r="B45" s="796"/>
      <c r="C45" s="987">
        <f>-DataBase!C121</f>
        <v>0</v>
      </c>
      <c r="D45" s="987">
        <f>-DataBase!D121</f>
        <v>0</v>
      </c>
      <c r="E45" s="987">
        <f>-DataBase!E121</f>
        <v>0</v>
      </c>
      <c r="F45" s="987">
        <f>-DataBase!F121</f>
        <v>0</v>
      </c>
      <c r="G45" s="987">
        <f>-DataBase!G121</f>
        <v>0</v>
      </c>
      <c r="H45" s="987">
        <f>-DataBase!H121</f>
        <v>0</v>
      </c>
      <c r="I45" s="987">
        <f>-DataBase!I121</f>
        <v>0</v>
      </c>
      <c r="J45" s="987">
        <f>-DataBase!J121</f>
        <v>0</v>
      </c>
      <c r="K45" s="987">
        <f>-DataBase!K121</f>
        <v>0</v>
      </c>
      <c r="L45" s="987">
        <f>-DataBase!L121</f>
        <v>0</v>
      </c>
      <c r="M45" s="987">
        <f>-DataBase!M121</f>
        <v>0</v>
      </c>
      <c r="N45" s="987">
        <f>-DataBase!N121</f>
        <v>0</v>
      </c>
      <c r="O45" s="156">
        <f t="shared" si="9"/>
        <v>0</v>
      </c>
      <c r="P45" s="158">
        <f t="shared" si="10"/>
        <v>0</v>
      </c>
      <c r="Q45" s="156">
        <f t="shared" si="11"/>
        <v>0</v>
      </c>
      <c r="R45" s="156"/>
      <c r="S45" s="156"/>
      <c r="T45" s="156"/>
      <c r="U45" s="156"/>
    </row>
    <row r="46" spans="1:21" x14ac:dyDescent="0.2">
      <c r="A46" s="157" t="s">
        <v>1035</v>
      </c>
      <c r="B46" s="797"/>
      <c r="C46" s="987">
        <f>-DataBase!C122</f>
        <v>0</v>
      </c>
      <c r="D46" s="987">
        <f>-DataBase!D122</f>
        <v>0</v>
      </c>
      <c r="E46" s="987">
        <f>-DataBase!E122</f>
        <v>0</v>
      </c>
      <c r="F46" s="987">
        <f>-DataBase!F122</f>
        <v>0</v>
      </c>
      <c r="G46" s="987">
        <f>-DataBase!G122</f>
        <v>0</v>
      </c>
      <c r="H46" s="987">
        <f>-DataBase!H122</f>
        <v>0</v>
      </c>
      <c r="I46" s="987">
        <f>-DataBase!I122</f>
        <v>0</v>
      </c>
      <c r="J46" s="987">
        <f>-DataBase!J122</f>
        <v>0</v>
      </c>
      <c r="K46" s="987">
        <f>-DataBase!K122</f>
        <v>0</v>
      </c>
      <c r="L46" s="987">
        <f>-DataBase!L122</f>
        <v>0</v>
      </c>
      <c r="M46" s="987">
        <f>-DataBase!M122</f>
        <v>0</v>
      </c>
      <c r="N46" s="987">
        <f>-DataBase!N122</f>
        <v>0</v>
      </c>
      <c r="O46" s="156">
        <f>SUM(C46:N46)</f>
        <v>0</v>
      </c>
      <c r="P46" s="158">
        <f t="shared" si="10"/>
        <v>0</v>
      </c>
      <c r="Q46" s="156">
        <f>(O46-P46)</f>
        <v>0</v>
      </c>
      <c r="R46" s="156"/>
      <c r="S46" s="156"/>
      <c r="T46" s="156"/>
      <c r="U46" s="156"/>
    </row>
    <row r="47" spans="1:21" x14ac:dyDescent="0.2">
      <c r="A47" s="157" t="s">
        <v>1036</v>
      </c>
      <c r="B47" s="796"/>
      <c r="C47" s="987">
        <f>-DataBase!C123</f>
        <v>0</v>
      </c>
      <c r="D47" s="987">
        <f>-DataBase!D123</f>
        <v>0</v>
      </c>
      <c r="E47" s="987">
        <f>-DataBase!E123</f>
        <v>0</v>
      </c>
      <c r="F47" s="987">
        <f>-DataBase!F123</f>
        <v>0</v>
      </c>
      <c r="G47" s="987">
        <f>-DataBase!G123</f>
        <v>0</v>
      </c>
      <c r="H47" s="987">
        <f>-DataBase!H123</f>
        <v>0</v>
      </c>
      <c r="I47" s="987">
        <f>-DataBase!I123</f>
        <v>0</v>
      </c>
      <c r="J47" s="987">
        <f>-DataBase!J123</f>
        <v>0</v>
      </c>
      <c r="K47" s="987">
        <f>-DataBase!K123</f>
        <v>0</v>
      </c>
      <c r="L47" s="987">
        <f>-DataBase!L123</f>
        <v>0</v>
      </c>
      <c r="M47" s="987">
        <f>-DataBase!M123</f>
        <v>0</v>
      </c>
      <c r="N47" s="987">
        <f>-DataBase!N123</f>
        <v>0</v>
      </c>
      <c r="O47" s="156">
        <f t="shared" si="9"/>
        <v>0</v>
      </c>
      <c r="P47" s="158">
        <f t="shared" si="10"/>
        <v>0</v>
      </c>
      <c r="Q47" s="156">
        <f t="shared" si="11"/>
        <v>0</v>
      </c>
      <c r="R47" s="156"/>
      <c r="S47" s="156"/>
      <c r="T47" s="156"/>
      <c r="U47" s="156"/>
    </row>
    <row r="48" spans="1:21" x14ac:dyDescent="0.2">
      <c r="A48" s="157" t="s">
        <v>840</v>
      </c>
      <c r="B48" s="797"/>
      <c r="C48" s="987">
        <f>-DataBase!C124</f>
        <v>0</v>
      </c>
      <c r="D48" s="987">
        <f>-DataBase!D124</f>
        <v>0</v>
      </c>
      <c r="E48" s="987">
        <f>-DataBase!E124</f>
        <v>0</v>
      </c>
      <c r="F48" s="987">
        <f>-DataBase!F124</f>
        <v>0</v>
      </c>
      <c r="G48" s="987">
        <f>-DataBase!G124</f>
        <v>0</v>
      </c>
      <c r="H48" s="987">
        <f>-DataBase!H124</f>
        <v>0</v>
      </c>
      <c r="I48" s="987">
        <f>-DataBase!I124</f>
        <v>0</v>
      </c>
      <c r="J48" s="987">
        <f>-DataBase!J124</f>
        <v>0</v>
      </c>
      <c r="K48" s="987">
        <f>-DataBase!K124</f>
        <v>0</v>
      </c>
      <c r="L48" s="987">
        <f>-DataBase!L124</f>
        <v>0</v>
      </c>
      <c r="M48" s="987">
        <f>-DataBase!M124</f>
        <v>0</v>
      </c>
      <c r="N48" s="987">
        <f>-DataBase!N124</f>
        <v>0</v>
      </c>
      <c r="O48" s="156">
        <f t="shared" si="9"/>
        <v>0</v>
      </c>
      <c r="P48" s="158">
        <f t="shared" si="10"/>
        <v>0</v>
      </c>
      <c r="Q48" s="156">
        <f t="shared" si="11"/>
        <v>0</v>
      </c>
      <c r="R48" s="156"/>
      <c r="S48" s="156"/>
      <c r="T48" s="156"/>
      <c r="U48" s="156"/>
    </row>
    <row r="49" spans="1:23" x14ac:dyDescent="0.2">
      <c r="A49" s="157" t="s">
        <v>622</v>
      </c>
      <c r="C49" s="262">
        <v>0</v>
      </c>
      <c r="D49" s="262">
        <v>0</v>
      </c>
      <c r="E49" s="262">
        <v>0</v>
      </c>
      <c r="F49" s="262">
        <v>0</v>
      </c>
      <c r="G49" s="262">
        <v>0</v>
      </c>
      <c r="H49" s="262">
        <v>0</v>
      </c>
      <c r="I49" s="262">
        <v>0</v>
      </c>
      <c r="J49" s="262">
        <v>0</v>
      </c>
      <c r="K49" s="262">
        <v>0</v>
      </c>
      <c r="L49" s="262">
        <v>0</v>
      </c>
      <c r="M49" s="262">
        <v>0</v>
      </c>
      <c r="N49" s="262">
        <v>0</v>
      </c>
      <c r="O49" s="160">
        <f t="shared" si="9"/>
        <v>0</v>
      </c>
      <c r="P49" s="262">
        <f t="shared" si="10"/>
        <v>0</v>
      </c>
      <c r="Q49" s="160">
        <f t="shared" si="11"/>
        <v>0</v>
      </c>
      <c r="R49" s="156"/>
      <c r="S49" s="156"/>
      <c r="T49" s="156"/>
      <c r="U49" s="156"/>
    </row>
    <row r="50" spans="1:23" ht="3.95" customHeight="1" x14ac:dyDescent="0.2">
      <c r="A50" s="155"/>
      <c r="B50" s="796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6"/>
      <c r="P50" s="158"/>
      <c r="Q50" s="156"/>
      <c r="R50" s="156"/>
      <c r="S50" s="156"/>
      <c r="T50" s="156"/>
      <c r="U50" s="156"/>
    </row>
    <row r="51" spans="1:23" x14ac:dyDescent="0.2">
      <c r="A51" s="393" t="s">
        <v>921</v>
      </c>
      <c r="B51" s="152"/>
      <c r="C51" s="161">
        <f t="shared" ref="C51:Q51" si="12">SUM(C38:C49)</f>
        <v>3</v>
      </c>
      <c r="D51" s="161">
        <f t="shared" si="12"/>
        <v>3</v>
      </c>
      <c r="E51" s="161">
        <f t="shared" si="12"/>
        <v>3</v>
      </c>
      <c r="F51" s="161">
        <f t="shared" si="12"/>
        <v>3</v>
      </c>
      <c r="G51" s="161">
        <f t="shared" si="12"/>
        <v>3</v>
      </c>
      <c r="H51" s="161">
        <f t="shared" si="12"/>
        <v>3</v>
      </c>
      <c r="I51" s="161">
        <f t="shared" si="12"/>
        <v>3</v>
      </c>
      <c r="J51" s="161">
        <f t="shared" si="12"/>
        <v>3</v>
      </c>
      <c r="K51" s="161">
        <f t="shared" si="12"/>
        <v>3</v>
      </c>
      <c r="L51" s="161">
        <f t="shared" si="12"/>
        <v>3</v>
      </c>
      <c r="M51" s="161">
        <f t="shared" si="12"/>
        <v>3</v>
      </c>
      <c r="N51" s="161">
        <f t="shared" si="12"/>
        <v>3</v>
      </c>
      <c r="O51" s="161">
        <f t="shared" si="12"/>
        <v>36</v>
      </c>
      <c r="P51" s="161">
        <f t="shared" si="12"/>
        <v>6</v>
      </c>
      <c r="Q51" s="161">
        <f t="shared" si="12"/>
        <v>30</v>
      </c>
      <c r="R51" s="162"/>
      <c r="S51" s="162"/>
      <c r="T51" s="156"/>
      <c r="U51" s="156"/>
    </row>
    <row r="52" spans="1:23" ht="12.75" customHeight="1" x14ac:dyDescent="0.2">
      <c r="A52" s="155"/>
      <c r="B52" s="79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</row>
    <row r="53" spans="1:23" x14ac:dyDescent="0.2">
      <c r="A53" s="393" t="s">
        <v>922</v>
      </c>
      <c r="B53" s="152"/>
      <c r="C53" s="161">
        <f t="shared" ref="C53:Q53" si="13">(C18+C28+C35+C51)</f>
        <v>-615</v>
      </c>
      <c r="D53" s="161">
        <f t="shared" si="13"/>
        <v>-621</v>
      </c>
      <c r="E53" s="161">
        <f t="shared" si="13"/>
        <v>-618</v>
      </c>
      <c r="F53" s="161">
        <f t="shared" si="13"/>
        <v>-629</v>
      </c>
      <c r="G53" s="161">
        <f t="shared" si="13"/>
        <v>-639</v>
      </c>
      <c r="H53" s="161">
        <f t="shared" si="13"/>
        <v>-645</v>
      </c>
      <c r="I53" s="161">
        <f t="shared" si="13"/>
        <v>-647</v>
      </c>
      <c r="J53" s="161">
        <f t="shared" si="13"/>
        <v>-746</v>
      </c>
      <c r="K53" s="161">
        <f t="shared" si="13"/>
        <v>-644</v>
      </c>
      <c r="L53" s="161">
        <f t="shared" si="13"/>
        <v>-743</v>
      </c>
      <c r="M53" s="161">
        <f t="shared" si="13"/>
        <v>-776</v>
      </c>
      <c r="N53" s="161">
        <f t="shared" si="13"/>
        <v>-776</v>
      </c>
      <c r="O53" s="161">
        <f t="shared" si="13"/>
        <v>-8099</v>
      </c>
      <c r="P53" s="161">
        <f t="shared" si="13"/>
        <v>-1236</v>
      </c>
      <c r="Q53" s="161">
        <f t="shared" si="13"/>
        <v>-6863</v>
      </c>
      <c r="R53" s="162"/>
      <c r="S53" s="162"/>
      <c r="T53" s="162"/>
      <c r="U53" s="162"/>
      <c r="V53" s="154"/>
      <c r="W53" s="154"/>
    </row>
    <row r="54" spans="1:23" x14ac:dyDescent="0.2">
      <c r="A54" s="155"/>
      <c r="B54" s="796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6"/>
      <c r="P54" s="158"/>
      <c r="Q54" s="156"/>
      <c r="R54" s="156"/>
      <c r="S54" s="156"/>
      <c r="T54" s="156"/>
      <c r="U54" s="156"/>
    </row>
    <row r="55" spans="1:23" ht="6" customHeight="1" x14ac:dyDescent="0.2"/>
    <row r="56" spans="1:23" x14ac:dyDescent="0.2"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6"/>
      <c r="P56" s="158"/>
      <c r="Q56" s="156"/>
      <c r="R56" s="156"/>
      <c r="S56" s="156"/>
      <c r="T56" s="156"/>
      <c r="U56" s="156"/>
    </row>
    <row r="57" spans="1:23" x14ac:dyDescent="0.2">
      <c r="A57" s="155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60"/>
      <c r="P57" s="159"/>
      <c r="Q57" s="160"/>
      <c r="R57" s="156"/>
      <c r="S57" s="156"/>
      <c r="T57" s="156"/>
      <c r="U57" s="156"/>
    </row>
    <row r="58" spans="1:23" x14ac:dyDescent="0.2"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56"/>
      <c r="T58" s="156"/>
      <c r="U58" s="156"/>
    </row>
    <row r="59" spans="1:23" x14ac:dyDescent="0.2"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6"/>
      <c r="P59" s="158"/>
      <c r="Q59" s="156"/>
      <c r="R59" s="156"/>
      <c r="S59" s="156"/>
      <c r="T59" s="156"/>
      <c r="U59" s="156"/>
    </row>
    <row r="60" spans="1:23" x14ac:dyDescent="0.2">
      <c r="A60" s="164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</row>
    <row r="61" spans="1:23" ht="8.1" customHeight="1" x14ac:dyDescent="0.2"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</row>
    <row r="62" spans="1:23" x14ac:dyDescent="0.2"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</row>
    <row r="63" spans="1:23" x14ac:dyDescent="0.2"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</row>
    <row r="64" spans="1:23" x14ac:dyDescent="0.2"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</row>
    <row r="65" spans="1:21" x14ac:dyDescent="0.2"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</row>
    <row r="66" spans="1:21" x14ac:dyDescent="0.2"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</row>
    <row r="67" spans="1:21" x14ac:dyDescent="0.2"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</row>
    <row r="68" spans="1:21" x14ac:dyDescent="0.2">
      <c r="A68" s="163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</row>
    <row r="69" spans="1:21" x14ac:dyDescent="0.2"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</row>
    <row r="71" spans="1:21" x14ac:dyDescent="0.2">
      <c r="A71" s="163"/>
    </row>
  </sheetData>
  <phoneticPr fontId="0" type="noConversion"/>
  <printOptions horizontalCentered="1" gridLinesSet="0"/>
  <pageMargins left="0.5" right="0.5" top="0.25" bottom="0.25" header="0" footer="0"/>
  <pageSetup paperSize="5" scale="84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P609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ColWidth="10.7109375" defaultRowHeight="12.75" x14ac:dyDescent="0.2"/>
  <cols>
    <col min="1" max="1" width="5.7109375" style="196" customWidth="1"/>
    <col min="2" max="2" width="45.7109375" style="196" customWidth="1"/>
    <col min="3" max="3" width="8.7109375" style="444" customWidth="1"/>
    <col min="4" max="4" width="2.7109375" style="196" customWidth="1"/>
    <col min="5" max="5" width="11.7109375" style="196" customWidth="1"/>
    <col min="6" max="10" width="10.7109375" style="196" customWidth="1"/>
    <col min="11" max="12" width="10.7109375" style="196"/>
    <col min="13" max="13" width="5.7109375" style="196" customWidth="1"/>
    <col min="14" max="14" width="45.7109375" style="196" customWidth="1"/>
    <col min="15" max="15" width="8.7109375" style="444" customWidth="1"/>
    <col min="16" max="16" width="2.7109375" style="196" customWidth="1"/>
    <col min="17" max="17" width="11.5703125" style="196" customWidth="1"/>
    <col min="18" max="29" width="9.7109375" style="196" customWidth="1"/>
    <col min="30" max="32" width="10.7109375" style="196" customWidth="1"/>
    <col min="33" max="34" width="10.7109375" style="196"/>
    <col min="35" max="35" width="5.7109375" style="196" customWidth="1"/>
    <col min="36" max="36" width="55.7109375" style="196" customWidth="1"/>
    <col min="37" max="37" width="8.7109375" style="444" customWidth="1"/>
    <col min="38" max="38" width="2.7109375" style="196" customWidth="1"/>
    <col min="39" max="49" width="10.7109375" style="196" customWidth="1"/>
    <col min="50" max="51" width="10.7109375" style="196"/>
    <col min="52" max="52" width="5.7109375" style="196" customWidth="1"/>
    <col min="53" max="53" width="45.7109375" style="196" customWidth="1"/>
    <col min="54" max="54" width="1.7109375" style="196" customWidth="1"/>
    <col min="55" max="55" width="6.7109375" style="196" customWidth="1"/>
    <col min="56" max="60" width="9.7109375" style="196" customWidth="1"/>
    <col min="61" max="16384" width="10.7109375" style="196"/>
  </cols>
  <sheetData>
    <row r="1" spans="1:68" ht="12" customHeight="1" x14ac:dyDescent="0.2">
      <c r="A1" s="546" t="str">
        <f ca="1">CELL("FILENAME")</f>
        <v>P:\Finance\2002 Plan\[EMTW02PL.XLS]IncomeState</v>
      </c>
      <c r="B1" s="195"/>
      <c r="C1" s="815"/>
      <c r="E1" s="511" t="str">
        <f>IncomeState!G1</f>
        <v>TRANSWESTERN PIPELINE GROUP</v>
      </c>
      <c r="F1" s="509"/>
      <c r="G1" s="509"/>
      <c r="H1" s="509"/>
      <c r="I1" s="419"/>
      <c r="J1" s="419"/>
      <c r="M1" s="433" t="str">
        <f ca="1">A1</f>
        <v>P:\Finance\2002 Plan\[EMTW02PL.XLS]IncomeState</v>
      </c>
      <c r="N1" s="195"/>
      <c r="O1" s="815"/>
      <c r="P1" s="198"/>
      <c r="Q1" s="198"/>
      <c r="R1" s="198"/>
      <c r="S1" s="198"/>
      <c r="T1" s="198"/>
      <c r="U1" s="511" t="str">
        <f>E1</f>
        <v>TRANSWESTERN PIPELINE GROUP</v>
      </c>
      <c r="V1" s="512"/>
      <c r="W1" s="512"/>
      <c r="X1" s="512"/>
      <c r="Y1" s="198"/>
      <c r="Z1" s="198"/>
      <c r="AI1" s="433" t="str">
        <f ca="1">A1</f>
        <v>P:\Finance\2002 Plan\[EMTW02PL.XLS]IncomeState</v>
      </c>
      <c r="AJ1" s="195"/>
      <c r="AK1" s="815"/>
      <c r="AL1" s="195"/>
      <c r="AM1" s="511" t="str">
        <f>E1</f>
        <v>TRANSWESTERN PIPELINE GROUP</v>
      </c>
      <c r="AN1" s="511"/>
      <c r="AO1" s="512"/>
      <c r="AP1" s="511"/>
      <c r="AQ1" s="195"/>
      <c r="AR1"/>
      <c r="AS1"/>
      <c r="AT1"/>
      <c r="AU1"/>
    </row>
    <row r="2" spans="1:68" ht="12" customHeight="1" x14ac:dyDescent="0.2">
      <c r="A2" s="416" t="s">
        <v>634</v>
      </c>
      <c r="B2" s="195"/>
      <c r="C2" s="815"/>
      <c r="E2" s="511" t="str">
        <f>IncomeState!G2</f>
        <v>2002 OPERATING PLAN</v>
      </c>
      <c r="F2" s="509"/>
      <c r="G2" s="509"/>
      <c r="H2" s="509"/>
      <c r="I2" s="419"/>
      <c r="J2" s="419"/>
      <c r="M2" s="416" t="s">
        <v>357</v>
      </c>
      <c r="N2" s="195"/>
      <c r="O2" s="815"/>
      <c r="P2" s="198"/>
      <c r="Q2" s="198"/>
      <c r="R2" s="198"/>
      <c r="S2" s="198"/>
      <c r="T2" s="198"/>
      <c r="U2" s="511" t="str">
        <f>E2</f>
        <v>2002 OPERATING PLAN</v>
      </c>
      <c r="V2" s="511"/>
      <c r="W2" s="511"/>
      <c r="X2" s="511"/>
      <c r="Y2" s="198"/>
      <c r="Z2" s="198"/>
      <c r="AI2" s="416" t="s">
        <v>358</v>
      </c>
      <c r="AJ2" s="195"/>
      <c r="AK2" s="815"/>
      <c r="AL2" s="195"/>
      <c r="AM2" s="511" t="str">
        <f>E2</f>
        <v>2002 OPERATING PLAN</v>
      </c>
      <c r="AN2" s="511"/>
      <c r="AO2" s="512"/>
      <c r="AP2" s="511"/>
      <c r="AQ2" s="195"/>
      <c r="AR2"/>
      <c r="AS2"/>
      <c r="AT2"/>
      <c r="AU2"/>
    </row>
    <row r="3" spans="1:68" ht="12" customHeight="1" x14ac:dyDescent="0.2">
      <c r="B3"/>
      <c r="C3" s="816">
        <f ca="1">NOW()</f>
        <v>37189.614922222223</v>
      </c>
      <c r="E3" s="508" t="s">
        <v>359</v>
      </c>
      <c r="F3" s="509"/>
      <c r="G3" s="509"/>
      <c r="H3" s="510"/>
      <c r="I3" s="419"/>
      <c r="J3" s="419"/>
      <c r="N3"/>
      <c r="O3" s="816">
        <f ca="1">NOW()</f>
        <v>37189.614922222223</v>
      </c>
      <c r="U3" s="511" t="str">
        <f>E3</f>
        <v>DEFERRED TAX ITEMS</v>
      </c>
      <c r="V3" s="513"/>
      <c r="W3" s="513"/>
      <c r="X3" s="513"/>
      <c r="AJ3"/>
      <c r="AK3" s="816">
        <f ca="1">NOW()</f>
        <v>37189.614922222223</v>
      </c>
      <c r="AL3" s="199"/>
      <c r="AM3" s="511" t="str">
        <f>E3</f>
        <v>DEFERRED TAX ITEMS</v>
      </c>
      <c r="AN3" s="511"/>
      <c r="AO3" s="512"/>
      <c r="AP3" s="511"/>
      <c r="AQ3" s="199"/>
      <c r="AR3"/>
      <c r="AS3"/>
      <c r="AT3"/>
      <c r="AU3"/>
    </row>
    <row r="4" spans="1:68" ht="12" customHeight="1" x14ac:dyDescent="0.2">
      <c r="B4"/>
      <c r="C4" s="817">
        <f ca="1">NOW()</f>
        <v>37189.614922222223</v>
      </c>
      <c r="E4" s="511" t="str">
        <f>IncomeState!G4</f>
        <v>(Thousands of Dollars)</v>
      </c>
      <c r="F4" s="509"/>
      <c r="G4" s="509"/>
      <c r="H4" s="510"/>
      <c r="I4" s="419"/>
      <c r="J4" s="419"/>
      <c r="N4"/>
      <c r="O4" s="817">
        <f ca="1">NOW()</f>
        <v>37189.614922222223</v>
      </c>
      <c r="U4" s="511" t="str">
        <f>E4</f>
        <v>(Thousands of Dollars)</v>
      </c>
      <c r="V4" s="513"/>
      <c r="W4" s="513"/>
      <c r="X4" s="514"/>
      <c r="AJ4"/>
      <c r="AK4" s="817">
        <f ca="1">NOW()</f>
        <v>37189.614922222223</v>
      </c>
      <c r="AL4" s="201"/>
      <c r="AM4" s="511" t="str">
        <f>E4</f>
        <v>(Thousands of Dollars)</v>
      </c>
      <c r="AN4" s="511"/>
      <c r="AO4" s="512"/>
      <c r="AP4" s="511"/>
      <c r="AQ4" s="201"/>
      <c r="AR4"/>
      <c r="AS4"/>
      <c r="AT4"/>
      <c r="AU4"/>
    </row>
    <row r="5" spans="1:68" ht="12" customHeight="1" x14ac:dyDescent="0.2">
      <c r="E5" s="419"/>
      <c r="F5" s="202"/>
      <c r="G5" s="202"/>
      <c r="H5" s="419"/>
      <c r="I5" s="419"/>
      <c r="J5" s="419"/>
      <c r="V5" s="200"/>
      <c r="W5" s="200"/>
      <c r="AR5" s="200"/>
      <c r="AS5" s="200"/>
      <c r="AU5" s="200"/>
    </row>
    <row r="6" spans="1:68" ht="12" customHeight="1" thickBot="1" x14ac:dyDescent="0.25">
      <c r="A6" s="198"/>
      <c r="B6" s="198"/>
      <c r="C6" s="203"/>
      <c r="D6" s="198"/>
      <c r="E6" s="420"/>
      <c r="F6" s="421" t="s">
        <v>360</v>
      </c>
      <c r="G6" s="422"/>
      <c r="H6" s="423" t="s">
        <v>361</v>
      </c>
      <c r="I6" s="420"/>
      <c r="J6" s="420"/>
      <c r="M6" s="198"/>
      <c r="N6" s="198"/>
      <c r="O6" s="203"/>
      <c r="P6" s="198"/>
      <c r="Q6" s="198"/>
      <c r="R6" s="198"/>
      <c r="S6"/>
      <c r="T6"/>
      <c r="U6" s="423"/>
      <c r="V6" s="489"/>
      <c r="W6" s="195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203"/>
      <c r="AL6" s="198"/>
      <c r="AM6" s="445">
        <v>2001</v>
      </c>
      <c r="AN6" s="445"/>
      <c r="AO6" s="520"/>
      <c r="AP6" s="419"/>
      <c r="AQ6" s="420"/>
      <c r="AR6" s="198"/>
      <c r="AS6" s="520" t="s">
        <v>539</v>
      </c>
      <c r="AT6" s="520"/>
      <c r="AU6" s="520"/>
      <c r="AV6" s="419"/>
      <c r="AW6" s="420"/>
      <c r="AX6" s="198"/>
      <c r="BO6" s="204"/>
      <c r="BP6" s="204"/>
    </row>
    <row r="7" spans="1:68" ht="12" customHeight="1" x14ac:dyDescent="0.2">
      <c r="A7" s="198"/>
      <c r="B7" s="198"/>
      <c r="C7" s="203"/>
      <c r="D7" s="198"/>
      <c r="E7" s="423" t="s">
        <v>362</v>
      </c>
      <c r="F7" s="420"/>
      <c r="G7" s="420"/>
      <c r="H7" s="423" t="s">
        <v>363</v>
      </c>
      <c r="I7" s="432" t="s">
        <v>364</v>
      </c>
      <c r="J7" s="420"/>
      <c r="M7" s="198"/>
      <c r="N7" s="198"/>
      <c r="O7" s="203"/>
      <c r="P7" s="198"/>
      <c r="Q7" s="203" t="str">
        <f t="shared" ref="Q7:Q37" si="0">E7</f>
        <v>EVENT</v>
      </c>
      <c r="R7" s="205" t="str">
        <f>DataBase!C2</f>
        <v>PLAN</v>
      </c>
      <c r="S7" s="205" t="str">
        <f>DataBase!D2</f>
        <v>PLAN</v>
      </c>
      <c r="T7" s="205" t="str">
        <f>DataBase!E2</f>
        <v>PLAN</v>
      </c>
      <c r="U7" s="205" t="str">
        <f>DataBase!F2</f>
        <v>PLAN</v>
      </c>
      <c r="V7" s="205" t="str">
        <f>DataBase!G2</f>
        <v>PLAN</v>
      </c>
      <c r="W7" s="205" t="str">
        <f>DataBase!H2</f>
        <v>PLAN</v>
      </c>
      <c r="X7" s="205" t="str">
        <f>DataBase!I2</f>
        <v>PLAN</v>
      </c>
      <c r="Y7" s="205" t="str">
        <f>DataBase!J2</f>
        <v>PLAN</v>
      </c>
      <c r="Z7" s="205" t="str">
        <f>DataBase!K2</f>
        <v>PLAN</v>
      </c>
      <c r="AA7" s="205" t="str">
        <f>DataBase!L2</f>
        <v>PLAN</v>
      </c>
      <c r="AB7" s="205" t="str">
        <f>DataBase!M2</f>
        <v>PLAN</v>
      </c>
      <c r="AC7" s="205" t="str">
        <f>DataBase!N2</f>
        <v>PLAN</v>
      </c>
      <c r="AD7" s="205" t="str">
        <f>DataBase!O2</f>
        <v>TOTAL</v>
      </c>
      <c r="AE7" s="205" t="str">
        <f>IncomeState!P6</f>
        <v>FEB.</v>
      </c>
      <c r="AF7" s="205" t="str">
        <f>IncomeState!Q6</f>
        <v>ESTIMATE</v>
      </c>
      <c r="AG7" s="198"/>
      <c r="AH7" s="198"/>
      <c r="AI7" s="198"/>
      <c r="AJ7" s="198"/>
      <c r="AK7" s="203" t="str">
        <f>E7</f>
        <v>EVENT</v>
      </c>
      <c r="AL7" s="203"/>
      <c r="AM7" s="657" t="s">
        <v>130</v>
      </c>
      <c r="AN7" s="657" t="s">
        <v>934</v>
      </c>
      <c r="AO7" s="657" t="s">
        <v>1057</v>
      </c>
      <c r="AP7" s="446" t="s">
        <v>365</v>
      </c>
      <c r="AQ7" s="447"/>
      <c r="AR7" s="198"/>
      <c r="AS7" s="477"/>
      <c r="AT7" s="477" t="s">
        <v>366</v>
      </c>
      <c r="AU7" s="432" t="s">
        <v>934</v>
      </c>
      <c r="AV7" s="446" t="s">
        <v>365</v>
      </c>
      <c r="AW7" s="447"/>
      <c r="AX7" s="198"/>
      <c r="BO7" s="204"/>
      <c r="BP7" s="204"/>
    </row>
    <row r="8" spans="1:68" ht="12" customHeight="1" x14ac:dyDescent="0.2">
      <c r="A8" s="417" t="s">
        <v>367</v>
      </c>
      <c r="B8" s="426" t="s">
        <v>368</v>
      </c>
      <c r="C8" s="824"/>
      <c r="D8" s="208"/>
      <c r="E8" s="417" t="s">
        <v>369</v>
      </c>
      <c r="F8" s="674" t="s">
        <v>391</v>
      </c>
      <c r="G8" s="674" t="s">
        <v>392</v>
      </c>
      <c r="H8" s="417" t="s">
        <v>370</v>
      </c>
      <c r="I8" s="424" t="s">
        <v>371</v>
      </c>
      <c r="J8" s="431" t="s">
        <v>372</v>
      </c>
      <c r="M8" s="209" t="str">
        <f t="shared" ref="M8:M38" si="1">A8</f>
        <v xml:space="preserve"> C/NC</v>
      </c>
      <c r="N8" s="208" t="str">
        <f t="shared" ref="N8:N38" si="2">B8</f>
        <v xml:space="preserve"> (Increase) / Decrease to Current Taxable Income</v>
      </c>
      <c r="O8" s="818"/>
      <c r="P8" s="210"/>
      <c r="Q8" s="207" t="str">
        <f t="shared" si="0"/>
        <v>CODE</v>
      </c>
      <c r="R8" s="435" t="s">
        <v>609</v>
      </c>
      <c r="S8" s="435" t="s">
        <v>610</v>
      </c>
      <c r="T8" s="435" t="s">
        <v>611</v>
      </c>
      <c r="U8" s="435" t="s">
        <v>612</v>
      </c>
      <c r="V8" s="435" t="s">
        <v>613</v>
      </c>
      <c r="W8" s="435" t="s">
        <v>614</v>
      </c>
      <c r="X8" s="435" t="s">
        <v>615</v>
      </c>
      <c r="Y8" s="435" t="s">
        <v>616</v>
      </c>
      <c r="Z8" s="435" t="s">
        <v>617</v>
      </c>
      <c r="AA8" s="435" t="s">
        <v>618</v>
      </c>
      <c r="AB8" s="435" t="s">
        <v>619</v>
      </c>
      <c r="AC8" s="435" t="s">
        <v>620</v>
      </c>
      <c r="AD8" s="675">
        <f>IncomeState!O7</f>
        <v>2002</v>
      </c>
      <c r="AE8" s="675" t="str">
        <f>IncomeState!P7</f>
        <v>Y-T-D</v>
      </c>
      <c r="AF8" s="675" t="str">
        <f>IncomeState!Q7</f>
        <v>R.M.</v>
      </c>
      <c r="AG8" s="198"/>
      <c r="AH8" s="198"/>
      <c r="AI8" s="209" t="str">
        <f>A8</f>
        <v xml:space="preserve"> C/NC</v>
      </c>
      <c r="AJ8" s="208" t="str">
        <f>B8</f>
        <v xml:space="preserve"> (Increase) / Decrease to Current Taxable Income</v>
      </c>
      <c r="AK8" s="207" t="str">
        <f>E8</f>
        <v>CODE</v>
      </c>
      <c r="AL8" s="207"/>
      <c r="AM8" s="674" t="s">
        <v>373</v>
      </c>
      <c r="AN8" s="496" t="s">
        <v>131</v>
      </c>
      <c r="AO8" s="496" t="s">
        <v>373</v>
      </c>
      <c r="AP8" s="496" t="s">
        <v>132</v>
      </c>
      <c r="AQ8" s="674" t="s">
        <v>373</v>
      </c>
      <c r="AR8" s="210"/>
      <c r="AS8" s="425" t="s">
        <v>375</v>
      </c>
      <c r="AT8" s="425" t="s">
        <v>376</v>
      </c>
      <c r="AU8" s="424" t="s">
        <v>374</v>
      </c>
      <c r="AV8" s="425" t="s">
        <v>376</v>
      </c>
      <c r="AW8" s="424" t="s">
        <v>377</v>
      </c>
      <c r="AX8" s="198"/>
      <c r="BO8" s="204"/>
      <c r="BP8" s="204"/>
    </row>
    <row r="9" spans="1:68" ht="12" customHeight="1" x14ac:dyDescent="0.2">
      <c r="A9" s="212" t="s">
        <v>378</v>
      </c>
      <c r="B9" s="427" t="s">
        <v>910</v>
      </c>
      <c r="C9" s="218"/>
      <c r="D9" s="200"/>
      <c r="E9" s="212" t="s">
        <v>379</v>
      </c>
      <c r="F9" s="214">
        <v>0</v>
      </c>
      <c r="G9" s="214">
        <v>0</v>
      </c>
      <c r="H9" s="215">
        <f t="shared" ref="H9:H27" si="3">F9-G9</f>
        <v>0</v>
      </c>
      <c r="I9" s="214">
        <v>0</v>
      </c>
      <c r="J9" s="215">
        <f t="shared" ref="J9:J27" si="4">H9-I9</f>
        <v>0</v>
      </c>
      <c r="M9" s="434" t="str">
        <f t="shared" si="1"/>
        <v>C</v>
      </c>
      <c r="N9" s="216" t="str">
        <f t="shared" si="2"/>
        <v>Other</v>
      </c>
      <c r="O9" s="434"/>
      <c r="P9" s="434"/>
      <c r="Q9" s="470" t="str">
        <f t="shared" si="0"/>
        <v>??????</v>
      </c>
      <c r="R9" s="214">
        <v>0</v>
      </c>
      <c r="S9" s="214">
        <v>0</v>
      </c>
      <c r="T9" s="214">
        <v>0</v>
      </c>
      <c r="U9" s="214">
        <v>0</v>
      </c>
      <c r="V9" s="214">
        <v>0</v>
      </c>
      <c r="W9" s="214">
        <v>0</v>
      </c>
      <c r="X9" s="214">
        <v>0</v>
      </c>
      <c r="Y9" s="214">
        <v>0</v>
      </c>
      <c r="Z9" s="214">
        <v>0</v>
      </c>
      <c r="AA9" s="214">
        <v>0</v>
      </c>
      <c r="AB9" s="214">
        <v>0</v>
      </c>
      <c r="AC9" s="214">
        <v>0</v>
      </c>
      <c r="AD9" s="215">
        <f t="shared" ref="AD9:AD26" si="5">SUM(R9:AC9)</f>
        <v>0</v>
      </c>
      <c r="AE9" s="214">
        <f>SUM(R9:S9)</f>
        <v>0</v>
      </c>
      <c r="AF9" s="215">
        <f t="shared" ref="AF9:AF27" si="6">AD9-AE9</f>
        <v>0</v>
      </c>
      <c r="AG9" s="217"/>
      <c r="AI9" s="444" t="str">
        <f t="shared" ref="AI9:AI39" si="7">M9</f>
        <v>C</v>
      </c>
      <c r="AJ9" s="216" t="str">
        <f t="shared" ref="AJ9:AJ39" si="8">B9</f>
        <v>Other</v>
      </c>
      <c r="AK9" s="434"/>
      <c r="AL9" s="216"/>
      <c r="AM9" s="215">
        <f t="shared" ref="AM9:AM39" si="9">AD9</f>
        <v>0</v>
      </c>
      <c r="AN9" s="264">
        <v>0</v>
      </c>
      <c r="AO9" s="264">
        <v>0</v>
      </c>
      <c r="AP9" s="215">
        <f t="shared" ref="AP9:AP22" si="10">AM9-AN9</f>
        <v>0</v>
      </c>
      <c r="AQ9" s="215">
        <f t="shared" ref="AQ9:AQ22" si="11">AM9-AO9</f>
        <v>0</v>
      </c>
      <c r="AR9" s="216"/>
      <c r="AS9" s="264">
        <v>0</v>
      </c>
      <c r="AT9" s="264">
        <v>0</v>
      </c>
      <c r="AU9" s="264">
        <v>0</v>
      </c>
      <c r="AV9" s="215">
        <f t="shared" ref="AV9:AV22" si="12">AS9-AT9</f>
        <v>0</v>
      </c>
      <c r="AW9" s="215">
        <f t="shared" ref="AW9:AW22" si="13">AS9-AU9</f>
        <v>0</v>
      </c>
      <c r="AX9" s="215"/>
      <c r="BO9" s="204"/>
      <c r="BP9" s="204"/>
    </row>
    <row r="10" spans="1:68" ht="12" customHeight="1" x14ac:dyDescent="0.2">
      <c r="A10" s="212" t="s">
        <v>378</v>
      </c>
      <c r="B10" s="427" t="s">
        <v>380</v>
      </c>
      <c r="C10" s="218"/>
      <c r="D10" s="218"/>
      <c r="E10" s="212" t="s">
        <v>379</v>
      </c>
      <c r="F10" s="214">
        <v>0</v>
      </c>
      <c r="G10" s="214">
        <v>0</v>
      </c>
      <c r="H10" s="215">
        <f t="shared" si="3"/>
        <v>0</v>
      </c>
      <c r="I10" s="214">
        <v>0</v>
      </c>
      <c r="J10" s="215">
        <f t="shared" si="4"/>
        <v>0</v>
      </c>
      <c r="M10" s="434" t="str">
        <f t="shared" si="1"/>
        <v>C</v>
      </c>
      <c r="N10" s="216" t="str">
        <f t="shared" si="2"/>
        <v>Other PGA -Demand</v>
      </c>
      <c r="O10" s="434"/>
      <c r="P10" s="434"/>
      <c r="Q10" s="470" t="str">
        <f t="shared" si="0"/>
        <v>??????</v>
      </c>
      <c r="R10" s="214">
        <v>0</v>
      </c>
      <c r="S10" s="214">
        <v>0</v>
      </c>
      <c r="T10" s="214">
        <v>0</v>
      </c>
      <c r="U10" s="214">
        <v>0</v>
      </c>
      <c r="V10" s="214">
        <v>0</v>
      </c>
      <c r="W10" s="214">
        <v>0</v>
      </c>
      <c r="X10" s="214">
        <v>0</v>
      </c>
      <c r="Y10" s="214">
        <v>0</v>
      </c>
      <c r="Z10" s="214">
        <v>0</v>
      </c>
      <c r="AA10" s="214">
        <v>0</v>
      </c>
      <c r="AB10" s="214">
        <v>0</v>
      </c>
      <c r="AC10" s="214">
        <v>0</v>
      </c>
      <c r="AD10" s="215">
        <f t="shared" si="5"/>
        <v>0</v>
      </c>
      <c r="AE10" s="214">
        <f t="shared" ref="AE10:AE58" si="14">SUM(R10:S10)</f>
        <v>0</v>
      </c>
      <c r="AF10" s="215">
        <f t="shared" si="6"/>
        <v>0</v>
      </c>
      <c r="AG10" s="217"/>
      <c r="AI10" s="444" t="str">
        <f t="shared" si="7"/>
        <v>C</v>
      </c>
      <c r="AJ10" s="216" t="str">
        <f t="shared" si="8"/>
        <v>Other PGA -Demand</v>
      </c>
      <c r="AK10" s="434"/>
      <c r="AL10" s="216"/>
      <c r="AM10" s="215">
        <f t="shared" si="9"/>
        <v>0</v>
      </c>
      <c r="AN10" s="264">
        <v>0</v>
      </c>
      <c r="AO10" s="264">
        <v>0</v>
      </c>
      <c r="AP10" s="215">
        <f t="shared" si="10"/>
        <v>0</v>
      </c>
      <c r="AQ10" s="215">
        <f t="shared" si="11"/>
        <v>0</v>
      </c>
      <c r="AR10" s="216"/>
      <c r="AS10" s="264">
        <v>0</v>
      </c>
      <c r="AT10" s="264">
        <v>0</v>
      </c>
      <c r="AU10" s="264">
        <v>0</v>
      </c>
      <c r="AV10" s="215">
        <f t="shared" si="12"/>
        <v>0</v>
      </c>
      <c r="AW10" s="215">
        <f t="shared" si="13"/>
        <v>0</v>
      </c>
      <c r="AX10" s="215"/>
      <c r="BO10" s="204"/>
      <c r="BP10" s="204"/>
    </row>
    <row r="11" spans="1:68" ht="12" customHeight="1" x14ac:dyDescent="0.2">
      <c r="A11" s="212" t="s">
        <v>381</v>
      </c>
      <c r="B11" s="427" t="s">
        <v>394</v>
      </c>
      <c r="C11" s="218"/>
      <c r="D11" s="218" t="s">
        <v>395</v>
      </c>
      <c r="E11" s="464" t="s">
        <v>780</v>
      </c>
      <c r="F11" s="214">
        <v>0</v>
      </c>
      <c r="G11" s="214">
        <v>0</v>
      </c>
      <c r="H11" s="215">
        <f t="shared" si="3"/>
        <v>0</v>
      </c>
      <c r="I11" s="214">
        <v>0</v>
      </c>
      <c r="J11" s="215">
        <f t="shared" si="4"/>
        <v>0</v>
      </c>
      <c r="M11" s="434" t="str">
        <f t="shared" si="1"/>
        <v>NC</v>
      </c>
      <c r="N11" s="216" t="str">
        <f t="shared" si="2"/>
        <v>Depreciation / Amort.- Book &amp; AFUDC (W/O Fair Value Adjust.)</v>
      </c>
      <c r="O11" s="434"/>
      <c r="P11" s="434" t="str">
        <f>D11</f>
        <v>L</v>
      </c>
      <c r="Q11" s="470" t="str">
        <f t="shared" si="0"/>
        <v>100101</v>
      </c>
      <c r="R11" s="215">
        <f>-'Fuel-Depr-OtherTax'!C29+'Fuel-Depr-OtherTax'!C24+'Fuel-Depr-OtherTax'!C18+'Fuel-Depr-OtherTax'!C20</f>
        <v>-1283</v>
      </c>
      <c r="S11" s="215">
        <f>-'Fuel-Depr-OtherTax'!D29+'Fuel-Depr-OtherTax'!D24+'Fuel-Depr-OtherTax'!D18+'Fuel-Depr-OtherTax'!D20</f>
        <v>-1286</v>
      </c>
      <c r="T11" s="215">
        <f>-'Fuel-Depr-OtherTax'!E29+'Fuel-Depr-OtherTax'!E24+'Fuel-Depr-OtherTax'!E18+'Fuel-Depr-OtherTax'!E20</f>
        <v>-1286</v>
      </c>
      <c r="U11" s="215">
        <f>-'Fuel-Depr-OtherTax'!F29+'Fuel-Depr-OtherTax'!F24+'Fuel-Depr-OtherTax'!F18+'Fuel-Depr-OtherTax'!F20</f>
        <v>-1286</v>
      </c>
      <c r="V11" s="215">
        <f>-'Fuel-Depr-OtherTax'!G29+'Fuel-Depr-OtherTax'!G24+'Fuel-Depr-OtherTax'!G18+'Fuel-Depr-OtherTax'!G20</f>
        <v>-1286</v>
      </c>
      <c r="W11" s="215">
        <f>-'Fuel-Depr-OtherTax'!H29+'Fuel-Depr-OtherTax'!H24+'Fuel-Depr-OtherTax'!H18+'Fuel-Depr-OtherTax'!H20</f>
        <v>-1288</v>
      </c>
      <c r="X11" s="215">
        <f>-'Fuel-Depr-OtherTax'!I29+'Fuel-Depr-OtherTax'!I24+'Fuel-Depr-OtherTax'!I18+'Fuel-Depr-OtherTax'!I20</f>
        <v>-1292</v>
      </c>
      <c r="Y11" s="215">
        <f>-'Fuel-Depr-OtherTax'!J29+'Fuel-Depr-OtherTax'!J24+'Fuel-Depr-OtherTax'!J18+'Fuel-Depr-OtherTax'!J20</f>
        <v>-1292</v>
      </c>
      <c r="Z11" s="215">
        <f>-'Fuel-Depr-OtherTax'!K29+'Fuel-Depr-OtherTax'!K24+'Fuel-Depr-OtherTax'!K18+'Fuel-Depr-OtherTax'!K20</f>
        <v>-1311</v>
      </c>
      <c r="AA11" s="215">
        <f>-'Fuel-Depr-OtherTax'!L29+'Fuel-Depr-OtherTax'!L24+'Fuel-Depr-OtherTax'!L18+'Fuel-Depr-OtherTax'!L20</f>
        <v>-1311</v>
      </c>
      <c r="AB11" s="215">
        <f>-'Fuel-Depr-OtherTax'!M29+'Fuel-Depr-OtherTax'!M24+'Fuel-Depr-OtherTax'!M18+'Fuel-Depr-OtherTax'!M20</f>
        <v>-1314</v>
      </c>
      <c r="AC11" s="215">
        <f>-'Fuel-Depr-OtherTax'!N29+'Fuel-Depr-OtherTax'!N24+'Fuel-Depr-OtherTax'!N18+'Fuel-Depr-OtherTax'!N20</f>
        <v>-1318</v>
      </c>
      <c r="AD11" s="215">
        <f t="shared" si="5"/>
        <v>-15553</v>
      </c>
      <c r="AE11" s="214">
        <f t="shared" si="14"/>
        <v>-2569</v>
      </c>
      <c r="AF11" s="215">
        <f t="shared" si="6"/>
        <v>-12984</v>
      </c>
      <c r="AG11" s="217"/>
      <c r="AH11" s="217"/>
      <c r="AI11" s="444" t="str">
        <f t="shared" si="7"/>
        <v>NC</v>
      </c>
      <c r="AJ11" s="216" t="str">
        <f t="shared" si="8"/>
        <v>Depreciation / Amort.- Book &amp; AFUDC (W/O Fair Value Adjust.)</v>
      </c>
      <c r="AK11" s="495" t="str">
        <f t="shared" ref="AK11:AK58" si="15">E11</f>
        <v>100101</v>
      </c>
      <c r="AL11" s="434" t="str">
        <f>P11</f>
        <v>L</v>
      </c>
      <c r="AM11" s="215">
        <f t="shared" si="9"/>
        <v>-15553</v>
      </c>
      <c r="AN11" s="264">
        <v>-14125</v>
      </c>
      <c r="AO11" s="264">
        <v>0</v>
      </c>
      <c r="AP11" s="215">
        <f t="shared" si="10"/>
        <v>-1428</v>
      </c>
      <c r="AQ11" s="215">
        <f t="shared" si="11"/>
        <v>-15553</v>
      </c>
      <c r="AR11"/>
      <c r="AS11" s="264">
        <v>0</v>
      </c>
      <c r="AT11" s="264">
        <v>0</v>
      </c>
      <c r="AU11" s="264">
        <v>0</v>
      </c>
      <c r="AV11" s="215">
        <f t="shared" si="12"/>
        <v>0</v>
      </c>
      <c r="AW11" s="215">
        <f t="shared" si="13"/>
        <v>0</v>
      </c>
      <c r="AX11" s="215"/>
      <c r="BO11" s="204"/>
      <c r="BP11" s="204"/>
    </row>
    <row r="12" spans="1:68" ht="12" customHeight="1" x14ac:dyDescent="0.2">
      <c r="A12" s="212" t="s">
        <v>381</v>
      </c>
      <c r="B12" s="427" t="s">
        <v>396</v>
      </c>
      <c r="C12" s="218"/>
      <c r="D12" s="200"/>
      <c r="E12" s="464" t="s">
        <v>781</v>
      </c>
      <c r="F12" s="214">
        <v>0</v>
      </c>
      <c r="G12" s="214">
        <v>0</v>
      </c>
      <c r="H12" s="215">
        <f t="shared" si="3"/>
        <v>0</v>
      </c>
      <c r="I12" s="214">
        <v>0</v>
      </c>
      <c r="J12" s="215">
        <f t="shared" si="4"/>
        <v>0</v>
      </c>
      <c r="M12" s="434" t="str">
        <f t="shared" si="1"/>
        <v>NC</v>
      </c>
      <c r="N12" s="216" t="str">
        <f t="shared" si="2"/>
        <v xml:space="preserve">                                   - Tax</v>
      </c>
      <c r="O12" s="434"/>
      <c r="P12" s="434"/>
      <c r="Q12" s="470" t="str">
        <f t="shared" si="0"/>
        <v>111010</v>
      </c>
      <c r="R12" s="214">
        <v>2865</v>
      </c>
      <c r="S12" s="214">
        <v>2865</v>
      </c>
      <c r="T12" s="214">
        <v>2865</v>
      </c>
      <c r="U12" s="214">
        <v>2866</v>
      </c>
      <c r="V12" s="214">
        <v>2865</v>
      </c>
      <c r="W12" s="214">
        <v>2865</v>
      </c>
      <c r="X12" s="214">
        <v>2865</v>
      </c>
      <c r="Y12" s="214">
        <v>2866</v>
      </c>
      <c r="Z12" s="214">
        <v>2865</v>
      </c>
      <c r="AA12" s="214">
        <v>2865</v>
      </c>
      <c r="AB12" s="214">
        <v>2865</v>
      </c>
      <c r="AC12" s="214">
        <v>2866</v>
      </c>
      <c r="AD12" s="215">
        <f t="shared" si="5"/>
        <v>34383</v>
      </c>
      <c r="AE12" s="214">
        <f t="shared" si="14"/>
        <v>5730</v>
      </c>
      <c r="AF12" s="215">
        <f t="shared" si="6"/>
        <v>28653</v>
      </c>
      <c r="AI12" s="444" t="str">
        <f t="shared" si="7"/>
        <v>NC</v>
      </c>
      <c r="AJ12" s="216" t="str">
        <f t="shared" si="8"/>
        <v xml:space="preserve">                                   - Tax</v>
      </c>
      <c r="AK12" s="495" t="str">
        <f t="shared" si="15"/>
        <v>111010</v>
      </c>
      <c r="AL12" s="434"/>
      <c r="AM12" s="215">
        <f t="shared" si="9"/>
        <v>34383</v>
      </c>
      <c r="AN12" s="264">
        <v>27916</v>
      </c>
      <c r="AO12" s="264">
        <v>0</v>
      </c>
      <c r="AP12" s="215">
        <f t="shared" si="10"/>
        <v>6467</v>
      </c>
      <c r="AQ12" s="215">
        <f t="shared" si="11"/>
        <v>34383</v>
      </c>
      <c r="AR12"/>
      <c r="AS12" s="264">
        <v>0</v>
      </c>
      <c r="AT12" s="264">
        <v>0</v>
      </c>
      <c r="AU12" s="264">
        <v>0</v>
      </c>
      <c r="AV12" s="215">
        <f t="shared" si="12"/>
        <v>0</v>
      </c>
      <c r="AW12" s="215">
        <f t="shared" si="13"/>
        <v>0</v>
      </c>
      <c r="AX12" s="215"/>
      <c r="BO12" s="204"/>
      <c r="BP12" s="204"/>
    </row>
    <row r="13" spans="1:68" ht="12" customHeight="1" x14ac:dyDescent="0.2">
      <c r="A13" s="212" t="s">
        <v>381</v>
      </c>
      <c r="B13" s="427" t="s">
        <v>397</v>
      </c>
      <c r="C13" s="218"/>
      <c r="D13" s="200"/>
      <c r="E13" s="212">
        <v>111006</v>
      </c>
      <c r="F13" s="214">
        <v>0</v>
      </c>
      <c r="G13" s="214">
        <v>0</v>
      </c>
      <c r="H13" s="215">
        <f t="shared" si="3"/>
        <v>0</v>
      </c>
      <c r="I13" s="214">
        <v>0</v>
      </c>
      <c r="J13" s="215">
        <f t="shared" si="4"/>
        <v>0</v>
      </c>
      <c r="M13" s="434" t="str">
        <f t="shared" si="1"/>
        <v>NC</v>
      </c>
      <c r="N13" s="216" t="str">
        <f t="shared" si="2"/>
        <v xml:space="preserve">                                   - AFUDC</v>
      </c>
      <c r="O13" s="434"/>
      <c r="P13" s="434"/>
      <c r="Q13" s="470">
        <f t="shared" si="0"/>
        <v>111006</v>
      </c>
      <c r="R13" s="215">
        <f>-'Fuel-Depr-OtherTax'!C18</f>
        <v>0</v>
      </c>
      <c r="S13" s="215">
        <f>-'Fuel-Depr-OtherTax'!D18</f>
        <v>0</v>
      </c>
      <c r="T13" s="215">
        <f>-'Fuel-Depr-OtherTax'!E18</f>
        <v>0</v>
      </c>
      <c r="U13" s="215">
        <f>-'Fuel-Depr-OtherTax'!F18</f>
        <v>0</v>
      </c>
      <c r="V13" s="215">
        <f>-'Fuel-Depr-OtherTax'!G18</f>
        <v>0</v>
      </c>
      <c r="W13" s="215">
        <f>-'Fuel-Depr-OtherTax'!H18</f>
        <v>0</v>
      </c>
      <c r="X13" s="215">
        <f>-'Fuel-Depr-OtherTax'!I18</f>
        <v>0</v>
      </c>
      <c r="Y13" s="215">
        <f>-'Fuel-Depr-OtherTax'!J18</f>
        <v>0</v>
      </c>
      <c r="Z13" s="215">
        <f>-'Fuel-Depr-OtherTax'!K18</f>
        <v>0</v>
      </c>
      <c r="AA13" s="215">
        <f>-'Fuel-Depr-OtherTax'!L18</f>
        <v>0</v>
      </c>
      <c r="AB13" s="215">
        <f>-'Fuel-Depr-OtherTax'!M18</f>
        <v>0</v>
      </c>
      <c r="AC13" s="215">
        <f>-'Fuel-Depr-OtherTax'!N18</f>
        <v>0</v>
      </c>
      <c r="AD13" s="215">
        <f t="shared" si="5"/>
        <v>0</v>
      </c>
      <c r="AE13" s="214">
        <f t="shared" si="14"/>
        <v>0</v>
      </c>
      <c r="AF13" s="215">
        <f t="shared" si="6"/>
        <v>0</v>
      </c>
      <c r="AI13" s="444" t="str">
        <f t="shared" si="7"/>
        <v>NC</v>
      </c>
      <c r="AJ13" s="216" t="str">
        <f t="shared" si="8"/>
        <v xml:space="preserve">                                   - AFUDC</v>
      </c>
      <c r="AK13" s="495">
        <f t="shared" si="15"/>
        <v>111006</v>
      </c>
      <c r="AL13" s="434"/>
      <c r="AM13" s="215">
        <f t="shared" si="9"/>
        <v>0</v>
      </c>
      <c r="AN13" s="264">
        <v>-127</v>
      </c>
      <c r="AO13" s="264">
        <v>0</v>
      </c>
      <c r="AP13" s="215">
        <f t="shared" si="10"/>
        <v>127</v>
      </c>
      <c r="AQ13" s="215">
        <f t="shared" si="11"/>
        <v>0</v>
      </c>
      <c r="AR13"/>
      <c r="AS13" s="264">
        <v>0</v>
      </c>
      <c r="AT13" s="264">
        <v>0</v>
      </c>
      <c r="AU13" s="264">
        <v>0</v>
      </c>
      <c r="AV13" s="215">
        <f t="shared" si="12"/>
        <v>0</v>
      </c>
      <c r="AW13" s="215">
        <f t="shared" si="13"/>
        <v>0</v>
      </c>
      <c r="AX13" s="215"/>
      <c r="BO13" s="204"/>
      <c r="BP13" s="204"/>
    </row>
    <row r="14" spans="1:68" ht="12" customHeight="1" x14ac:dyDescent="0.2">
      <c r="A14" s="219" t="s">
        <v>381</v>
      </c>
      <c r="B14" s="220" t="s">
        <v>398</v>
      </c>
      <c r="C14" s="219"/>
      <c r="D14" s="215"/>
      <c r="E14" s="212">
        <v>113003</v>
      </c>
      <c r="F14" s="214">
        <v>0</v>
      </c>
      <c r="G14" s="214">
        <v>0</v>
      </c>
      <c r="H14" s="215">
        <f t="shared" si="3"/>
        <v>0</v>
      </c>
      <c r="I14" s="214">
        <v>0</v>
      </c>
      <c r="J14" s="215">
        <f t="shared" si="4"/>
        <v>0</v>
      </c>
      <c r="K14" s="215"/>
      <c r="L14" s="215"/>
      <c r="M14" s="434" t="str">
        <f t="shared" si="1"/>
        <v>NC</v>
      </c>
      <c r="N14" s="216" t="str">
        <f t="shared" si="2"/>
        <v>Cost of Asset Removal</v>
      </c>
      <c r="O14" s="434"/>
      <c r="P14" s="434"/>
      <c r="Q14" s="470">
        <f t="shared" si="0"/>
        <v>113003</v>
      </c>
      <c r="R14" s="214">
        <v>83</v>
      </c>
      <c r="S14" s="214">
        <v>83</v>
      </c>
      <c r="T14" s="214">
        <v>84</v>
      </c>
      <c r="U14" s="214">
        <v>83</v>
      </c>
      <c r="V14" s="214">
        <v>83</v>
      </c>
      <c r="W14" s="214">
        <v>84</v>
      </c>
      <c r="X14" s="214">
        <v>83</v>
      </c>
      <c r="Y14" s="214">
        <v>83</v>
      </c>
      <c r="Z14" s="214">
        <v>84</v>
      </c>
      <c r="AA14" s="214">
        <v>83</v>
      </c>
      <c r="AB14" s="214">
        <v>83</v>
      </c>
      <c r="AC14" s="214">
        <v>84</v>
      </c>
      <c r="AD14" s="215">
        <f t="shared" si="5"/>
        <v>1000</v>
      </c>
      <c r="AE14" s="214">
        <f t="shared" si="14"/>
        <v>166</v>
      </c>
      <c r="AF14" s="215">
        <f t="shared" si="6"/>
        <v>834</v>
      </c>
      <c r="AG14" s="215"/>
      <c r="AH14" s="215"/>
      <c r="AI14" s="444" t="str">
        <f t="shared" si="7"/>
        <v>NC</v>
      </c>
      <c r="AJ14" s="216" t="str">
        <f t="shared" si="8"/>
        <v>Cost of Asset Removal</v>
      </c>
      <c r="AK14" s="495">
        <f t="shared" si="15"/>
        <v>113003</v>
      </c>
      <c r="AL14" s="434"/>
      <c r="AM14" s="215">
        <f t="shared" si="9"/>
        <v>1000</v>
      </c>
      <c r="AN14" s="264">
        <v>900</v>
      </c>
      <c r="AO14" s="264">
        <v>0</v>
      </c>
      <c r="AP14" s="215">
        <f t="shared" si="10"/>
        <v>100</v>
      </c>
      <c r="AQ14" s="215">
        <f t="shared" si="11"/>
        <v>1000</v>
      </c>
      <c r="AR14"/>
      <c r="AS14" s="264">
        <v>0</v>
      </c>
      <c r="AT14" s="264">
        <v>0</v>
      </c>
      <c r="AU14" s="264">
        <v>0</v>
      </c>
      <c r="AV14" s="215">
        <f t="shared" si="12"/>
        <v>0</v>
      </c>
      <c r="AW14" s="215">
        <f t="shared" si="13"/>
        <v>0</v>
      </c>
      <c r="AX14" s="215"/>
      <c r="AY14" s="215"/>
      <c r="AZ14" s="215"/>
      <c r="BA14" s="215"/>
      <c r="BO14" s="204"/>
      <c r="BP14" s="204"/>
    </row>
    <row r="15" spans="1:68" ht="12" customHeight="1" x14ac:dyDescent="0.2">
      <c r="A15" s="212" t="s">
        <v>381</v>
      </c>
      <c r="B15" s="213" t="s">
        <v>399</v>
      </c>
      <c r="C15" s="218"/>
      <c r="D15" s="200"/>
      <c r="E15" s="212">
        <v>113011</v>
      </c>
      <c r="F15" s="214">
        <v>0</v>
      </c>
      <c r="G15" s="214">
        <v>0</v>
      </c>
      <c r="H15" s="215">
        <f t="shared" si="3"/>
        <v>0</v>
      </c>
      <c r="I15" s="214">
        <v>0</v>
      </c>
      <c r="J15" s="215">
        <f t="shared" si="4"/>
        <v>0</v>
      </c>
      <c r="M15" s="434" t="str">
        <f t="shared" si="1"/>
        <v>NC</v>
      </c>
      <c r="N15" s="216" t="str">
        <f t="shared" si="2"/>
        <v>Salvage Costs</v>
      </c>
      <c r="O15" s="434"/>
      <c r="P15" s="434"/>
      <c r="Q15" s="470">
        <f t="shared" si="0"/>
        <v>113011</v>
      </c>
      <c r="R15" s="214">
        <v>0</v>
      </c>
      <c r="S15" s="214">
        <v>0</v>
      </c>
      <c r="T15" s="214">
        <v>0</v>
      </c>
      <c r="U15" s="214">
        <v>0</v>
      </c>
      <c r="V15" s="214">
        <v>0</v>
      </c>
      <c r="W15" s="214">
        <v>0</v>
      </c>
      <c r="X15" s="214">
        <v>0</v>
      </c>
      <c r="Y15" s="214">
        <v>0</v>
      </c>
      <c r="Z15" s="214">
        <v>0</v>
      </c>
      <c r="AA15" s="214">
        <v>0</v>
      </c>
      <c r="AB15" s="214">
        <v>0</v>
      </c>
      <c r="AC15" s="214">
        <v>0</v>
      </c>
      <c r="AD15" s="215">
        <f t="shared" si="5"/>
        <v>0</v>
      </c>
      <c r="AE15" s="214">
        <f t="shared" si="14"/>
        <v>0</v>
      </c>
      <c r="AF15" s="215">
        <f t="shared" si="6"/>
        <v>0</v>
      </c>
      <c r="AI15" s="444" t="str">
        <f t="shared" si="7"/>
        <v>NC</v>
      </c>
      <c r="AJ15" s="216" t="str">
        <f t="shared" si="8"/>
        <v>Salvage Costs</v>
      </c>
      <c r="AK15" s="495">
        <f t="shared" si="15"/>
        <v>113011</v>
      </c>
      <c r="AL15" s="434"/>
      <c r="AM15" s="215">
        <f t="shared" si="9"/>
        <v>0</v>
      </c>
      <c r="AN15" s="264">
        <v>0</v>
      </c>
      <c r="AO15" s="264">
        <v>0</v>
      </c>
      <c r="AP15" s="215">
        <f t="shared" si="10"/>
        <v>0</v>
      </c>
      <c r="AQ15" s="215">
        <f t="shared" si="11"/>
        <v>0</v>
      </c>
      <c r="AR15"/>
      <c r="AS15" s="264">
        <v>0</v>
      </c>
      <c r="AT15" s="264">
        <v>0</v>
      </c>
      <c r="AU15" s="264">
        <v>0</v>
      </c>
      <c r="AV15" s="215">
        <f t="shared" si="12"/>
        <v>0</v>
      </c>
      <c r="AW15" s="215">
        <f t="shared" si="13"/>
        <v>0</v>
      </c>
      <c r="AX15" s="215"/>
      <c r="BO15" s="204"/>
      <c r="BP15" s="204"/>
    </row>
    <row r="16" spans="1:68" ht="12" customHeight="1" x14ac:dyDescent="0.2">
      <c r="A16" s="212" t="s">
        <v>381</v>
      </c>
      <c r="B16" s="221" t="s">
        <v>400</v>
      </c>
      <c r="C16" s="212"/>
      <c r="E16" s="464">
        <v>114002</v>
      </c>
      <c r="F16" s="214">
        <v>0</v>
      </c>
      <c r="G16" s="214">
        <v>0</v>
      </c>
      <c r="H16" s="215">
        <f t="shared" si="3"/>
        <v>0</v>
      </c>
      <c r="I16" s="214">
        <v>0</v>
      </c>
      <c r="J16" s="215">
        <f t="shared" si="4"/>
        <v>0</v>
      </c>
      <c r="M16" s="434" t="str">
        <f t="shared" si="1"/>
        <v>NC</v>
      </c>
      <c r="N16" s="216" t="str">
        <f t="shared" si="2"/>
        <v>Capitalized Interest</v>
      </c>
      <c r="O16" s="434"/>
      <c r="P16" s="434"/>
      <c r="Q16" s="470">
        <f t="shared" si="0"/>
        <v>114002</v>
      </c>
      <c r="R16" s="214">
        <v>0</v>
      </c>
      <c r="S16" s="214">
        <v>0</v>
      </c>
      <c r="T16" s="214">
        <v>0</v>
      </c>
      <c r="U16" s="214">
        <v>0</v>
      </c>
      <c r="V16" s="214">
        <v>0</v>
      </c>
      <c r="W16" s="214">
        <v>0</v>
      </c>
      <c r="X16" s="214">
        <v>0</v>
      </c>
      <c r="Y16" s="214">
        <v>0</v>
      </c>
      <c r="Z16" s="214">
        <v>0</v>
      </c>
      <c r="AA16" s="214">
        <v>0</v>
      </c>
      <c r="AB16" s="214">
        <v>0</v>
      </c>
      <c r="AC16" s="214">
        <v>0</v>
      </c>
      <c r="AD16" s="215">
        <f t="shared" si="5"/>
        <v>0</v>
      </c>
      <c r="AE16" s="214">
        <f t="shared" si="14"/>
        <v>0</v>
      </c>
      <c r="AF16" s="215">
        <f t="shared" si="6"/>
        <v>0</v>
      </c>
      <c r="AI16" s="444" t="str">
        <f t="shared" si="7"/>
        <v>NC</v>
      </c>
      <c r="AJ16" s="216" t="str">
        <f t="shared" si="8"/>
        <v>Capitalized Interest</v>
      </c>
      <c r="AK16" s="495">
        <f t="shared" si="15"/>
        <v>114002</v>
      </c>
      <c r="AL16" s="434"/>
      <c r="AM16" s="215">
        <f t="shared" si="9"/>
        <v>0</v>
      </c>
      <c r="AN16" s="264">
        <v>-1000</v>
      </c>
      <c r="AO16" s="264">
        <v>0</v>
      </c>
      <c r="AP16" s="215">
        <f t="shared" si="10"/>
        <v>1000</v>
      </c>
      <c r="AQ16" s="215">
        <f t="shared" si="11"/>
        <v>0</v>
      </c>
      <c r="AR16"/>
      <c r="AS16" s="264">
        <v>0</v>
      </c>
      <c r="AT16" s="264">
        <v>0</v>
      </c>
      <c r="AU16" s="264">
        <v>0</v>
      </c>
      <c r="AV16" s="215">
        <f t="shared" si="12"/>
        <v>0</v>
      </c>
      <c r="AW16" s="215">
        <f t="shared" si="13"/>
        <v>0</v>
      </c>
      <c r="BO16" s="204"/>
      <c r="BP16" s="204"/>
    </row>
    <row r="17" spans="1:68" ht="12" customHeight="1" x14ac:dyDescent="0.2">
      <c r="A17" s="212" t="s">
        <v>381</v>
      </c>
      <c r="B17" s="221" t="s">
        <v>401</v>
      </c>
      <c r="C17" s="212"/>
      <c r="E17" s="464">
        <v>114004</v>
      </c>
      <c r="F17" s="214">
        <v>0</v>
      </c>
      <c r="G17" s="214">
        <v>0</v>
      </c>
      <c r="H17" s="215">
        <f t="shared" si="3"/>
        <v>0</v>
      </c>
      <c r="I17" s="214">
        <v>0</v>
      </c>
      <c r="J17" s="215">
        <f t="shared" si="4"/>
        <v>0</v>
      </c>
      <c r="M17" s="434" t="str">
        <f t="shared" si="1"/>
        <v>NC</v>
      </c>
      <c r="N17" s="216" t="str">
        <f t="shared" si="2"/>
        <v>CIAC - Utility</v>
      </c>
      <c r="O17" s="434"/>
      <c r="P17" s="434"/>
      <c r="Q17" s="470">
        <f t="shared" si="0"/>
        <v>114004</v>
      </c>
      <c r="R17" s="214">
        <v>0</v>
      </c>
      <c r="S17" s="214">
        <v>0</v>
      </c>
      <c r="T17" s="214">
        <v>0</v>
      </c>
      <c r="U17" s="214">
        <v>0</v>
      </c>
      <c r="V17" s="214">
        <v>0</v>
      </c>
      <c r="W17" s="214">
        <v>0</v>
      </c>
      <c r="X17" s="214">
        <v>0</v>
      </c>
      <c r="Y17" s="214">
        <v>0</v>
      </c>
      <c r="Z17" s="214">
        <v>0</v>
      </c>
      <c r="AA17" s="214">
        <v>0</v>
      </c>
      <c r="AB17" s="214">
        <v>-1500</v>
      </c>
      <c r="AC17" s="214">
        <v>0</v>
      </c>
      <c r="AD17" s="215">
        <f t="shared" si="5"/>
        <v>-1500</v>
      </c>
      <c r="AE17" s="214">
        <f t="shared" si="14"/>
        <v>0</v>
      </c>
      <c r="AF17" s="215">
        <f t="shared" si="6"/>
        <v>-1500</v>
      </c>
      <c r="AI17" s="444" t="str">
        <f t="shared" si="7"/>
        <v>NC</v>
      </c>
      <c r="AJ17" s="216" t="str">
        <f t="shared" si="8"/>
        <v>CIAC - Utility</v>
      </c>
      <c r="AK17" s="495">
        <f t="shared" si="15"/>
        <v>114004</v>
      </c>
      <c r="AL17" s="434"/>
      <c r="AM17" s="215">
        <f t="shared" si="9"/>
        <v>-1500</v>
      </c>
      <c r="AN17" s="264">
        <v>-1000</v>
      </c>
      <c r="AO17" s="264">
        <v>0</v>
      </c>
      <c r="AP17" s="215">
        <f t="shared" si="10"/>
        <v>-500</v>
      </c>
      <c r="AQ17" s="215">
        <f t="shared" si="11"/>
        <v>-1500</v>
      </c>
      <c r="AR17"/>
      <c r="AS17" s="264">
        <v>0</v>
      </c>
      <c r="AT17" s="264">
        <v>0</v>
      </c>
      <c r="AU17" s="264">
        <v>0</v>
      </c>
      <c r="AV17" s="215">
        <f t="shared" si="12"/>
        <v>0</v>
      </c>
      <c r="AW17" s="215">
        <f t="shared" si="13"/>
        <v>0</v>
      </c>
      <c r="BO17" s="204"/>
      <c r="BP17" s="204"/>
    </row>
    <row r="18" spans="1:68" ht="12" customHeight="1" x14ac:dyDescent="0.2">
      <c r="A18" s="212" t="s">
        <v>381</v>
      </c>
      <c r="B18" s="221" t="s">
        <v>402</v>
      </c>
      <c r="C18" s="212"/>
      <c r="E18" s="464">
        <v>114012</v>
      </c>
      <c r="F18" s="214">
        <v>0</v>
      </c>
      <c r="G18" s="214">
        <v>0</v>
      </c>
      <c r="H18" s="215">
        <f t="shared" si="3"/>
        <v>0</v>
      </c>
      <c r="I18" s="214">
        <v>0</v>
      </c>
      <c r="J18" s="215">
        <f t="shared" si="4"/>
        <v>0</v>
      </c>
      <c r="M18" s="434" t="str">
        <f t="shared" si="1"/>
        <v>NC</v>
      </c>
      <c r="N18" s="216" t="str">
        <f t="shared" si="2"/>
        <v>Gas Used for Linepack</v>
      </c>
      <c r="O18" s="434"/>
      <c r="P18" s="434"/>
      <c r="Q18" s="470">
        <f t="shared" si="0"/>
        <v>114012</v>
      </c>
      <c r="R18" s="214">
        <v>0</v>
      </c>
      <c r="S18" s="214">
        <v>0</v>
      </c>
      <c r="T18" s="214">
        <v>0</v>
      </c>
      <c r="U18" s="214">
        <v>0</v>
      </c>
      <c r="V18" s="214">
        <v>0</v>
      </c>
      <c r="W18" s="214">
        <v>0</v>
      </c>
      <c r="X18" s="214">
        <v>0</v>
      </c>
      <c r="Y18" s="214">
        <v>0</v>
      </c>
      <c r="Z18" s="214">
        <v>0</v>
      </c>
      <c r="AA18" s="214">
        <v>0</v>
      </c>
      <c r="AB18" s="214">
        <v>0</v>
      </c>
      <c r="AC18" s="214">
        <v>0</v>
      </c>
      <c r="AD18" s="215">
        <f t="shared" si="5"/>
        <v>0</v>
      </c>
      <c r="AE18" s="214">
        <f t="shared" si="14"/>
        <v>0</v>
      </c>
      <c r="AF18" s="215">
        <f t="shared" si="6"/>
        <v>0</v>
      </c>
      <c r="AI18" s="444" t="str">
        <f t="shared" si="7"/>
        <v>NC</v>
      </c>
      <c r="AJ18" s="216" t="str">
        <f t="shared" si="8"/>
        <v>Gas Used for Linepack</v>
      </c>
      <c r="AK18" s="495">
        <f t="shared" si="15"/>
        <v>114012</v>
      </c>
      <c r="AL18" s="434"/>
      <c r="AM18" s="215">
        <f t="shared" si="9"/>
        <v>0</v>
      </c>
      <c r="AN18" s="264">
        <v>2416</v>
      </c>
      <c r="AO18" s="264">
        <v>0</v>
      </c>
      <c r="AP18" s="215">
        <f t="shared" si="10"/>
        <v>-2416</v>
      </c>
      <c r="AQ18" s="215">
        <f t="shared" si="11"/>
        <v>0</v>
      </c>
      <c r="AR18"/>
      <c r="AS18" s="264">
        <v>0</v>
      </c>
      <c r="AT18" s="264">
        <v>0</v>
      </c>
      <c r="AU18" s="264">
        <v>0</v>
      </c>
      <c r="AV18" s="215">
        <f t="shared" si="12"/>
        <v>0</v>
      </c>
      <c r="AW18" s="215">
        <f t="shared" si="13"/>
        <v>0</v>
      </c>
      <c r="BO18" s="204"/>
      <c r="BP18" s="204"/>
    </row>
    <row r="19" spans="1:68" ht="12" customHeight="1" x14ac:dyDescent="0.2">
      <c r="A19" s="212" t="s">
        <v>381</v>
      </c>
      <c r="B19" s="427" t="s">
        <v>403</v>
      </c>
      <c r="C19" s="218"/>
      <c r="D19" s="218" t="s">
        <v>395</v>
      </c>
      <c r="E19" s="212" t="s">
        <v>404</v>
      </c>
      <c r="F19" s="214">
        <v>0</v>
      </c>
      <c r="G19" s="214">
        <v>0</v>
      </c>
      <c r="H19" s="215">
        <f t="shared" si="3"/>
        <v>0</v>
      </c>
      <c r="I19" s="214">
        <v>0</v>
      </c>
      <c r="J19" s="215">
        <f t="shared" si="4"/>
        <v>0</v>
      </c>
      <c r="M19" s="434" t="str">
        <f t="shared" si="1"/>
        <v>NC</v>
      </c>
      <c r="N19" s="216" t="str">
        <f t="shared" si="2"/>
        <v>AFUDC Gross-Up</v>
      </c>
      <c r="O19" s="434"/>
      <c r="P19" s="434"/>
      <c r="Q19" s="470" t="str">
        <f t="shared" si="0"/>
        <v>114019</v>
      </c>
      <c r="R19" s="492">
        <f>-IntDeduct!C31+OtherInc!C28+OtherInc!C29</f>
        <v>106</v>
      </c>
      <c r="S19" s="492">
        <f>-IntDeduct!D31+OtherInc!D28+OtherInc!D29</f>
        <v>177</v>
      </c>
      <c r="T19" s="492">
        <f>-IntDeduct!E31+OtherInc!E28+OtherInc!E29</f>
        <v>145</v>
      </c>
      <c r="U19" s="492">
        <f>-IntDeduct!F31+OtherInc!F28+OtherInc!F29</f>
        <v>269</v>
      </c>
      <c r="V19" s="492">
        <f>-IntDeduct!G31+OtherInc!G28+OtherInc!G29</f>
        <v>408</v>
      </c>
      <c r="W19" s="492">
        <f>-IntDeduct!H31+OtherInc!H28+OtherInc!H29</f>
        <v>483</v>
      </c>
      <c r="X19" s="492">
        <f>-IntDeduct!I31+OtherInc!I28+OtherInc!I29</f>
        <v>501</v>
      </c>
      <c r="Y19" s="492">
        <f>-IntDeduct!J31+OtherInc!J28+OtherInc!J29</f>
        <v>498</v>
      </c>
      <c r="Z19" s="492">
        <f>-IntDeduct!K31+OtherInc!K28+OtherInc!K29</f>
        <v>474</v>
      </c>
      <c r="AA19" s="492">
        <f>-IntDeduct!L31+OtherInc!L28+OtherInc!L29</f>
        <v>450</v>
      </c>
      <c r="AB19" s="492">
        <f>-IntDeduct!M31+OtherInc!M28+OtherInc!M29</f>
        <v>499</v>
      </c>
      <c r="AC19" s="492">
        <f>-IntDeduct!N31+OtherInc!N28+OtherInc!N29</f>
        <v>498</v>
      </c>
      <c r="AD19" s="215">
        <f t="shared" si="5"/>
        <v>4508</v>
      </c>
      <c r="AE19" s="214">
        <f t="shared" si="14"/>
        <v>283</v>
      </c>
      <c r="AF19" s="215">
        <f t="shared" si="6"/>
        <v>4225</v>
      </c>
      <c r="AH19" s="217"/>
      <c r="AI19" s="444" t="str">
        <f t="shared" si="7"/>
        <v>NC</v>
      </c>
      <c r="AJ19" s="216" t="str">
        <f t="shared" si="8"/>
        <v>AFUDC Gross-Up</v>
      </c>
      <c r="AK19" s="495" t="str">
        <f t="shared" si="15"/>
        <v>114019</v>
      </c>
      <c r="AL19" s="434"/>
      <c r="AM19" s="215">
        <f t="shared" si="9"/>
        <v>4508</v>
      </c>
      <c r="AN19" s="264">
        <v>322</v>
      </c>
      <c r="AO19" s="264">
        <v>0</v>
      </c>
      <c r="AP19" s="215">
        <f t="shared" si="10"/>
        <v>4186</v>
      </c>
      <c r="AQ19" s="215">
        <f t="shared" si="11"/>
        <v>4508</v>
      </c>
      <c r="AR19"/>
      <c r="AS19" s="264">
        <v>0</v>
      </c>
      <c r="AT19" s="264">
        <v>0</v>
      </c>
      <c r="AU19" s="264">
        <v>0</v>
      </c>
      <c r="AV19" s="215">
        <f t="shared" si="12"/>
        <v>0</v>
      </c>
      <c r="AW19" s="215">
        <f t="shared" si="13"/>
        <v>0</v>
      </c>
      <c r="AX19" s="215"/>
      <c r="BO19" s="204"/>
      <c r="BP19" s="204"/>
    </row>
    <row r="20" spans="1:68" ht="12" customHeight="1" x14ac:dyDescent="0.2">
      <c r="A20" s="212" t="s">
        <v>381</v>
      </c>
      <c r="B20" s="427" t="s">
        <v>405</v>
      </c>
      <c r="C20" s="218"/>
      <c r="D20" s="218"/>
      <c r="E20" s="464" t="s">
        <v>406</v>
      </c>
      <c r="F20" s="214">
        <v>0</v>
      </c>
      <c r="G20" s="214">
        <v>0</v>
      </c>
      <c r="H20" s="215">
        <f t="shared" si="3"/>
        <v>0</v>
      </c>
      <c r="I20" s="214">
        <v>0</v>
      </c>
      <c r="J20" s="215">
        <f t="shared" si="4"/>
        <v>0</v>
      </c>
      <c r="M20" s="434" t="str">
        <f t="shared" si="1"/>
        <v>NC</v>
      </c>
      <c r="N20" s="216" t="str">
        <f t="shared" si="2"/>
        <v>Amortization of Linepack</v>
      </c>
      <c r="O20" s="434"/>
      <c r="P20" s="434"/>
      <c r="Q20" s="470" t="str">
        <f t="shared" si="0"/>
        <v>115001</v>
      </c>
      <c r="R20" s="264">
        <v>0</v>
      </c>
      <c r="S20" s="264">
        <v>0</v>
      </c>
      <c r="T20" s="264">
        <v>0</v>
      </c>
      <c r="U20" s="264">
        <v>0</v>
      </c>
      <c r="V20" s="264">
        <v>0</v>
      </c>
      <c r="W20" s="264">
        <v>0</v>
      </c>
      <c r="X20" s="264">
        <v>0</v>
      </c>
      <c r="Y20" s="264">
        <v>0</v>
      </c>
      <c r="Z20" s="264">
        <v>0</v>
      </c>
      <c r="AA20" s="264">
        <v>0</v>
      </c>
      <c r="AB20" s="264">
        <v>0</v>
      </c>
      <c r="AC20" s="264">
        <v>0</v>
      </c>
      <c r="AD20" s="215">
        <f t="shared" si="5"/>
        <v>0</v>
      </c>
      <c r="AE20" s="214">
        <f t="shared" si="14"/>
        <v>0</v>
      </c>
      <c r="AF20" s="215">
        <f t="shared" si="6"/>
        <v>0</v>
      </c>
      <c r="AG20" s="217"/>
      <c r="AI20" s="444" t="str">
        <f t="shared" si="7"/>
        <v>NC</v>
      </c>
      <c r="AJ20" s="216" t="str">
        <f t="shared" si="8"/>
        <v>Amortization of Linepack</v>
      </c>
      <c r="AK20" s="495" t="str">
        <f t="shared" si="15"/>
        <v>115001</v>
      </c>
      <c r="AL20" s="434"/>
      <c r="AM20" s="215">
        <f t="shared" si="9"/>
        <v>0</v>
      </c>
      <c r="AN20" s="264">
        <v>0</v>
      </c>
      <c r="AO20" s="264">
        <v>0</v>
      </c>
      <c r="AP20" s="215">
        <f t="shared" si="10"/>
        <v>0</v>
      </c>
      <c r="AQ20" s="215">
        <f t="shared" si="11"/>
        <v>0</v>
      </c>
      <c r="AR20"/>
      <c r="AS20" s="264">
        <v>0</v>
      </c>
      <c r="AT20" s="264">
        <v>0</v>
      </c>
      <c r="AU20" s="264">
        <v>0</v>
      </c>
      <c r="AV20" s="215">
        <f t="shared" si="12"/>
        <v>0</v>
      </c>
      <c r="AW20" s="215">
        <f t="shared" si="13"/>
        <v>0</v>
      </c>
      <c r="AX20" s="215"/>
      <c r="BO20" s="204"/>
      <c r="BP20" s="204"/>
    </row>
    <row r="21" spans="1:68" ht="12" customHeight="1" x14ac:dyDescent="0.2">
      <c r="A21" s="212" t="s">
        <v>381</v>
      </c>
      <c r="B21" s="428" t="s">
        <v>407</v>
      </c>
      <c r="C21" s="212"/>
      <c r="D21" s="218" t="s">
        <v>395</v>
      </c>
      <c r="E21" s="212" t="s">
        <v>408</v>
      </c>
      <c r="F21" s="214">
        <v>0</v>
      </c>
      <c r="G21" s="214">
        <v>0</v>
      </c>
      <c r="H21" s="215">
        <f t="shared" si="3"/>
        <v>0</v>
      </c>
      <c r="I21" s="214">
        <v>0</v>
      </c>
      <c r="J21" s="215">
        <f t="shared" si="4"/>
        <v>0</v>
      </c>
      <c r="M21" s="434" t="str">
        <f t="shared" si="1"/>
        <v>NC</v>
      </c>
      <c r="N21" s="216" t="str">
        <f t="shared" si="2"/>
        <v>AFUDC Amortization</v>
      </c>
      <c r="O21" s="434"/>
      <c r="P21" s="434"/>
      <c r="Q21" s="470" t="str">
        <f t="shared" si="0"/>
        <v>115019</v>
      </c>
      <c r="R21" s="492">
        <f>OtherInc!C30</f>
        <v>-7</v>
      </c>
      <c r="S21" s="492">
        <f>OtherInc!D30</f>
        <v>-7</v>
      </c>
      <c r="T21" s="492">
        <f>OtherInc!E30</f>
        <v>-7</v>
      </c>
      <c r="U21" s="492">
        <f>OtherInc!F30</f>
        <v>-7</v>
      </c>
      <c r="V21" s="492">
        <f>OtherInc!G30</f>
        <v>-7</v>
      </c>
      <c r="W21" s="492">
        <f>OtherInc!H30</f>
        <v>-7</v>
      </c>
      <c r="X21" s="492">
        <f>OtherInc!I30</f>
        <v>-7</v>
      </c>
      <c r="Y21" s="492">
        <f>OtherInc!J30</f>
        <v>-7</v>
      </c>
      <c r="Z21" s="492">
        <f>OtherInc!K30</f>
        <v>-7</v>
      </c>
      <c r="AA21" s="492">
        <f>OtherInc!L30</f>
        <v>-7</v>
      </c>
      <c r="AB21" s="492">
        <f>OtherInc!M30</f>
        <v>-7</v>
      </c>
      <c r="AC21" s="492">
        <f>OtherInc!N30</f>
        <v>-7</v>
      </c>
      <c r="AD21" s="215">
        <f t="shared" si="5"/>
        <v>-84</v>
      </c>
      <c r="AE21" s="214">
        <f t="shared" si="14"/>
        <v>-14</v>
      </c>
      <c r="AF21" s="215">
        <f t="shared" si="6"/>
        <v>-70</v>
      </c>
      <c r="AG21" s="215"/>
      <c r="AI21" s="444" t="str">
        <f t="shared" si="7"/>
        <v>NC</v>
      </c>
      <c r="AJ21" s="216" t="str">
        <f t="shared" si="8"/>
        <v>AFUDC Amortization</v>
      </c>
      <c r="AK21" s="495" t="str">
        <f t="shared" si="15"/>
        <v>115019</v>
      </c>
      <c r="AL21" s="434"/>
      <c r="AM21" s="215">
        <f t="shared" si="9"/>
        <v>-84</v>
      </c>
      <c r="AN21" s="264">
        <v>-85</v>
      </c>
      <c r="AO21" s="264">
        <v>0</v>
      </c>
      <c r="AP21" s="215">
        <f t="shared" si="10"/>
        <v>1</v>
      </c>
      <c r="AQ21" s="215">
        <f t="shared" si="11"/>
        <v>-84</v>
      </c>
      <c r="AR21"/>
      <c r="AS21" s="264">
        <v>0</v>
      </c>
      <c r="AT21" s="264">
        <v>0</v>
      </c>
      <c r="AU21" s="264">
        <v>0</v>
      </c>
      <c r="AV21" s="215">
        <f t="shared" si="12"/>
        <v>0</v>
      </c>
      <c r="AW21" s="215">
        <f t="shared" si="13"/>
        <v>0</v>
      </c>
      <c r="BO21" s="204"/>
      <c r="BP21" s="204"/>
    </row>
    <row r="22" spans="1:68" ht="12" customHeight="1" x14ac:dyDescent="0.2">
      <c r="A22" s="212" t="s">
        <v>381</v>
      </c>
      <c r="B22" s="428" t="s">
        <v>538</v>
      </c>
      <c r="C22" s="212"/>
      <c r="E22" s="212">
        <v>133001</v>
      </c>
      <c r="F22" s="214">
        <v>0</v>
      </c>
      <c r="G22" s="214">
        <v>0</v>
      </c>
      <c r="H22" s="215">
        <f t="shared" si="3"/>
        <v>0</v>
      </c>
      <c r="I22" s="214">
        <v>0</v>
      </c>
      <c r="J22" s="215">
        <f t="shared" si="4"/>
        <v>0</v>
      </c>
      <c r="M22" s="434" t="str">
        <f t="shared" si="1"/>
        <v>NC</v>
      </c>
      <c r="N22" s="216" t="str">
        <f t="shared" si="2"/>
        <v>Abandonments ( )</v>
      </c>
      <c r="O22" s="434"/>
      <c r="P22" s="434"/>
      <c r="Q22" s="470">
        <f t="shared" si="0"/>
        <v>133001</v>
      </c>
      <c r="R22" s="264">
        <v>0</v>
      </c>
      <c r="S22" s="264">
        <v>0</v>
      </c>
      <c r="T22" s="264">
        <v>0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15">
        <f t="shared" si="5"/>
        <v>0</v>
      </c>
      <c r="AE22" s="214">
        <f t="shared" si="14"/>
        <v>0</v>
      </c>
      <c r="AF22" s="215">
        <f t="shared" si="6"/>
        <v>0</v>
      </c>
      <c r="AG22" s="215"/>
      <c r="AI22" s="444" t="str">
        <f t="shared" si="7"/>
        <v>NC</v>
      </c>
      <c r="AJ22" s="216" t="str">
        <f t="shared" si="8"/>
        <v>Abandonments ( )</v>
      </c>
      <c r="AK22" s="495">
        <f t="shared" si="15"/>
        <v>133001</v>
      </c>
      <c r="AL22" s="434"/>
      <c r="AM22" s="215">
        <f t="shared" si="9"/>
        <v>0</v>
      </c>
      <c r="AN22" s="264">
        <v>0</v>
      </c>
      <c r="AO22" s="264">
        <v>0</v>
      </c>
      <c r="AP22" s="215">
        <f t="shared" si="10"/>
        <v>0</v>
      </c>
      <c r="AQ22" s="215">
        <f t="shared" si="11"/>
        <v>0</v>
      </c>
      <c r="AR22"/>
      <c r="AS22" s="264">
        <v>0</v>
      </c>
      <c r="AT22" s="264">
        <v>0</v>
      </c>
      <c r="AU22" s="264">
        <v>0</v>
      </c>
      <c r="AV22" s="215">
        <f t="shared" si="12"/>
        <v>0</v>
      </c>
      <c r="AW22" s="215">
        <f t="shared" si="13"/>
        <v>0</v>
      </c>
      <c r="BO22" s="204"/>
      <c r="BP22" s="204"/>
    </row>
    <row r="23" spans="1:68" ht="12" customHeight="1" x14ac:dyDescent="0.2">
      <c r="A23" s="212" t="s">
        <v>381</v>
      </c>
      <c r="B23" s="428" t="s">
        <v>409</v>
      </c>
      <c r="C23" s="212"/>
      <c r="D23" s="200"/>
      <c r="E23" s="464">
        <v>142001</v>
      </c>
      <c r="F23" s="214">
        <v>0</v>
      </c>
      <c r="G23" s="214">
        <v>0</v>
      </c>
      <c r="H23" s="215">
        <f t="shared" si="3"/>
        <v>0</v>
      </c>
      <c r="I23" s="214">
        <v>0</v>
      </c>
      <c r="J23" s="215">
        <f t="shared" si="4"/>
        <v>0</v>
      </c>
      <c r="M23" s="434" t="str">
        <f t="shared" si="1"/>
        <v>NC</v>
      </c>
      <c r="N23" s="216" t="str">
        <f t="shared" si="2"/>
        <v>TCR Amortization</v>
      </c>
      <c r="O23" s="434"/>
      <c r="P23" s="434"/>
      <c r="Q23" s="470">
        <f t="shared" si="0"/>
        <v>142001</v>
      </c>
      <c r="R23" s="264">
        <v>0</v>
      </c>
      <c r="S23" s="264">
        <v>0</v>
      </c>
      <c r="T23" s="264">
        <v>0</v>
      </c>
      <c r="U23" s="264">
        <v>0</v>
      </c>
      <c r="V23" s="264">
        <v>0</v>
      </c>
      <c r="W23" s="264">
        <v>0</v>
      </c>
      <c r="X23" s="264">
        <v>0</v>
      </c>
      <c r="Y23" s="264">
        <v>0</v>
      </c>
      <c r="Z23" s="264">
        <v>0</v>
      </c>
      <c r="AA23" s="264">
        <v>0</v>
      </c>
      <c r="AB23" s="214">
        <v>0</v>
      </c>
      <c r="AC23" s="264">
        <v>0</v>
      </c>
      <c r="AD23" s="215">
        <f t="shared" si="5"/>
        <v>0</v>
      </c>
      <c r="AE23" s="214">
        <f t="shared" si="14"/>
        <v>0</v>
      </c>
      <c r="AF23" s="215">
        <f t="shared" si="6"/>
        <v>0</v>
      </c>
      <c r="AI23" s="444" t="str">
        <f t="shared" si="7"/>
        <v>NC</v>
      </c>
      <c r="AJ23" s="216" t="str">
        <f t="shared" si="8"/>
        <v>TCR Amortization</v>
      </c>
      <c r="AK23" s="495">
        <f t="shared" si="15"/>
        <v>142001</v>
      </c>
      <c r="AL23" s="434"/>
      <c r="AM23" s="215">
        <f t="shared" si="9"/>
        <v>0</v>
      </c>
      <c r="AN23" s="264">
        <v>0</v>
      </c>
      <c r="AO23" s="264">
        <v>0</v>
      </c>
      <c r="AP23" s="215">
        <f t="shared" ref="AP23:AP37" si="16">AM23-AN23</f>
        <v>0</v>
      </c>
      <c r="AQ23" s="215">
        <f t="shared" ref="AQ23:AQ37" si="17">AM23-AO23</f>
        <v>0</v>
      </c>
      <c r="AR23"/>
      <c r="AS23" s="264">
        <v>0</v>
      </c>
      <c r="AT23" s="264">
        <v>0</v>
      </c>
      <c r="AU23" s="264">
        <v>0</v>
      </c>
      <c r="AV23" s="215">
        <f t="shared" ref="AV23:AV37" si="18">AS23-AT23</f>
        <v>0</v>
      </c>
      <c r="AW23" s="215">
        <f t="shared" ref="AW23:AW37" si="19">AS23-AU23</f>
        <v>0</v>
      </c>
      <c r="AX23" s="215"/>
      <c r="BO23" s="204"/>
      <c r="BP23" s="204"/>
    </row>
    <row r="24" spans="1:68" ht="12" customHeight="1" x14ac:dyDescent="0.2">
      <c r="A24" s="212" t="s">
        <v>381</v>
      </c>
      <c r="B24" s="428" t="s">
        <v>410</v>
      </c>
      <c r="C24" s="212"/>
      <c r="D24" s="200"/>
      <c r="E24" s="464">
        <v>142015</v>
      </c>
      <c r="F24" s="214">
        <v>0</v>
      </c>
      <c r="G24" s="214">
        <v>0</v>
      </c>
      <c r="H24" s="215">
        <f t="shared" si="3"/>
        <v>0</v>
      </c>
      <c r="I24" s="214">
        <v>0</v>
      </c>
      <c r="J24" s="215">
        <f t="shared" si="4"/>
        <v>0</v>
      </c>
      <c r="M24" s="434" t="str">
        <f t="shared" si="1"/>
        <v>NC</v>
      </c>
      <c r="N24" s="216" t="str">
        <f t="shared" si="2"/>
        <v xml:space="preserve">Advance Payments </v>
      </c>
      <c r="O24" s="434"/>
      <c r="P24" s="434"/>
      <c r="Q24" s="470">
        <f t="shared" si="0"/>
        <v>142015</v>
      </c>
      <c r="R24" s="214">
        <v>0</v>
      </c>
      <c r="S24" s="214">
        <v>0</v>
      </c>
      <c r="T24" s="214">
        <v>0</v>
      </c>
      <c r="U24" s="214">
        <v>0</v>
      </c>
      <c r="V24" s="214">
        <v>0</v>
      </c>
      <c r="W24" s="214">
        <v>0</v>
      </c>
      <c r="X24" s="214">
        <v>0</v>
      </c>
      <c r="Y24" s="214">
        <v>0</v>
      </c>
      <c r="Z24" s="214">
        <v>0</v>
      </c>
      <c r="AA24" s="214">
        <v>0</v>
      </c>
      <c r="AB24" s="214">
        <v>0</v>
      </c>
      <c r="AC24" s="214">
        <v>0</v>
      </c>
      <c r="AD24" s="215">
        <f t="shared" si="5"/>
        <v>0</v>
      </c>
      <c r="AE24" s="214">
        <f t="shared" si="14"/>
        <v>0</v>
      </c>
      <c r="AF24" s="215">
        <f t="shared" si="6"/>
        <v>0</v>
      </c>
      <c r="AI24" s="444" t="str">
        <f t="shared" si="7"/>
        <v>NC</v>
      </c>
      <c r="AJ24" s="216" t="str">
        <f t="shared" si="8"/>
        <v xml:space="preserve">Advance Payments </v>
      </c>
      <c r="AK24" s="495">
        <f t="shared" si="15"/>
        <v>142015</v>
      </c>
      <c r="AL24" s="434"/>
      <c r="AM24" s="215">
        <f t="shared" si="9"/>
        <v>0</v>
      </c>
      <c r="AN24" s="264">
        <v>0</v>
      </c>
      <c r="AO24" s="264">
        <v>0</v>
      </c>
      <c r="AP24" s="215">
        <f t="shared" si="16"/>
        <v>0</v>
      </c>
      <c r="AQ24" s="215">
        <f t="shared" si="17"/>
        <v>0</v>
      </c>
      <c r="AR24"/>
      <c r="AS24" s="264">
        <v>0</v>
      </c>
      <c r="AT24" s="264">
        <v>0</v>
      </c>
      <c r="AU24" s="264">
        <v>0</v>
      </c>
      <c r="AV24" s="215">
        <f t="shared" si="18"/>
        <v>0</v>
      </c>
      <c r="AW24" s="215">
        <f t="shared" si="19"/>
        <v>0</v>
      </c>
      <c r="AX24" s="215"/>
      <c r="BO24" s="204"/>
      <c r="BP24" s="204"/>
    </row>
    <row r="25" spans="1:68" ht="12" customHeight="1" x14ac:dyDescent="0.2">
      <c r="A25" s="212" t="s">
        <v>381</v>
      </c>
      <c r="B25" s="428" t="s">
        <v>411</v>
      </c>
      <c r="C25" s="218"/>
      <c r="D25" s="218"/>
      <c r="E25" s="464">
        <v>142003</v>
      </c>
      <c r="F25" s="214">
        <v>0</v>
      </c>
      <c r="G25" s="214">
        <v>0</v>
      </c>
      <c r="H25" s="215">
        <f t="shared" si="3"/>
        <v>0</v>
      </c>
      <c r="I25" s="214">
        <v>0</v>
      </c>
      <c r="J25" s="215">
        <f t="shared" si="4"/>
        <v>0</v>
      </c>
      <c r="M25" s="434" t="str">
        <f t="shared" si="1"/>
        <v>NC</v>
      </c>
      <c r="N25" s="216" t="str">
        <f t="shared" si="2"/>
        <v xml:space="preserve">One Time Pmts for Producers </v>
      </c>
      <c r="O25" s="434"/>
      <c r="P25" s="434"/>
      <c r="Q25" s="470">
        <f t="shared" si="0"/>
        <v>142003</v>
      </c>
      <c r="R25" s="214">
        <v>0</v>
      </c>
      <c r="S25" s="214">
        <v>0</v>
      </c>
      <c r="T25" s="214">
        <v>0</v>
      </c>
      <c r="U25" s="214">
        <v>0</v>
      </c>
      <c r="V25" s="214">
        <v>0</v>
      </c>
      <c r="W25" s="214">
        <v>0</v>
      </c>
      <c r="X25" s="214">
        <v>0</v>
      </c>
      <c r="Y25" s="214">
        <v>0</v>
      </c>
      <c r="Z25" s="214">
        <v>0</v>
      </c>
      <c r="AA25" s="214">
        <v>0</v>
      </c>
      <c r="AB25" s="264">
        <v>0</v>
      </c>
      <c r="AC25" s="264">
        <v>0</v>
      </c>
      <c r="AD25" s="215">
        <f t="shared" si="5"/>
        <v>0</v>
      </c>
      <c r="AE25" s="214">
        <f t="shared" si="14"/>
        <v>0</v>
      </c>
      <c r="AF25" s="215">
        <f t="shared" si="6"/>
        <v>0</v>
      </c>
      <c r="AI25" s="444" t="str">
        <f t="shared" si="7"/>
        <v>NC</v>
      </c>
      <c r="AJ25" s="216" t="str">
        <f t="shared" si="8"/>
        <v xml:space="preserve">One Time Pmts for Producers </v>
      </c>
      <c r="AK25" s="495">
        <f t="shared" si="15"/>
        <v>142003</v>
      </c>
      <c r="AL25" s="434"/>
      <c r="AM25" s="215">
        <f t="shared" si="9"/>
        <v>0</v>
      </c>
      <c r="AN25" s="264">
        <v>0</v>
      </c>
      <c r="AO25" s="264">
        <v>0</v>
      </c>
      <c r="AP25" s="215">
        <f t="shared" si="16"/>
        <v>0</v>
      </c>
      <c r="AQ25" s="215">
        <f t="shared" si="17"/>
        <v>0</v>
      </c>
      <c r="AR25"/>
      <c r="AS25" s="264">
        <v>0</v>
      </c>
      <c r="AT25" s="264">
        <v>0</v>
      </c>
      <c r="AU25" s="264">
        <v>0</v>
      </c>
      <c r="AV25" s="215">
        <f t="shared" si="18"/>
        <v>0</v>
      </c>
      <c r="AW25" s="215">
        <f t="shared" si="19"/>
        <v>0</v>
      </c>
      <c r="AX25" s="215"/>
      <c r="BO25" s="204"/>
      <c r="BP25" s="204"/>
    </row>
    <row r="26" spans="1:68" ht="12" customHeight="1" x14ac:dyDescent="0.2">
      <c r="A26" s="212" t="s">
        <v>381</v>
      </c>
      <c r="B26" s="428" t="s">
        <v>412</v>
      </c>
      <c r="C26" s="218"/>
      <c r="D26" s="218"/>
      <c r="E26" s="464">
        <v>115005</v>
      </c>
      <c r="F26" s="214">
        <v>0</v>
      </c>
      <c r="G26" s="214">
        <v>0</v>
      </c>
      <c r="H26" s="215">
        <f t="shared" si="3"/>
        <v>0</v>
      </c>
      <c r="I26" s="214">
        <v>0</v>
      </c>
      <c r="J26" s="215">
        <f t="shared" si="4"/>
        <v>0</v>
      </c>
      <c r="M26" s="434" t="str">
        <f t="shared" si="1"/>
        <v>NC</v>
      </c>
      <c r="N26" s="216" t="str">
        <f t="shared" si="2"/>
        <v>TCR 2 Amortization</v>
      </c>
      <c r="O26" s="434"/>
      <c r="P26" s="434"/>
      <c r="Q26" s="470">
        <f t="shared" si="0"/>
        <v>115005</v>
      </c>
      <c r="R26" s="492">
        <f>R137</f>
        <v>-107</v>
      </c>
      <c r="S26" s="492">
        <f t="shared" ref="S26:AC26" si="20">S137</f>
        <v>-108</v>
      </c>
      <c r="T26" s="492">
        <f t="shared" si="20"/>
        <v>-107</v>
      </c>
      <c r="U26" s="492">
        <f t="shared" si="20"/>
        <v>-107</v>
      </c>
      <c r="V26" s="492">
        <f t="shared" si="20"/>
        <v>-107</v>
      </c>
      <c r="W26" s="492">
        <f t="shared" si="20"/>
        <v>-107</v>
      </c>
      <c r="X26" s="492">
        <f t="shared" si="20"/>
        <v>-107</v>
      </c>
      <c r="Y26" s="492">
        <f t="shared" si="20"/>
        <v>-107</v>
      </c>
      <c r="Z26" s="492">
        <f t="shared" si="20"/>
        <v>-107</v>
      </c>
      <c r="AA26" s="492">
        <f t="shared" si="20"/>
        <v>-107</v>
      </c>
      <c r="AB26" s="492">
        <f t="shared" si="20"/>
        <v>-107</v>
      </c>
      <c r="AC26" s="492">
        <f t="shared" si="20"/>
        <v>-107</v>
      </c>
      <c r="AD26" s="215">
        <f t="shared" si="5"/>
        <v>-1285</v>
      </c>
      <c r="AE26" s="214">
        <f t="shared" si="14"/>
        <v>-215</v>
      </c>
      <c r="AF26" s="215">
        <f t="shared" si="6"/>
        <v>-1070</v>
      </c>
      <c r="AI26" s="444" t="str">
        <f t="shared" si="7"/>
        <v>NC</v>
      </c>
      <c r="AJ26" s="216" t="str">
        <f t="shared" si="8"/>
        <v>TCR 2 Amortization</v>
      </c>
      <c r="AK26" s="495">
        <f t="shared" si="15"/>
        <v>115005</v>
      </c>
      <c r="AL26" s="434"/>
      <c r="AM26" s="215">
        <f t="shared" si="9"/>
        <v>-1285</v>
      </c>
      <c r="AN26" s="264">
        <v>-1287</v>
      </c>
      <c r="AO26" s="264">
        <v>0</v>
      </c>
      <c r="AP26" s="215">
        <f t="shared" si="16"/>
        <v>2</v>
      </c>
      <c r="AQ26" s="215">
        <f t="shared" si="17"/>
        <v>-1285</v>
      </c>
      <c r="AR26"/>
      <c r="AS26" s="264">
        <v>0</v>
      </c>
      <c r="AT26" s="264">
        <v>0</v>
      </c>
      <c r="AU26" s="264">
        <v>0</v>
      </c>
      <c r="AV26" s="215">
        <f t="shared" si="18"/>
        <v>0</v>
      </c>
      <c r="AW26" s="215">
        <f t="shared" si="19"/>
        <v>0</v>
      </c>
      <c r="AX26" s="215"/>
      <c r="BO26" s="204"/>
      <c r="BP26" s="204"/>
    </row>
    <row r="27" spans="1:68" ht="12" customHeight="1" x14ac:dyDescent="0.2">
      <c r="A27" s="212" t="s">
        <v>381</v>
      </c>
      <c r="B27" s="427" t="s">
        <v>413</v>
      </c>
      <c r="C27" s="218"/>
      <c r="D27" s="200"/>
      <c r="E27" s="212">
        <v>143002</v>
      </c>
      <c r="F27" s="214">
        <v>0</v>
      </c>
      <c r="G27" s="214">
        <v>0</v>
      </c>
      <c r="H27" s="215">
        <f t="shared" si="3"/>
        <v>0</v>
      </c>
      <c r="I27" s="214">
        <v>0</v>
      </c>
      <c r="J27" s="215">
        <f t="shared" si="4"/>
        <v>0</v>
      </c>
      <c r="M27" s="434" t="str">
        <f t="shared" si="1"/>
        <v>NC</v>
      </c>
      <c r="N27" s="216" t="str">
        <f t="shared" si="2"/>
        <v>Transportation Discounts (Santa Fe)</v>
      </c>
      <c r="O27" s="434"/>
      <c r="P27" s="434"/>
      <c r="Q27" s="470">
        <f t="shared" si="0"/>
        <v>143002</v>
      </c>
      <c r="R27" s="436">
        <f>'Transport-OtherRev'!C24</f>
        <v>-12</v>
      </c>
      <c r="S27" s="436">
        <f>'Transport-OtherRev'!D24</f>
        <v>-13</v>
      </c>
      <c r="T27" s="436">
        <f>'Transport-OtherRev'!E24</f>
        <v>-12</v>
      </c>
      <c r="U27" s="436">
        <f>'Transport-OtherRev'!F24</f>
        <v>-13</v>
      </c>
      <c r="V27" s="436">
        <f>'Transport-OtherRev'!G24</f>
        <v>-12</v>
      </c>
      <c r="W27" s="436">
        <f>'Transport-OtherRev'!H24</f>
        <v>-13</v>
      </c>
      <c r="X27" s="436">
        <f>'Transport-OtherRev'!I24</f>
        <v>-13</v>
      </c>
      <c r="Y27" s="436">
        <f>'Transport-OtherRev'!J24</f>
        <v>-12</v>
      </c>
      <c r="Z27" s="436">
        <f>'Transport-OtherRev'!K24</f>
        <v>-13</v>
      </c>
      <c r="AA27" s="436">
        <f>'Transport-OtherRev'!L24</f>
        <v>-12</v>
      </c>
      <c r="AB27" s="436">
        <f>'Transport-OtherRev'!M24</f>
        <v>-12</v>
      </c>
      <c r="AC27" s="436">
        <f>'Transport-OtherRev'!N24</f>
        <v>-13</v>
      </c>
      <c r="AD27" s="215">
        <f t="shared" ref="AD27:AD33" si="21">SUM(R27:AC27)</f>
        <v>-150</v>
      </c>
      <c r="AE27" s="214">
        <f t="shared" si="14"/>
        <v>-25</v>
      </c>
      <c r="AF27" s="215">
        <f t="shared" si="6"/>
        <v>-125</v>
      </c>
      <c r="AI27" s="444" t="str">
        <f t="shared" si="7"/>
        <v>NC</v>
      </c>
      <c r="AJ27" s="216" t="str">
        <f t="shared" si="8"/>
        <v>Transportation Discounts (Santa Fe)</v>
      </c>
      <c r="AK27" s="495">
        <f t="shared" si="15"/>
        <v>143002</v>
      </c>
      <c r="AL27" s="434"/>
      <c r="AM27" s="215">
        <f t="shared" si="9"/>
        <v>-150</v>
      </c>
      <c r="AN27" s="264">
        <v>-150</v>
      </c>
      <c r="AO27" s="264">
        <v>0</v>
      </c>
      <c r="AP27" s="215">
        <f t="shared" si="16"/>
        <v>0</v>
      </c>
      <c r="AQ27" s="215">
        <f t="shared" si="17"/>
        <v>-150</v>
      </c>
      <c r="AR27"/>
      <c r="AS27" s="264">
        <v>0</v>
      </c>
      <c r="AT27" s="264">
        <v>0</v>
      </c>
      <c r="AU27" s="264">
        <v>0</v>
      </c>
      <c r="AV27" s="215">
        <f t="shared" si="18"/>
        <v>0</v>
      </c>
      <c r="AW27" s="215">
        <f t="shared" si="19"/>
        <v>0</v>
      </c>
      <c r="BO27" s="204"/>
      <c r="BP27" s="204"/>
    </row>
    <row r="28" spans="1:68" ht="12" customHeight="1" x14ac:dyDescent="0.2">
      <c r="A28" s="212" t="s">
        <v>381</v>
      </c>
      <c r="B28" s="428" t="s">
        <v>640</v>
      </c>
      <c r="C28" s="212"/>
      <c r="E28" s="464" t="s">
        <v>639</v>
      </c>
      <c r="F28" s="214">
        <v>0</v>
      </c>
      <c r="G28" s="214">
        <v>0</v>
      </c>
      <c r="H28" s="215">
        <f t="shared" ref="H28:H33" si="22">F28-G28</f>
        <v>0</v>
      </c>
      <c r="I28" s="214">
        <v>0</v>
      </c>
      <c r="J28" s="215">
        <f t="shared" ref="J28:J33" si="23">H28-I28</f>
        <v>0</v>
      </c>
      <c r="M28" s="434" t="str">
        <f t="shared" si="1"/>
        <v>NC</v>
      </c>
      <c r="N28" s="216" t="str">
        <f t="shared" si="2"/>
        <v>(Gain) / Loss - Unaccounted for PRA</v>
      </c>
      <c r="O28" s="434"/>
      <c r="P28" s="434"/>
      <c r="Q28" s="470" t="str">
        <f t="shared" si="0"/>
        <v>143027</v>
      </c>
      <c r="R28" s="214">
        <v>0</v>
      </c>
      <c r="S28" s="214">
        <v>0</v>
      </c>
      <c r="T28" s="214">
        <v>0</v>
      </c>
      <c r="U28" s="214">
        <v>0</v>
      </c>
      <c r="V28" s="214">
        <v>0</v>
      </c>
      <c r="W28" s="214">
        <v>0</v>
      </c>
      <c r="X28" s="214">
        <v>0</v>
      </c>
      <c r="Y28" s="214">
        <v>0</v>
      </c>
      <c r="Z28" s="214">
        <v>0</v>
      </c>
      <c r="AA28" s="214">
        <v>0</v>
      </c>
      <c r="AB28" s="214">
        <v>0</v>
      </c>
      <c r="AC28" s="214">
        <v>0</v>
      </c>
      <c r="AD28" s="215">
        <f t="shared" si="21"/>
        <v>0</v>
      </c>
      <c r="AE28" s="214">
        <f t="shared" si="14"/>
        <v>0</v>
      </c>
      <c r="AF28" s="215">
        <f t="shared" ref="AF28:AF33" si="24">AD28-AE28</f>
        <v>0</v>
      </c>
      <c r="AI28" s="444" t="str">
        <f t="shared" si="7"/>
        <v>NC</v>
      </c>
      <c r="AJ28" s="216" t="str">
        <f t="shared" si="8"/>
        <v>(Gain) / Loss - Unaccounted for PRA</v>
      </c>
      <c r="AK28" s="495" t="str">
        <f t="shared" si="15"/>
        <v>143027</v>
      </c>
      <c r="AL28" s="434"/>
      <c r="AM28" s="215">
        <f t="shared" si="9"/>
        <v>0</v>
      </c>
      <c r="AN28" s="264">
        <v>0</v>
      </c>
      <c r="AO28" s="264">
        <v>0</v>
      </c>
      <c r="AP28" s="215">
        <f t="shared" si="16"/>
        <v>0</v>
      </c>
      <c r="AQ28" s="215">
        <f t="shared" si="17"/>
        <v>0</v>
      </c>
      <c r="AR28"/>
      <c r="AS28" s="264">
        <v>0</v>
      </c>
      <c r="AT28" s="264">
        <v>0</v>
      </c>
      <c r="AU28" s="264">
        <v>0</v>
      </c>
      <c r="AV28" s="215">
        <f t="shared" si="18"/>
        <v>0</v>
      </c>
      <c r="AW28" s="215">
        <f t="shared" si="19"/>
        <v>0</v>
      </c>
      <c r="BO28" s="204"/>
      <c r="BP28" s="204"/>
    </row>
    <row r="29" spans="1:68" ht="12" customHeight="1" x14ac:dyDescent="0.2">
      <c r="A29" s="212" t="s">
        <v>381</v>
      </c>
      <c r="B29" s="427" t="s">
        <v>414</v>
      </c>
      <c r="C29" s="218"/>
      <c r="D29" s="218" t="s">
        <v>395</v>
      </c>
      <c r="E29" s="212">
        <v>144001</v>
      </c>
      <c r="F29" s="214">
        <v>0</v>
      </c>
      <c r="G29" s="214">
        <v>0</v>
      </c>
      <c r="H29" s="215">
        <f t="shared" si="22"/>
        <v>0</v>
      </c>
      <c r="I29" s="214">
        <v>0</v>
      </c>
      <c r="J29" s="215">
        <f t="shared" si="23"/>
        <v>0</v>
      </c>
      <c r="M29" s="434" t="str">
        <f t="shared" si="1"/>
        <v>NC</v>
      </c>
      <c r="N29" s="216" t="str">
        <f t="shared" si="2"/>
        <v>FERC Annual Charge (ACA Amortization)</v>
      </c>
      <c r="O29" s="434"/>
      <c r="P29" s="434" t="str">
        <f>D29</f>
        <v>L</v>
      </c>
      <c r="Q29" s="470">
        <f t="shared" si="0"/>
        <v>144001</v>
      </c>
      <c r="R29" s="215">
        <f t="shared" ref="R29:AC29" si="25">R136</f>
        <v>-109</v>
      </c>
      <c r="S29" s="215">
        <f t="shared" si="25"/>
        <v>-109</v>
      </c>
      <c r="T29" s="215">
        <f t="shared" si="25"/>
        <v>-109</v>
      </c>
      <c r="U29" s="215">
        <f t="shared" si="25"/>
        <v>-109</v>
      </c>
      <c r="V29" s="215">
        <f t="shared" si="25"/>
        <v>-109</v>
      </c>
      <c r="W29" s="215">
        <f t="shared" si="25"/>
        <v>-109</v>
      </c>
      <c r="X29" s="215">
        <f t="shared" si="25"/>
        <v>-109</v>
      </c>
      <c r="Y29" s="215">
        <f t="shared" si="25"/>
        <v>-109</v>
      </c>
      <c r="Z29" s="215">
        <f t="shared" si="25"/>
        <v>-109</v>
      </c>
      <c r="AA29" s="215">
        <f t="shared" si="25"/>
        <v>-116</v>
      </c>
      <c r="AB29" s="215">
        <f t="shared" si="25"/>
        <v>-117</v>
      </c>
      <c r="AC29" s="215">
        <f t="shared" si="25"/>
        <v>-117</v>
      </c>
      <c r="AD29" s="215">
        <f t="shared" si="21"/>
        <v>-1331</v>
      </c>
      <c r="AE29" s="214">
        <f t="shared" si="14"/>
        <v>-218</v>
      </c>
      <c r="AF29" s="215">
        <f t="shared" si="24"/>
        <v>-1113</v>
      </c>
      <c r="AH29" s="217"/>
      <c r="AI29" s="444" t="str">
        <f t="shared" si="7"/>
        <v>NC</v>
      </c>
      <c r="AJ29" s="216" t="str">
        <f t="shared" si="8"/>
        <v>FERC Annual Charge (ACA Amortization)</v>
      </c>
      <c r="AK29" s="495">
        <f t="shared" si="15"/>
        <v>144001</v>
      </c>
      <c r="AL29" s="434" t="str">
        <f>P29</f>
        <v>L</v>
      </c>
      <c r="AM29" s="215">
        <f t="shared" si="9"/>
        <v>-1331</v>
      </c>
      <c r="AN29" s="264">
        <v>-1199</v>
      </c>
      <c r="AO29" s="264">
        <v>0</v>
      </c>
      <c r="AP29" s="215">
        <f t="shared" si="16"/>
        <v>-132</v>
      </c>
      <c r="AQ29" s="215">
        <f t="shared" si="17"/>
        <v>-1331</v>
      </c>
      <c r="AR29"/>
      <c r="AS29" s="264">
        <v>0</v>
      </c>
      <c r="AT29" s="264">
        <v>0</v>
      </c>
      <c r="AU29" s="264">
        <v>0</v>
      </c>
      <c r="AV29" s="215">
        <f t="shared" si="18"/>
        <v>0</v>
      </c>
      <c r="AW29" s="215">
        <f t="shared" si="19"/>
        <v>0</v>
      </c>
      <c r="AX29" s="215"/>
      <c r="BO29" s="204"/>
      <c r="BP29" s="204"/>
    </row>
    <row r="30" spans="1:68" ht="12" customHeight="1" x14ac:dyDescent="0.2">
      <c r="A30" s="212" t="s">
        <v>381</v>
      </c>
      <c r="B30" s="213" t="s">
        <v>415</v>
      </c>
      <c r="C30" s="218"/>
      <c r="D30" s="218"/>
      <c r="E30" s="464" t="s">
        <v>416</v>
      </c>
      <c r="F30" s="214">
        <v>0</v>
      </c>
      <c r="G30" s="214">
        <v>0</v>
      </c>
      <c r="H30" s="215">
        <f t="shared" si="22"/>
        <v>0</v>
      </c>
      <c r="I30" s="214">
        <v>0</v>
      </c>
      <c r="J30" s="215">
        <f t="shared" si="23"/>
        <v>0</v>
      </c>
      <c r="M30" s="434" t="str">
        <f t="shared" si="1"/>
        <v>NC</v>
      </c>
      <c r="N30" s="216" t="str">
        <f t="shared" si="2"/>
        <v xml:space="preserve">   ACA Annual Payment</v>
      </c>
      <c r="O30" s="434"/>
      <c r="P30" s="434"/>
      <c r="Q30" s="470" t="str">
        <f t="shared" si="0"/>
        <v>"</v>
      </c>
      <c r="R30" s="214">
        <v>0</v>
      </c>
      <c r="S30" s="214">
        <v>0</v>
      </c>
      <c r="T30" s="214">
        <v>0</v>
      </c>
      <c r="U30" s="214">
        <v>0</v>
      </c>
      <c r="V30" s="214">
        <v>0</v>
      </c>
      <c r="W30" s="214">
        <v>0</v>
      </c>
      <c r="X30" s="214">
        <v>0</v>
      </c>
      <c r="Y30" s="214">
        <v>0</v>
      </c>
      <c r="Z30" s="214">
        <v>1400</v>
      </c>
      <c r="AA30" s="214">
        <v>0</v>
      </c>
      <c r="AB30" s="214">
        <v>0</v>
      </c>
      <c r="AC30" s="214">
        <v>0</v>
      </c>
      <c r="AD30" s="215">
        <f t="shared" si="21"/>
        <v>1400</v>
      </c>
      <c r="AE30" s="214">
        <f t="shared" si="14"/>
        <v>0</v>
      </c>
      <c r="AF30" s="215">
        <f t="shared" si="24"/>
        <v>1400</v>
      </c>
      <c r="AH30" s="217"/>
      <c r="AI30" s="444" t="str">
        <f t="shared" si="7"/>
        <v>NC</v>
      </c>
      <c r="AJ30" s="216" t="str">
        <f t="shared" si="8"/>
        <v xml:space="preserve">   ACA Annual Payment</v>
      </c>
      <c r="AK30" s="495" t="str">
        <f t="shared" si="15"/>
        <v>"</v>
      </c>
      <c r="AL30" s="434"/>
      <c r="AM30" s="215">
        <f t="shared" si="9"/>
        <v>1400</v>
      </c>
      <c r="AN30" s="264">
        <v>1308</v>
      </c>
      <c r="AO30" s="264">
        <v>0</v>
      </c>
      <c r="AP30" s="215">
        <f t="shared" si="16"/>
        <v>92</v>
      </c>
      <c r="AQ30" s="215">
        <f t="shared" si="17"/>
        <v>1400</v>
      </c>
      <c r="AR30"/>
      <c r="AS30" s="264">
        <v>0</v>
      </c>
      <c r="AT30" s="264">
        <v>0</v>
      </c>
      <c r="AU30" s="264">
        <v>0</v>
      </c>
      <c r="AV30" s="215">
        <f t="shared" si="18"/>
        <v>0</v>
      </c>
      <c r="AW30" s="215">
        <f t="shared" si="19"/>
        <v>0</v>
      </c>
      <c r="AX30" s="215"/>
      <c r="BO30" s="204"/>
      <c r="BP30" s="204"/>
    </row>
    <row r="31" spans="1:68" ht="12" customHeight="1" x14ac:dyDescent="0.2">
      <c r="A31" s="212" t="s">
        <v>381</v>
      </c>
      <c r="B31" s="427" t="s">
        <v>419</v>
      </c>
      <c r="C31" s="218"/>
      <c r="D31" s="200"/>
      <c r="E31" s="464">
        <v>144003</v>
      </c>
      <c r="F31" s="214">
        <v>0</v>
      </c>
      <c r="G31" s="214">
        <v>0</v>
      </c>
      <c r="H31" s="215">
        <f t="shared" si="22"/>
        <v>0</v>
      </c>
      <c r="I31" s="214">
        <v>0</v>
      </c>
      <c r="J31" s="215">
        <f t="shared" si="23"/>
        <v>0</v>
      </c>
      <c r="M31" s="434" t="str">
        <f t="shared" si="1"/>
        <v>NC</v>
      </c>
      <c r="N31" s="216" t="str">
        <f t="shared" si="2"/>
        <v xml:space="preserve">PGA Demand (Pre Mini Settlement Amortization &amp; Interest) </v>
      </c>
      <c r="O31" s="434"/>
      <c r="P31" s="434"/>
      <c r="Q31" s="470">
        <f t="shared" si="0"/>
        <v>144003</v>
      </c>
      <c r="R31" s="214">
        <v>0</v>
      </c>
      <c r="S31" s="214">
        <v>0</v>
      </c>
      <c r="T31" s="214">
        <v>0</v>
      </c>
      <c r="U31" s="214">
        <v>0</v>
      </c>
      <c r="V31" s="214">
        <v>0</v>
      </c>
      <c r="W31" s="214">
        <v>0</v>
      </c>
      <c r="X31" s="214">
        <v>0</v>
      </c>
      <c r="Y31" s="214">
        <v>0</v>
      </c>
      <c r="Z31" s="214">
        <v>0</v>
      </c>
      <c r="AA31" s="214">
        <v>0</v>
      </c>
      <c r="AB31" s="214">
        <v>0</v>
      </c>
      <c r="AC31" s="214">
        <v>0</v>
      </c>
      <c r="AD31" s="215">
        <f t="shared" si="21"/>
        <v>0</v>
      </c>
      <c r="AE31" s="214">
        <f t="shared" si="14"/>
        <v>0</v>
      </c>
      <c r="AF31" s="215">
        <f t="shared" si="24"/>
        <v>0</v>
      </c>
      <c r="AI31" s="444" t="str">
        <f t="shared" si="7"/>
        <v>NC</v>
      </c>
      <c r="AJ31" s="216" t="str">
        <f t="shared" si="8"/>
        <v xml:space="preserve">PGA Demand (Pre Mini Settlement Amortization &amp; Interest) </v>
      </c>
      <c r="AK31" s="495">
        <f t="shared" si="15"/>
        <v>144003</v>
      </c>
      <c r="AL31" s="434"/>
      <c r="AM31" s="215">
        <f t="shared" si="9"/>
        <v>0</v>
      </c>
      <c r="AN31" s="264">
        <v>0</v>
      </c>
      <c r="AO31" s="264">
        <v>0</v>
      </c>
      <c r="AP31" s="215">
        <f t="shared" si="16"/>
        <v>0</v>
      </c>
      <c r="AQ31" s="215">
        <f t="shared" si="17"/>
        <v>0</v>
      </c>
      <c r="AR31"/>
      <c r="AS31" s="264">
        <v>0</v>
      </c>
      <c r="AT31" s="264">
        <v>0</v>
      </c>
      <c r="AU31" s="264">
        <v>0</v>
      </c>
      <c r="AV31" s="215">
        <f t="shared" si="18"/>
        <v>0</v>
      </c>
      <c r="AW31" s="215">
        <f t="shared" si="19"/>
        <v>0</v>
      </c>
      <c r="AX31" s="215"/>
      <c r="BO31" s="204"/>
      <c r="BP31" s="204"/>
    </row>
    <row r="32" spans="1:68" ht="12" customHeight="1" x14ac:dyDescent="0.2">
      <c r="A32" s="212" t="s">
        <v>381</v>
      </c>
      <c r="B32" s="427" t="s">
        <v>420</v>
      </c>
      <c r="C32" s="218"/>
      <c r="D32" s="218" t="s">
        <v>395</v>
      </c>
      <c r="E32" s="464" t="s">
        <v>685</v>
      </c>
      <c r="F32" s="214">
        <v>0</v>
      </c>
      <c r="G32" s="214">
        <v>0</v>
      </c>
      <c r="H32" s="215">
        <f>F32-G32</f>
        <v>0</v>
      </c>
      <c r="I32" s="214">
        <v>0</v>
      </c>
      <c r="J32" s="215">
        <f>H32-I32</f>
        <v>0</v>
      </c>
      <c r="M32" s="434" t="str">
        <f t="shared" si="1"/>
        <v>NC</v>
      </c>
      <c r="N32" s="216" t="str">
        <f t="shared" si="2"/>
        <v>South Georgia Adjustment (Net)</v>
      </c>
      <c r="O32" s="434"/>
      <c r="P32" s="434" t="str">
        <f>D32</f>
        <v>L</v>
      </c>
      <c r="Q32" s="470" t="str">
        <f t="shared" si="0"/>
        <v>144012</v>
      </c>
      <c r="R32" s="215">
        <f t="shared" ref="R32:AC32" si="26">R138</f>
        <v>-4</v>
      </c>
      <c r="S32" s="215">
        <f t="shared" si="26"/>
        <v>-4</v>
      </c>
      <c r="T32" s="215">
        <f t="shared" si="26"/>
        <v>-4</v>
      </c>
      <c r="U32" s="215">
        <f t="shared" si="26"/>
        <v>-4</v>
      </c>
      <c r="V32" s="215">
        <f t="shared" si="26"/>
        <v>-4</v>
      </c>
      <c r="W32" s="215">
        <f t="shared" si="26"/>
        <v>-4</v>
      </c>
      <c r="X32" s="215">
        <f t="shared" si="26"/>
        <v>-4</v>
      </c>
      <c r="Y32" s="215">
        <f t="shared" si="26"/>
        <v>-4</v>
      </c>
      <c r="Z32" s="215">
        <f t="shared" si="26"/>
        <v>-4</v>
      </c>
      <c r="AA32" s="215">
        <f t="shared" si="26"/>
        <v>-4</v>
      </c>
      <c r="AB32" s="215">
        <f t="shared" si="26"/>
        <v>-4</v>
      </c>
      <c r="AC32" s="215">
        <f t="shared" si="26"/>
        <v>-4</v>
      </c>
      <c r="AD32" s="215">
        <f t="shared" si="21"/>
        <v>-48</v>
      </c>
      <c r="AE32" s="214">
        <f t="shared" si="14"/>
        <v>-8</v>
      </c>
      <c r="AF32" s="215">
        <f>AD32-AE32</f>
        <v>-40</v>
      </c>
      <c r="AI32" s="444" t="str">
        <f t="shared" si="7"/>
        <v>NC</v>
      </c>
      <c r="AJ32" s="216" t="str">
        <f t="shared" si="8"/>
        <v>South Georgia Adjustment (Net)</v>
      </c>
      <c r="AK32" s="495" t="str">
        <f t="shared" si="15"/>
        <v>144012</v>
      </c>
      <c r="AL32" s="434"/>
      <c r="AM32" s="215">
        <f t="shared" si="9"/>
        <v>-48</v>
      </c>
      <c r="AN32" s="264">
        <v>-48</v>
      </c>
      <c r="AO32" s="264">
        <v>0</v>
      </c>
      <c r="AP32" s="215">
        <f t="shared" si="16"/>
        <v>0</v>
      </c>
      <c r="AQ32" s="215">
        <f t="shared" si="17"/>
        <v>-48</v>
      </c>
      <c r="AR32"/>
      <c r="AS32" s="264">
        <v>0</v>
      </c>
      <c r="AT32" s="264">
        <v>0</v>
      </c>
      <c r="AU32" s="264">
        <v>0</v>
      </c>
      <c r="AV32" s="215">
        <f t="shared" si="18"/>
        <v>0</v>
      </c>
      <c r="AW32" s="215">
        <f t="shared" si="19"/>
        <v>0</v>
      </c>
      <c r="AX32" s="215"/>
      <c r="BO32" s="204"/>
      <c r="BP32" s="204"/>
    </row>
    <row r="33" spans="1:68" ht="12" customHeight="1" x14ac:dyDescent="0.2">
      <c r="A33" s="212" t="s">
        <v>381</v>
      </c>
      <c r="B33" s="213" t="s">
        <v>421</v>
      </c>
      <c r="C33" s="218"/>
      <c r="D33" s="200"/>
      <c r="E33" s="464">
        <v>144006</v>
      </c>
      <c r="F33" s="214">
        <v>0</v>
      </c>
      <c r="G33" s="214">
        <v>0</v>
      </c>
      <c r="H33" s="215">
        <f t="shared" si="22"/>
        <v>0</v>
      </c>
      <c r="I33" s="214">
        <v>0</v>
      </c>
      <c r="J33" s="215">
        <f t="shared" si="23"/>
        <v>0</v>
      </c>
      <c r="M33" s="434" t="str">
        <f t="shared" si="1"/>
        <v>NC</v>
      </c>
      <c r="N33" s="216" t="str">
        <f t="shared" si="2"/>
        <v>FERC Audit Reserve</v>
      </c>
      <c r="O33" s="434"/>
      <c r="P33" s="434"/>
      <c r="Q33" s="470">
        <f t="shared" si="0"/>
        <v>144006</v>
      </c>
      <c r="R33" s="214">
        <v>0</v>
      </c>
      <c r="S33" s="214">
        <v>0</v>
      </c>
      <c r="T33" s="214">
        <v>0</v>
      </c>
      <c r="U33" s="214">
        <v>0</v>
      </c>
      <c r="V33" s="214">
        <v>0</v>
      </c>
      <c r="W33" s="214">
        <v>0</v>
      </c>
      <c r="X33" s="214">
        <v>0</v>
      </c>
      <c r="Y33" s="214">
        <v>0</v>
      </c>
      <c r="Z33" s="214">
        <v>0</v>
      </c>
      <c r="AA33" s="214">
        <v>0</v>
      </c>
      <c r="AB33" s="214">
        <v>0</v>
      </c>
      <c r="AC33" s="214">
        <v>0</v>
      </c>
      <c r="AD33" s="215">
        <f t="shared" si="21"/>
        <v>0</v>
      </c>
      <c r="AE33" s="214">
        <f t="shared" si="14"/>
        <v>0</v>
      </c>
      <c r="AF33" s="215">
        <f t="shared" si="24"/>
        <v>0</v>
      </c>
      <c r="AI33" s="444" t="str">
        <f t="shared" si="7"/>
        <v>NC</v>
      </c>
      <c r="AJ33" s="216" t="str">
        <f t="shared" si="8"/>
        <v>FERC Audit Reserve</v>
      </c>
      <c r="AK33" s="495">
        <f t="shared" si="15"/>
        <v>144006</v>
      </c>
      <c r="AL33" s="434"/>
      <c r="AM33" s="215">
        <f t="shared" si="9"/>
        <v>0</v>
      </c>
      <c r="AN33" s="264">
        <v>0</v>
      </c>
      <c r="AO33" s="264">
        <v>0</v>
      </c>
      <c r="AP33" s="215">
        <f t="shared" si="16"/>
        <v>0</v>
      </c>
      <c r="AQ33" s="215">
        <f t="shared" si="17"/>
        <v>0</v>
      </c>
      <c r="AR33"/>
      <c r="AS33" s="264">
        <v>0</v>
      </c>
      <c r="AT33" s="264">
        <v>0</v>
      </c>
      <c r="AU33" s="264">
        <v>0</v>
      </c>
      <c r="AV33" s="215">
        <f t="shared" si="18"/>
        <v>0</v>
      </c>
      <c r="AW33" s="215">
        <f t="shared" si="19"/>
        <v>0</v>
      </c>
      <c r="AX33" s="215"/>
      <c r="BO33" s="204"/>
      <c r="BP33" s="204"/>
    </row>
    <row r="34" spans="1:68" ht="12" customHeight="1" x14ac:dyDescent="0.2">
      <c r="A34" s="212" t="s">
        <v>381</v>
      </c>
      <c r="B34" s="427" t="s">
        <v>422</v>
      </c>
      <c r="C34" s="218"/>
      <c r="D34" s="200"/>
      <c r="E34" s="212" t="s">
        <v>423</v>
      </c>
      <c r="F34" s="214">
        <v>0</v>
      </c>
      <c r="G34" s="214">
        <v>0</v>
      </c>
      <c r="H34" s="215">
        <f>F34-G34</f>
        <v>0</v>
      </c>
      <c r="I34" s="214">
        <v>0</v>
      </c>
      <c r="J34" s="215">
        <f>H34-I34</f>
        <v>0</v>
      </c>
      <c r="M34" s="434" t="str">
        <f t="shared" si="1"/>
        <v>NC</v>
      </c>
      <c r="N34" s="216" t="str">
        <f t="shared" si="2"/>
        <v xml:space="preserve">Deferred Regulatory Expenditures </v>
      </c>
      <c r="O34" s="434"/>
      <c r="P34" s="434"/>
      <c r="Q34" s="470" t="str">
        <f t="shared" si="0"/>
        <v>144007</v>
      </c>
      <c r="R34" s="214">
        <v>0</v>
      </c>
      <c r="S34" s="214">
        <v>0</v>
      </c>
      <c r="T34" s="214">
        <v>0</v>
      </c>
      <c r="U34" s="214">
        <v>0</v>
      </c>
      <c r="V34" s="214">
        <v>0</v>
      </c>
      <c r="W34" s="214">
        <v>0</v>
      </c>
      <c r="X34" s="214">
        <v>0</v>
      </c>
      <c r="Y34" s="214">
        <v>0</v>
      </c>
      <c r="Z34" s="214">
        <v>0</v>
      </c>
      <c r="AA34" s="214">
        <v>0</v>
      </c>
      <c r="AB34" s="214">
        <v>0</v>
      </c>
      <c r="AC34" s="214">
        <v>0</v>
      </c>
      <c r="AD34" s="215">
        <f>SUM(R34:AC34)</f>
        <v>0</v>
      </c>
      <c r="AE34" s="214">
        <f t="shared" si="14"/>
        <v>0</v>
      </c>
      <c r="AF34" s="215">
        <f>AD34-AE34</f>
        <v>0</v>
      </c>
      <c r="AI34" s="444" t="str">
        <f t="shared" si="7"/>
        <v>NC</v>
      </c>
      <c r="AJ34" s="216" t="str">
        <f t="shared" si="8"/>
        <v xml:space="preserve">Deferred Regulatory Expenditures </v>
      </c>
      <c r="AK34" s="495" t="str">
        <f t="shared" si="15"/>
        <v>144007</v>
      </c>
      <c r="AL34" s="434"/>
      <c r="AM34" s="215">
        <f t="shared" si="9"/>
        <v>0</v>
      </c>
      <c r="AN34" s="264">
        <v>0</v>
      </c>
      <c r="AO34" s="264">
        <v>0</v>
      </c>
      <c r="AP34" s="215">
        <f t="shared" si="16"/>
        <v>0</v>
      </c>
      <c r="AQ34" s="215">
        <f t="shared" si="17"/>
        <v>0</v>
      </c>
      <c r="AR34"/>
      <c r="AS34" s="264">
        <v>0</v>
      </c>
      <c r="AT34" s="264">
        <v>0</v>
      </c>
      <c r="AU34" s="264">
        <v>0</v>
      </c>
      <c r="AV34" s="215">
        <f t="shared" si="18"/>
        <v>0</v>
      </c>
      <c r="AW34" s="215">
        <f t="shared" si="19"/>
        <v>0</v>
      </c>
      <c r="AX34" s="215"/>
      <c r="BO34" s="204"/>
      <c r="BP34" s="204"/>
    </row>
    <row r="35" spans="1:68" ht="12" customHeight="1" x14ac:dyDescent="0.2">
      <c r="A35" s="212" t="s">
        <v>381</v>
      </c>
      <c r="B35" s="427" t="s">
        <v>424</v>
      </c>
      <c r="C35" s="218"/>
      <c r="D35" s="218" t="s">
        <v>395</v>
      </c>
      <c r="E35" s="464" t="s">
        <v>425</v>
      </c>
      <c r="F35" s="214">
        <v>0</v>
      </c>
      <c r="G35" s="214">
        <v>0</v>
      </c>
      <c r="H35" s="215">
        <f>F35-G35</f>
        <v>0</v>
      </c>
      <c r="I35" s="214">
        <v>0</v>
      </c>
      <c r="J35" s="215">
        <f>H35-I35</f>
        <v>0</v>
      </c>
      <c r="M35" s="434" t="str">
        <f t="shared" si="1"/>
        <v>NC</v>
      </c>
      <c r="N35" s="216" t="str">
        <f t="shared" si="2"/>
        <v>Transport Rate Case Reserve</v>
      </c>
      <c r="O35" s="434"/>
      <c r="P35" s="434" t="str">
        <f>D35</f>
        <v>L</v>
      </c>
      <c r="Q35" s="470" t="str">
        <f t="shared" si="0"/>
        <v>144008</v>
      </c>
      <c r="R35" s="436">
        <f t="shared" ref="R35:AC35" si="27">R123</f>
        <v>0</v>
      </c>
      <c r="S35" s="436">
        <f t="shared" si="27"/>
        <v>0</v>
      </c>
      <c r="T35" s="436">
        <f t="shared" si="27"/>
        <v>0</v>
      </c>
      <c r="U35" s="436">
        <f t="shared" si="27"/>
        <v>0</v>
      </c>
      <c r="V35" s="436">
        <f t="shared" si="27"/>
        <v>0</v>
      </c>
      <c r="W35" s="436">
        <f t="shared" si="27"/>
        <v>0</v>
      </c>
      <c r="X35" s="436">
        <f t="shared" si="27"/>
        <v>0</v>
      </c>
      <c r="Y35" s="436">
        <f t="shared" si="27"/>
        <v>0</v>
      </c>
      <c r="Z35" s="436">
        <f t="shared" si="27"/>
        <v>0</v>
      </c>
      <c r="AA35" s="436">
        <f t="shared" si="27"/>
        <v>0</v>
      </c>
      <c r="AB35" s="436">
        <f t="shared" si="27"/>
        <v>0</v>
      </c>
      <c r="AC35" s="436">
        <f t="shared" si="27"/>
        <v>0</v>
      </c>
      <c r="AD35" s="215">
        <f>SUM(R35:AC35)</f>
        <v>0</v>
      </c>
      <c r="AE35" s="214">
        <f t="shared" si="14"/>
        <v>0</v>
      </c>
      <c r="AF35" s="215">
        <f>AD35-AE35</f>
        <v>0</v>
      </c>
      <c r="AI35" s="444" t="str">
        <f t="shared" si="7"/>
        <v>NC</v>
      </c>
      <c r="AJ35" s="216" t="str">
        <f t="shared" si="8"/>
        <v>Transport Rate Case Reserve</v>
      </c>
      <c r="AK35" s="495" t="str">
        <f t="shared" si="15"/>
        <v>144008</v>
      </c>
      <c r="AL35" s="434" t="str">
        <f>P35</f>
        <v>L</v>
      </c>
      <c r="AM35" s="215">
        <f t="shared" si="9"/>
        <v>0</v>
      </c>
      <c r="AN35" s="264">
        <v>0</v>
      </c>
      <c r="AO35" s="264">
        <v>0</v>
      </c>
      <c r="AP35" s="215">
        <f t="shared" si="16"/>
        <v>0</v>
      </c>
      <c r="AQ35" s="215">
        <f t="shared" si="17"/>
        <v>0</v>
      </c>
      <c r="AR35"/>
      <c r="AS35" s="264">
        <v>0</v>
      </c>
      <c r="AT35" s="264">
        <v>0</v>
      </c>
      <c r="AU35" s="264">
        <v>0</v>
      </c>
      <c r="AV35" s="215">
        <f t="shared" si="18"/>
        <v>0</v>
      </c>
      <c r="AW35" s="215">
        <f t="shared" si="19"/>
        <v>0</v>
      </c>
      <c r="AX35" s="215"/>
      <c r="BO35" s="204"/>
      <c r="BP35" s="204"/>
    </row>
    <row r="36" spans="1:68" ht="12" customHeight="1" x14ac:dyDescent="0.2">
      <c r="A36" s="212" t="s">
        <v>381</v>
      </c>
      <c r="B36" s="427" t="s">
        <v>426</v>
      </c>
      <c r="C36" s="218"/>
      <c r="D36" s="218" t="s">
        <v>395</v>
      </c>
      <c r="E36" s="212" t="s">
        <v>427</v>
      </c>
      <c r="F36" s="214">
        <v>0</v>
      </c>
      <c r="G36" s="214">
        <v>0</v>
      </c>
      <c r="H36" s="215">
        <f>F36-G36</f>
        <v>0</v>
      </c>
      <c r="I36" s="214">
        <v>0</v>
      </c>
      <c r="J36" s="215">
        <f>H36-I36</f>
        <v>0</v>
      </c>
      <c r="M36" s="434" t="str">
        <f t="shared" si="1"/>
        <v>NC</v>
      </c>
      <c r="N36" s="216" t="str">
        <f t="shared" si="2"/>
        <v>Other Regulatory Reserve Issues</v>
      </c>
      <c r="O36" s="434"/>
      <c r="P36" s="434" t="str">
        <f>D36</f>
        <v>L</v>
      </c>
      <c r="Q36" s="470" t="str">
        <f t="shared" si="0"/>
        <v>144009</v>
      </c>
      <c r="R36" s="215">
        <f>R125+R132</f>
        <v>0</v>
      </c>
      <c r="S36" s="215">
        <f>S125+S132</f>
        <v>0</v>
      </c>
      <c r="T36" s="215">
        <f>T125+T132</f>
        <v>0</v>
      </c>
      <c r="U36" s="215">
        <f>U125+U132</f>
        <v>0</v>
      </c>
      <c r="V36" s="215">
        <f t="shared" ref="V36:AC36" si="28">V125+V132</f>
        <v>0</v>
      </c>
      <c r="W36" s="215">
        <f t="shared" si="28"/>
        <v>0</v>
      </c>
      <c r="X36" s="215">
        <f t="shared" si="28"/>
        <v>0</v>
      </c>
      <c r="Y36" s="215">
        <f t="shared" si="28"/>
        <v>0</v>
      </c>
      <c r="Z36" s="215">
        <f t="shared" si="28"/>
        <v>0</v>
      </c>
      <c r="AA36" s="215">
        <f t="shared" si="28"/>
        <v>0</v>
      </c>
      <c r="AB36" s="215">
        <f t="shared" si="28"/>
        <v>0</v>
      </c>
      <c r="AC36" s="215">
        <f t="shared" si="28"/>
        <v>0</v>
      </c>
      <c r="AD36" s="215">
        <f>SUM(R36:AC36)</f>
        <v>0</v>
      </c>
      <c r="AE36" s="214">
        <f t="shared" si="14"/>
        <v>0</v>
      </c>
      <c r="AF36" s="215">
        <f>AD36-AE36</f>
        <v>0</v>
      </c>
      <c r="AI36" s="444" t="str">
        <f t="shared" si="7"/>
        <v>NC</v>
      </c>
      <c r="AJ36" s="216" t="str">
        <f t="shared" si="8"/>
        <v>Other Regulatory Reserve Issues</v>
      </c>
      <c r="AK36" s="495" t="str">
        <f t="shared" si="15"/>
        <v>144009</v>
      </c>
      <c r="AL36" s="434" t="str">
        <f>P36</f>
        <v>L</v>
      </c>
      <c r="AM36" s="215">
        <f t="shared" si="9"/>
        <v>0</v>
      </c>
      <c r="AN36" s="264">
        <v>-12790</v>
      </c>
      <c r="AO36" s="264">
        <v>0</v>
      </c>
      <c r="AP36" s="215">
        <f t="shared" si="16"/>
        <v>12790</v>
      </c>
      <c r="AQ36" s="215">
        <f t="shared" si="17"/>
        <v>0</v>
      </c>
      <c r="AR36"/>
      <c r="AS36" s="264">
        <v>0</v>
      </c>
      <c r="AT36" s="264">
        <v>0</v>
      </c>
      <c r="AU36" s="264">
        <v>0</v>
      </c>
      <c r="AV36" s="215">
        <f t="shared" si="18"/>
        <v>0</v>
      </c>
      <c r="AW36" s="215">
        <f t="shared" si="19"/>
        <v>0</v>
      </c>
      <c r="AX36" s="215"/>
      <c r="BO36" s="204"/>
      <c r="BP36" s="204"/>
    </row>
    <row r="37" spans="1:68" ht="12" customHeight="1" x14ac:dyDescent="0.2">
      <c r="A37" s="212" t="s">
        <v>381</v>
      </c>
      <c r="B37" s="427" t="s">
        <v>428</v>
      </c>
      <c r="C37" s="218"/>
      <c r="D37" s="218" t="s">
        <v>395</v>
      </c>
      <c r="E37" s="212">
        <v>144024</v>
      </c>
      <c r="F37" s="214">
        <v>0</v>
      </c>
      <c r="G37" s="214">
        <v>0</v>
      </c>
      <c r="H37" s="215">
        <f>F37-G37</f>
        <v>0</v>
      </c>
      <c r="I37" s="214">
        <v>0</v>
      </c>
      <c r="J37" s="215">
        <f>H37-I37</f>
        <v>0</v>
      </c>
      <c r="M37" s="434" t="str">
        <f t="shared" si="1"/>
        <v>NC</v>
      </c>
      <c r="N37" s="216" t="str">
        <f t="shared" si="2"/>
        <v>Amortizable Rate Case Cost (Reg. Commission Expense)</v>
      </c>
      <c r="O37" s="434"/>
      <c r="P37" s="434" t="str">
        <f>D37</f>
        <v>L</v>
      </c>
      <c r="Q37" s="470">
        <f t="shared" si="0"/>
        <v>144024</v>
      </c>
      <c r="R37" s="492">
        <f t="shared" ref="R37:AC37" si="29">R135</f>
        <v>-10</v>
      </c>
      <c r="S37" s="492">
        <f t="shared" si="29"/>
        <v>-10</v>
      </c>
      <c r="T37" s="492">
        <f t="shared" si="29"/>
        <v>-10</v>
      </c>
      <c r="U37" s="492">
        <f t="shared" si="29"/>
        <v>-10</v>
      </c>
      <c r="V37" s="492">
        <f t="shared" si="29"/>
        <v>-10</v>
      </c>
      <c r="W37" s="492">
        <f t="shared" si="29"/>
        <v>-10</v>
      </c>
      <c r="X37" s="436">
        <f t="shared" si="29"/>
        <v>-10</v>
      </c>
      <c r="Y37" s="492">
        <f t="shared" si="29"/>
        <v>-10</v>
      </c>
      <c r="Z37" s="492">
        <f t="shared" si="29"/>
        <v>-10</v>
      </c>
      <c r="AA37" s="492">
        <f t="shared" si="29"/>
        <v>-10</v>
      </c>
      <c r="AB37" s="492">
        <f t="shared" si="29"/>
        <v>-10</v>
      </c>
      <c r="AC37" s="492">
        <f t="shared" si="29"/>
        <v>-10</v>
      </c>
      <c r="AD37" s="215">
        <f>SUM(R37:AC37)</f>
        <v>-120</v>
      </c>
      <c r="AE37" s="214">
        <f t="shared" si="14"/>
        <v>-20</v>
      </c>
      <c r="AF37" s="215">
        <f>AD37-AE37</f>
        <v>-100</v>
      </c>
      <c r="AI37" s="444" t="str">
        <f t="shared" si="7"/>
        <v>NC</v>
      </c>
      <c r="AJ37" s="216" t="str">
        <f t="shared" si="8"/>
        <v>Amortizable Rate Case Cost (Reg. Commission Expense)</v>
      </c>
      <c r="AK37" s="495">
        <f t="shared" si="15"/>
        <v>144024</v>
      </c>
      <c r="AL37" s="434" t="str">
        <f>P37</f>
        <v>L</v>
      </c>
      <c r="AM37" s="215">
        <f t="shared" si="9"/>
        <v>-120</v>
      </c>
      <c r="AN37" s="264">
        <v>-118</v>
      </c>
      <c r="AO37" s="264">
        <v>0</v>
      </c>
      <c r="AP37" s="215">
        <f t="shared" si="16"/>
        <v>-2</v>
      </c>
      <c r="AQ37" s="215">
        <f t="shared" si="17"/>
        <v>-120</v>
      </c>
      <c r="AR37"/>
      <c r="AS37" s="264">
        <v>0</v>
      </c>
      <c r="AT37" s="264">
        <v>0</v>
      </c>
      <c r="AU37" s="264">
        <v>0</v>
      </c>
      <c r="AV37" s="215">
        <f t="shared" si="18"/>
        <v>0</v>
      </c>
      <c r="AW37" s="215">
        <f t="shared" si="19"/>
        <v>0</v>
      </c>
      <c r="AX37" s="215"/>
      <c r="BO37" s="204"/>
      <c r="BP37" s="204"/>
    </row>
    <row r="38" spans="1:68" ht="12" customHeight="1" x14ac:dyDescent="0.2">
      <c r="A38" s="212" t="s">
        <v>381</v>
      </c>
      <c r="B38" s="221" t="s">
        <v>429</v>
      </c>
      <c r="C38" s="212"/>
      <c r="D38" s="200"/>
      <c r="E38" s="464">
        <v>144042</v>
      </c>
      <c r="F38" s="214">
        <v>0</v>
      </c>
      <c r="G38" s="214">
        <v>0</v>
      </c>
      <c r="H38" s="215">
        <f t="shared" ref="H38:H46" si="30">F38-G38</f>
        <v>0</v>
      </c>
      <c r="I38" s="214">
        <v>0</v>
      </c>
      <c r="J38" s="215">
        <f t="shared" ref="J38:J46" si="31">H38-I38</f>
        <v>0</v>
      </c>
      <c r="M38" s="434" t="str">
        <f t="shared" si="1"/>
        <v>NC</v>
      </c>
      <c r="N38" s="216" t="str">
        <f t="shared" si="2"/>
        <v>Mini Settlement Items - Sunrise</v>
      </c>
      <c r="O38" s="434"/>
      <c r="P38" s="434"/>
      <c r="Q38" s="470">
        <f t="shared" ref="Q38:Q57" si="32">E38</f>
        <v>144042</v>
      </c>
      <c r="R38" s="215">
        <f t="shared" ref="R38:AC38" si="33">R92</f>
        <v>-30</v>
      </c>
      <c r="S38" s="215">
        <f t="shared" si="33"/>
        <v>-30</v>
      </c>
      <c r="T38" s="215">
        <f t="shared" si="33"/>
        <v>-31</v>
      </c>
      <c r="U38" s="215">
        <f t="shared" si="33"/>
        <v>-30</v>
      </c>
      <c r="V38" s="215">
        <f t="shared" si="33"/>
        <v>-30</v>
      </c>
      <c r="W38" s="215">
        <f t="shared" si="33"/>
        <v>-30</v>
      </c>
      <c r="X38" s="215">
        <f t="shared" si="33"/>
        <v>-30</v>
      </c>
      <c r="Y38" s="215">
        <f t="shared" si="33"/>
        <v>-30</v>
      </c>
      <c r="Z38" s="215">
        <f t="shared" si="33"/>
        <v>-30</v>
      </c>
      <c r="AA38" s="215">
        <f t="shared" si="33"/>
        <v>-30</v>
      </c>
      <c r="AB38" s="215">
        <f t="shared" si="33"/>
        <v>-30</v>
      </c>
      <c r="AC38" s="215">
        <f t="shared" si="33"/>
        <v>-30</v>
      </c>
      <c r="AD38" s="215">
        <f t="shared" ref="AD38:AD46" si="34">SUM(R38:AC38)</f>
        <v>-361</v>
      </c>
      <c r="AE38" s="214">
        <f t="shared" si="14"/>
        <v>-60</v>
      </c>
      <c r="AF38" s="215">
        <f t="shared" ref="AF38:AF46" si="35">AD38-AE38</f>
        <v>-301</v>
      </c>
      <c r="AI38" s="444" t="str">
        <f t="shared" si="7"/>
        <v>NC</v>
      </c>
      <c r="AJ38" s="216" t="str">
        <f t="shared" si="8"/>
        <v>Mini Settlement Items - Sunrise</v>
      </c>
      <c r="AK38" s="495">
        <f t="shared" si="15"/>
        <v>144042</v>
      </c>
      <c r="AL38" s="434"/>
      <c r="AM38" s="215">
        <f t="shared" si="9"/>
        <v>-361</v>
      </c>
      <c r="AN38" s="264">
        <v>-361</v>
      </c>
      <c r="AO38" s="264">
        <v>0</v>
      </c>
      <c r="AP38" s="215">
        <f>AM38-AN38</f>
        <v>0</v>
      </c>
      <c r="AQ38" s="215">
        <f>AM38-AO38</f>
        <v>-361</v>
      </c>
      <c r="AR38"/>
      <c r="AS38" s="264">
        <v>0</v>
      </c>
      <c r="AT38" s="264">
        <v>0</v>
      </c>
      <c r="AU38" s="264">
        <v>0</v>
      </c>
      <c r="AV38" s="215">
        <f>AS38-AT38</f>
        <v>0</v>
      </c>
      <c r="AW38" s="215">
        <f>AS38-AU38</f>
        <v>0</v>
      </c>
      <c r="BO38" s="204"/>
      <c r="BP38" s="204"/>
    </row>
    <row r="39" spans="1:68" ht="12" customHeight="1" x14ac:dyDescent="0.2">
      <c r="A39" s="212" t="s">
        <v>381</v>
      </c>
      <c r="B39" s="221" t="s">
        <v>430</v>
      </c>
      <c r="C39" s="212"/>
      <c r="D39" s="200"/>
      <c r="E39" s="464">
        <v>144043</v>
      </c>
      <c r="F39" s="214">
        <v>0</v>
      </c>
      <c r="G39" s="214">
        <v>0</v>
      </c>
      <c r="H39" s="215">
        <f t="shared" si="30"/>
        <v>0</v>
      </c>
      <c r="I39" s="214">
        <v>0</v>
      </c>
      <c r="J39" s="215">
        <f t="shared" si="31"/>
        <v>0</v>
      </c>
      <c r="M39" s="434" t="str">
        <f t="shared" ref="M39:M58" si="36">A39</f>
        <v>NC</v>
      </c>
      <c r="N39" s="216" t="str">
        <f t="shared" ref="N39:N58" si="37">B39</f>
        <v xml:space="preserve">                        - Other A/R Uncollectibles</v>
      </c>
      <c r="O39" s="434"/>
      <c r="P39" s="434"/>
      <c r="Q39" s="470">
        <f t="shared" si="32"/>
        <v>144043</v>
      </c>
      <c r="R39" s="215">
        <f t="shared" ref="R39:AC39" si="38">R96</f>
        <v>-42</v>
      </c>
      <c r="S39" s="215">
        <f t="shared" si="38"/>
        <v>-42</v>
      </c>
      <c r="T39" s="215">
        <f t="shared" si="38"/>
        <v>-42</v>
      </c>
      <c r="U39" s="215">
        <f t="shared" si="38"/>
        <v>-42</v>
      </c>
      <c r="V39" s="215">
        <f t="shared" si="38"/>
        <v>-42</v>
      </c>
      <c r="W39" s="215">
        <f t="shared" si="38"/>
        <v>-42</v>
      </c>
      <c r="X39" s="215">
        <f t="shared" si="38"/>
        <v>-42</v>
      </c>
      <c r="Y39" s="215">
        <f t="shared" si="38"/>
        <v>-43</v>
      </c>
      <c r="Z39" s="215">
        <f t="shared" si="38"/>
        <v>-42</v>
      </c>
      <c r="AA39" s="215">
        <f t="shared" si="38"/>
        <v>-43</v>
      </c>
      <c r="AB39" s="215">
        <f t="shared" si="38"/>
        <v>-43</v>
      </c>
      <c r="AC39" s="215">
        <f t="shared" si="38"/>
        <v>-43</v>
      </c>
      <c r="AD39" s="215">
        <f t="shared" si="34"/>
        <v>-508</v>
      </c>
      <c r="AE39" s="214">
        <f t="shared" si="14"/>
        <v>-84</v>
      </c>
      <c r="AF39" s="215">
        <f t="shared" si="35"/>
        <v>-424</v>
      </c>
      <c r="AI39" s="444" t="str">
        <f t="shared" si="7"/>
        <v>NC</v>
      </c>
      <c r="AJ39" s="216" t="str">
        <f t="shared" si="8"/>
        <v xml:space="preserve">                        - Other A/R Uncollectibles</v>
      </c>
      <c r="AK39" s="495">
        <f t="shared" si="15"/>
        <v>144043</v>
      </c>
      <c r="AL39" s="434"/>
      <c r="AM39" s="215">
        <f t="shared" si="9"/>
        <v>-508</v>
      </c>
      <c r="AN39" s="264">
        <v>-508</v>
      </c>
      <c r="AO39" s="264">
        <v>0</v>
      </c>
      <c r="AP39" s="215">
        <f>AM39-AN39</f>
        <v>0</v>
      </c>
      <c r="AQ39" s="215">
        <f>AM39-AO39</f>
        <v>-508</v>
      </c>
      <c r="AR39"/>
      <c r="AS39" s="264">
        <v>0</v>
      </c>
      <c r="AT39" s="264">
        <v>0</v>
      </c>
      <c r="AU39" s="264">
        <v>0</v>
      </c>
      <c r="AV39" s="215">
        <f>AS39-AT39</f>
        <v>0</v>
      </c>
      <c r="AW39" s="215">
        <f>AS39-AU39</f>
        <v>0</v>
      </c>
      <c r="BO39" s="204"/>
      <c r="BP39" s="204"/>
    </row>
    <row r="40" spans="1:68" ht="12" customHeight="1" x14ac:dyDescent="0.2">
      <c r="A40" s="212" t="s">
        <v>381</v>
      </c>
      <c r="B40" s="428" t="s">
        <v>431</v>
      </c>
      <c r="C40" s="212"/>
      <c r="D40" s="200"/>
      <c r="E40" s="464">
        <v>144044</v>
      </c>
      <c r="F40" s="214">
        <v>0</v>
      </c>
      <c r="G40" s="214">
        <v>0</v>
      </c>
      <c r="H40" s="215">
        <f t="shared" si="30"/>
        <v>0</v>
      </c>
      <c r="I40" s="214">
        <v>0</v>
      </c>
      <c r="J40" s="215">
        <f t="shared" si="31"/>
        <v>0</v>
      </c>
      <c r="M40" s="434" t="str">
        <f t="shared" si="36"/>
        <v>NC</v>
      </c>
      <c r="N40" s="216" t="str">
        <f t="shared" si="37"/>
        <v xml:space="preserve">                        - AFUDC &amp; Linepack</v>
      </c>
      <c r="O40" s="434"/>
      <c r="P40" s="434"/>
      <c r="Q40" s="470">
        <f t="shared" si="32"/>
        <v>144044</v>
      </c>
      <c r="R40" s="215">
        <f t="shared" ref="R40:AC40" si="39">R100</f>
        <v>-10</v>
      </c>
      <c r="S40" s="215">
        <f t="shared" si="39"/>
        <v>-10</v>
      </c>
      <c r="T40" s="215">
        <f t="shared" si="39"/>
        <v>-10</v>
      </c>
      <c r="U40" s="215">
        <f t="shared" si="39"/>
        <v>-10</v>
      </c>
      <c r="V40" s="215">
        <f t="shared" si="39"/>
        <v>-10</v>
      </c>
      <c r="W40" s="215">
        <f t="shared" si="39"/>
        <v>-10</v>
      </c>
      <c r="X40" s="215">
        <f t="shared" si="39"/>
        <v>-10</v>
      </c>
      <c r="Y40" s="215">
        <f t="shared" si="39"/>
        <v>-10</v>
      </c>
      <c r="Z40" s="215">
        <f t="shared" si="39"/>
        <v>-11</v>
      </c>
      <c r="AA40" s="215">
        <f t="shared" si="39"/>
        <v>-10</v>
      </c>
      <c r="AB40" s="215">
        <f t="shared" si="39"/>
        <v>-11</v>
      </c>
      <c r="AC40" s="215">
        <f t="shared" si="39"/>
        <v>-10</v>
      </c>
      <c r="AD40" s="215">
        <f t="shared" si="34"/>
        <v>-122</v>
      </c>
      <c r="AE40" s="214">
        <f t="shared" si="14"/>
        <v>-20</v>
      </c>
      <c r="AF40" s="215">
        <f t="shared" si="35"/>
        <v>-102</v>
      </c>
      <c r="AI40" s="444" t="str">
        <f t="shared" ref="AI40:AI58" si="40">M40</f>
        <v>NC</v>
      </c>
      <c r="AJ40" s="216" t="str">
        <f t="shared" ref="AJ40:AJ58" si="41">B40</f>
        <v xml:space="preserve">                        - AFUDC &amp; Linepack</v>
      </c>
      <c r="AK40" s="495">
        <f t="shared" si="15"/>
        <v>144044</v>
      </c>
      <c r="AL40" s="434"/>
      <c r="AM40" s="215">
        <f t="shared" ref="AM40:AM58" si="42">AD40</f>
        <v>-122</v>
      </c>
      <c r="AN40" s="264">
        <v>-125</v>
      </c>
      <c r="AO40" s="264">
        <v>0</v>
      </c>
      <c r="AP40" s="215">
        <f t="shared" ref="AP40:AP58" si="43">AM40-AN40</f>
        <v>3</v>
      </c>
      <c r="AQ40" s="215">
        <f t="shared" ref="AQ40:AQ58" si="44">AM40-AO40</f>
        <v>-122</v>
      </c>
      <c r="AR40"/>
      <c r="AS40" s="264">
        <v>0</v>
      </c>
      <c r="AT40" s="264">
        <v>0</v>
      </c>
      <c r="AU40" s="264">
        <v>0</v>
      </c>
      <c r="AV40" s="215">
        <f t="shared" ref="AV40:AV58" si="45">AS40-AT40</f>
        <v>0</v>
      </c>
      <c r="AW40" s="215">
        <f t="shared" ref="AW40:AW58" si="46">AS40-AU40</f>
        <v>0</v>
      </c>
      <c r="BO40" s="204"/>
      <c r="BP40" s="204"/>
    </row>
    <row r="41" spans="1:68" ht="12" customHeight="1" x14ac:dyDescent="0.2">
      <c r="A41" s="212" t="s">
        <v>381</v>
      </c>
      <c r="B41" s="428" t="s">
        <v>432</v>
      </c>
      <c r="C41" s="212"/>
      <c r="D41" s="200"/>
      <c r="E41" s="464">
        <v>144045</v>
      </c>
      <c r="F41" s="214">
        <v>0</v>
      </c>
      <c r="G41" s="214">
        <v>0</v>
      </c>
      <c r="H41" s="215">
        <f t="shared" si="30"/>
        <v>0</v>
      </c>
      <c r="I41" s="214">
        <v>0</v>
      </c>
      <c r="J41" s="215">
        <f t="shared" si="31"/>
        <v>0</v>
      </c>
      <c r="M41" s="434" t="str">
        <f t="shared" si="36"/>
        <v>NC</v>
      </c>
      <c r="N41" s="216" t="str">
        <f t="shared" si="37"/>
        <v xml:space="preserve">                        - TCR C</v>
      </c>
      <c r="O41" s="434"/>
      <c r="P41" s="434"/>
      <c r="Q41" s="470">
        <f t="shared" si="32"/>
        <v>144045</v>
      </c>
      <c r="R41" s="215">
        <f t="shared" ref="R41:AC41" si="47">R104</f>
        <v>-31</v>
      </c>
      <c r="S41" s="215">
        <f t="shared" si="47"/>
        <v>-31</v>
      </c>
      <c r="T41" s="215">
        <f t="shared" si="47"/>
        <v>-31</v>
      </c>
      <c r="U41" s="215">
        <f t="shared" si="47"/>
        <v>-31</v>
      </c>
      <c r="V41" s="215">
        <f t="shared" si="47"/>
        <v>-31</v>
      </c>
      <c r="W41" s="215">
        <f t="shared" si="47"/>
        <v>-31</v>
      </c>
      <c r="X41" s="215">
        <f t="shared" si="47"/>
        <v>-31</v>
      </c>
      <c r="Y41" s="215">
        <f t="shared" si="47"/>
        <v>-32</v>
      </c>
      <c r="Z41" s="215">
        <f t="shared" si="47"/>
        <v>-31</v>
      </c>
      <c r="AA41" s="215">
        <f t="shared" si="47"/>
        <v>-32</v>
      </c>
      <c r="AB41" s="215">
        <f t="shared" si="47"/>
        <v>-31</v>
      </c>
      <c r="AC41" s="215">
        <f t="shared" si="47"/>
        <v>-32</v>
      </c>
      <c r="AD41" s="215">
        <f t="shared" si="34"/>
        <v>-375</v>
      </c>
      <c r="AE41" s="214">
        <f t="shared" si="14"/>
        <v>-62</v>
      </c>
      <c r="AF41" s="215">
        <f t="shared" si="35"/>
        <v>-313</v>
      </c>
      <c r="AI41" s="444" t="str">
        <f t="shared" si="40"/>
        <v>NC</v>
      </c>
      <c r="AJ41" s="216" t="str">
        <f t="shared" si="41"/>
        <v xml:space="preserve">                        - TCR C</v>
      </c>
      <c r="AK41" s="495">
        <f t="shared" si="15"/>
        <v>144045</v>
      </c>
      <c r="AL41" s="434"/>
      <c r="AM41" s="215">
        <f t="shared" si="42"/>
        <v>-375</v>
      </c>
      <c r="AN41" s="264">
        <v>-378</v>
      </c>
      <c r="AO41" s="264">
        <v>0</v>
      </c>
      <c r="AP41" s="215">
        <f t="shared" si="43"/>
        <v>3</v>
      </c>
      <c r="AQ41" s="215">
        <f t="shared" si="44"/>
        <v>-375</v>
      </c>
      <c r="AR41"/>
      <c r="AS41" s="264">
        <v>0</v>
      </c>
      <c r="AT41" s="264">
        <v>0</v>
      </c>
      <c r="AU41" s="264">
        <v>0</v>
      </c>
      <c r="AV41" s="215">
        <f t="shared" si="45"/>
        <v>0</v>
      </c>
      <c r="AW41" s="215">
        <f t="shared" si="46"/>
        <v>0</v>
      </c>
      <c r="BO41" s="204"/>
      <c r="BP41" s="204"/>
    </row>
    <row r="42" spans="1:68" ht="12" customHeight="1" x14ac:dyDescent="0.2">
      <c r="A42" s="212" t="s">
        <v>381</v>
      </c>
      <c r="B42" s="428" t="s">
        <v>433</v>
      </c>
      <c r="C42" s="212"/>
      <c r="D42" s="200"/>
      <c r="E42" s="464">
        <v>144046</v>
      </c>
      <c r="F42" s="214">
        <v>0</v>
      </c>
      <c r="G42" s="214">
        <v>0</v>
      </c>
      <c r="H42" s="215">
        <f t="shared" si="30"/>
        <v>0</v>
      </c>
      <c r="I42" s="214">
        <v>0</v>
      </c>
      <c r="J42" s="215">
        <f t="shared" si="31"/>
        <v>0</v>
      </c>
      <c r="M42" s="434" t="str">
        <f t="shared" si="36"/>
        <v>NC</v>
      </c>
      <c r="N42" s="216" t="str">
        <f t="shared" si="37"/>
        <v xml:space="preserve">                        - PGAR</v>
      </c>
      <c r="O42" s="434"/>
      <c r="P42" s="434"/>
      <c r="Q42" s="470">
        <f t="shared" si="32"/>
        <v>144046</v>
      </c>
      <c r="R42" s="215">
        <f t="shared" ref="R42:AC42" si="48">R108</f>
        <v>-45</v>
      </c>
      <c r="S42" s="215">
        <f t="shared" si="48"/>
        <v>-45</v>
      </c>
      <c r="T42" s="215">
        <f t="shared" si="48"/>
        <v>-45</v>
      </c>
      <c r="U42" s="215">
        <f t="shared" si="48"/>
        <v>-45</v>
      </c>
      <c r="V42" s="215">
        <f t="shared" si="48"/>
        <v>-45</v>
      </c>
      <c r="W42" s="215">
        <f t="shared" si="48"/>
        <v>-45</v>
      </c>
      <c r="X42" s="215">
        <f t="shared" si="48"/>
        <v>-45</v>
      </c>
      <c r="Y42" s="215">
        <f t="shared" si="48"/>
        <v>-45</v>
      </c>
      <c r="Z42" s="215">
        <f t="shared" si="48"/>
        <v>-45</v>
      </c>
      <c r="AA42" s="215">
        <f t="shared" si="48"/>
        <v>-45</v>
      </c>
      <c r="AB42" s="215">
        <f t="shared" si="48"/>
        <v>-44</v>
      </c>
      <c r="AC42" s="215">
        <f t="shared" si="48"/>
        <v>-45</v>
      </c>
      <c r="AD42" s="215">
        <f t="shared" si="34"/>
        <v>-539</v>
      </c>
      <c r="AE42" s="214">
        <f t="shared" si="14"/>
        <v>-90</v>
      </c>
      <c r="AF42" s="215">
        <f t="shared" si="35"/>
        <v>-449</v>
      </c>
      <c r="AI42" s="444" t="str">
        <f t="shared" si="40"/>
        <v>NC</v>
      </c>
      <c r="AJ42" s="216" t="str">
        <f t="shared" si="41"/>
        <v xml:space="preserve">                        - PGAR</v>
      </c>
      <c r="AK42" s="495">
        <f t="shared" si="15"/>
        <v>144046</v>
      </c>
      <c r="AL42" s="434"/>
      <c r="AM42" s="215">
        <f t="shared" si="42"/>
        <v>-539</v>
      </c>
      <c r="AN42" s="264">
        <v>-537</v>
      </c>
      <c r="AO42" s="264">
        <v>0</v>
      </c>
      <c r="AP42" s="215">
        <f t="shared" si="43"/>
        <v>-2</v>
      </c>
      <c r="AQ42" s="215">
        <f t="shared" si="44"/>
        <v>-539</v>
      </c>
      <c r="AR42"/>
      <c r="AS42" s="264">
        <v>0</v>
      </c>
      <c r="AT42" s="264">
        <v>0</v>
      </c>
      <c r="AU42" s="264">
        <v>0</v>
      </c>
      <c r="AV42" s="215">
        <f t="shared" si="45"/>
        <v>0</v>
      </c>
      <c r="AW42" s="215">
        <f t="shared" si="46"/>
        <v>0</v>
      </c>
      <c r="BO42" s="204"/>
      <c r="BP42" s="204"/>
    </row>
    <row r="43" spans="1:68" ht="12" customHeight="1" x14ac:dyDescent="0.2">
      <c r="A43" s="212" t="s">
        <v>381</v>
      </c>
      <c r="B43" s="428" t="s">
        <v>434</v>
      </c>
      <c r="C43" s="212"/>
      <c r="D43" s="200"/>
      <c r="E43" s="464">
        <v>144047</v>
      </c>
      <c r="F43" s="214">
        <v>0</v>
      </c>
      <c r="G43" s="214">
        <v>0</v>
      </c>
      <c r="H43" s="215">
        <f t="shared" si="30"/>
        <v>0</v>
      </c>
      <c r="I43" s="214">
        <v>0</v>
      </c>
      <c r="J43" s="215">
        <f t="shared" si="31"/>
        <v>0</v>
      </c>
      <c r="M43" s="434" t="str">
        <f t="shared" si="36"/>
        <v>NC</v>
      </c>
      <c r="N43" s="216" t="str">
        <f t="shared" si="37"/>
        <v xml:space="preserve">                        - Monsanto</v>
      </c>
      <c r="O43" s="434"/>
      <c r="P43" s="434"/>
      <c r="Q43" s="470">
        <f t="shared" si="32"/>
        <v>144047</v>
      </c>
      <c r="R43" s="215">
        <f t="shared" ref="R43:AC43" si="49">R112</f>
        <v>-53</v>
      </c>
      <c r="S43" s="215">
        <f t="shared" si="49"/>
        <v>-53</v>
      </c>
      <c r="T43" s="215">
        <f t="shared" si="49"/>
        <v>-53</v>
      </c>
      <c r="U43" s="215">
        <f t="shared" si="49"/>
        <v>-53</v>
      </c>
      <c r="V43" s="215">
        <f t="shared" si="49"/>
        <v>-53</v>
      </c>
      <c r="W43" s="215">
        <f t="shared" si="49"/>
        <v>-53</v>
      </c>
      <c r="X43" s="215">
        <f t="shared" si="49"/>
        <v>-53</v>
      </c>
      <c r="Y43" s="215">
        <f t="shared" si="49"/>
        <v>-52</v>
      </c>
      <c r="Z43" s="215">
        <f t="shared" si="49"/>
        <v>-53</v>
      </c>
      <c r="AA43" s="215">
        <f t="shared" si="49"/>
        <v>-53</v>
      </c>
      <c r="AB43" s="215">
        <f t="shared" si="49"/>
        <v>-52</v>
      </c>
      <c r="AC43" s="215">
        <f t="shared" si="49"/>
        <v>-53</v>
      </c>
      <c r="AD43" s="215">
        <f t="shared" si="34"/>
        <v>-634</v>
      </c>
      <c r="AE43" s="214">
        <f t="shared" si="14"/>
        <v>-106</v>
      </c>
      <c r="AF43" s="215">
        <f t="shared" si="35"/>
        <v>-528</v>
      </c>
      <c r="AI43" s="444" t="str">
        <f t="shared" si="40"/>
        <v>NC</v>
      </c>
      <c r="AJ43" s="216" t="str">
        <f t="shared" si="41"/>
        <v xml:space="preserve">                        - Monsanto</v>
      </c>
      <c r="AK43" s="495">
        <f t="shared" si="15"/>
        <v>144047</v>
      </c>
      <c r="AL43" s="434"/>
      <c r="AM43" s="215">
        <f t="shared" si="42"/>
        <v>-634</v>
      </c>
      <c r="AN43" s="264">
        <v>-632</v>
      </c>
      <c r="AO43" s="264">
        <v>0</v>
      </c>
      <c r="AP43" s="215">
        <f t="shared" si="43"/>
        <v>-2</v>
      </c>
      <c r="AQ43" s="215">
        <f t="shared" si="44"/>
        <v>-634</v>
      </c>
      <c r="AR43"/>
      <c r="AS43" s="264">
        <v>0</v>
      </c>
      <c r="AT43" s="264">
        <v>0</v>
      </c>
      <c r="AU43" s="264">
        <v>0</v>
      </c>
      <c r="AV43" s="215">
        <f t="shared" si="45"/>
        <v>0</v>
      </c>
      <c r="AW43" s="215">
        <f t="shared" si="46"/>
        <v>0</v>
      </c>
      <c r="BO43" s="204"/>
      <c r="BP43" s="204"/>
    </row>
    <row r="44" spans="1:68" ht="12" customHeight="1" x14ac:dyDescent="0.2">
      <c r="A44" s="212" t="s">
        <v>381</v>
      </c>
      <c r="B44" s="428" t="s">
        <v>435</v>
      </c>
      <c r="C44" s="212"/>
      <c r="D44" s="200"/>
      <c r="E44" s="464">
        <v>144048</v>
      </c>
      <c r="F44" s="214">
        <v>0</v>
      </c>
      <c r="G44" s="214">
        <v>0</v>
      </c>
      <c r="H44" s="215">
        <f t="shared" si="30"/>
        <v>0</v>
      </c>
      <c r="I44" s="214">
        <v>0</v>
      </c>
      <c r="J44" s="215">
        <f t="shared" si="31"/>
        <v>0</v>
      </c>
      <c r="M44" s="434" t="str">
        <f t="shared" si="36"/>
        <v>NC</v>
      </c>
      <c r="N44" s="216" t="str">
        <f t="shared" si="37"/>
        <v xml:space="preserve">                        - JJCC</v>
      </c>
      <c r="O44" s="434"/>
      <c r="P44" s="434"/>
      <c r="Q44" s="470">
        <f t="shared" si="32"/>
        <v>144048</v>
      </c>
      <c r="R44" s="215">
        <f t="shared" ref="R44:AC44" si="50">R116</f>
        <v>-11</v>
      </c>
      <c r="S44" s="215">
        <f t="shared" si="50"/>
        <v>-11</v>
      </c>
      <c r="T44" s="215">
        <f t="shared" si="50"/>
        <v>-11</v>
      </c>
      <c r="U44" s="215">
        <f t="shared" si="50"/>
        <v>-11</v>
      </c>
      <c r="V44" s="215">
        <f t="shared" si="50"/>
        <v>-11</v>
      </c>
      <c r="W44" s="215">
        <f t="shared" si="50"/>
        <v>-11</v>
      </c>
      <c r="X44" s="215">
        <f t="shared" si="50"/>
        <v>-11</v>
      </c>
      <c r="Y44" s="215">
        <f t="shared" si="50"/>
        <v>-11</v>
      </c>
      <c r="Z44" s="215">
        <f t="shared" si="50"/>
        <v>-10</v>
      </c>
      <c r="AA44" s="215">
        <f t="shared" si="50"/>
        <v>-11</v>
      </c>
      <c r="AB44" s="215">
        <f t="shared" si="50"/>
        <v>-11</v>
      </c>
      <c r="AC44" s="215">
        <f t="shared" si="50"/>
        <v>-10</v>
      </c>
      <c r="AD44" s="215">
        <f t="shared" si="34"/>
        <v>-130</v>
      </c>
      <c r="AE44" s="214">
        <f t="shared" si="14"/>
        <v>-22</v>
      </c>
      <c r="AF44" s="215">
        <f t="shared" si="35"/>
        <v>-108</v>
      </c>
      <c r="AI44" s="444" t="str">
        <f t="shared" si="40"/>
        <v>NC</v>
      </c>
      <c r="AJ44" s="216" t="str">
        <f t="shared" si="41"/>
        <v xml:space="preserve">                        - JJCC</v>
      </c>
      <c r="AK44" s="495">
        <f t="shared" si="15"/>
        <v>144048</v>
      </c>
      <c r="AL44" s="434"/>
      <c r="AM44" s="215">
        <f t="shared" si="42"/>
        <v>-130</v>
      </c>
      <c r="AN44" s="264">
        <v>-128</v>
      </c>
      <c r="AO44" s="264">
        <v>0</v>
      </c>
      <c r="AP44" s="215">
        <f t="shared" si="43"/>
        <v>-2</v>
      </c>
      <c r="AQ44" s="215">
        <f t="shared" si="44"/>
        <v>-130</v>
      </c>
      <c r="AR44"/>
      <c r="AS44" s="264">
        <v>0</v>
      </c>
      <c r="AT44" s="264">
        <v>0</v>
      </c>
      <c r="AU44" s="264">
        <v>0</v>
      </c>
      <c r="AV44" s="215">
        <f t="shared" si="45"/>
        <v>0</v>
      </c>
      <c r="AW44" s="215">
        <f t="shared" si="46"/>
        <v>0</v>
      </c>
      <c r="BO44" s="204"/>
      <c r="BP44" s="204"/>
    </row>
    <row r="45" spans="1:68" ht="12" customHeight="1" x14ac:dyDescent="0.2">
      <c r="A45" s="212" t="s">
        <v>381</v>
      </c>
      <c r="B45" s="428" t="s">
        <v>436</v>
      </c>
      <c r="C45" s="212"/>
      <c r="D45" s="200"/>
      <c r="E45" s="464" t="s">
        <v>437</v>
      </c>
      <c r="F45" s="214">
        <v>0</v>
      </c>
      <c r="G45" s="214">
        <v>0</v>
      </c>
      <c r="H45" s="215">
        <f t="shared" si="30"/>
        <v>0</v>
      </c>
      <c r="I45" s="214">
        <v>0</v>
      </c>
      <c r="J45" s="215">
        <f t="shared" si="31"/>
        <v>0</v>
      </c>
      <c r="M45" s="434" t="str">
        <f t="shared" si="36"/>
        <v>NC</v>
      </c>
      <c r="N45" s="216" t="str">
        <f t="shared" si="37"/>
        <v xml:space="preserve">                        - Extraordinary Environmental Costs</v>
      </c>
      <c r="O45" s="434"/>
      <c r="P45" s="434"/>
      <c r="Q45" s="470" t="str">
        <f t="shared" si="32"/>
        <v>144049</v>
      </c>
      <c r="R45" s="215">
        <f t="shared" ref="R45:AC45" si="51">R120</f>
        <v>-7</v>
      </c>
      <c r="S45" s="215">
        <f t="shared" si="51"/>
        <v>-7</v>
      </c>
      <c r="T45" s="215">
        <f t="shared" si="51"/>
        <v>-7</v>
      </c>
      <c r="U45" s="215">
        <f t="shared" si="51"/>
        <v>-7</v>
      </c>
      <c r="V45" s="215">
        <f t="shared" si="51"/>
        <v>-7</v>
      </c>
      <c r="W45" s="215">
        <f t="shared" si="51"/>
        <v>-7</v>
      </c>
      <c r="X45" s="215">
        <f t="shared" si="51"/>
        <v>-7</v>
      </c>
      <c r="Y45" s="215">
        <f t="shared" si="51"/>
        <v>-7</v>
      </c>
      <c r="Z45" s="215">
        <f t="shared" si="51"/>
        <v>-7</v>
      </c>
      <c r="AA45" s="215">
        <f t="shared" si="51"/>
        <v>-7</v>
      </c>
      <c r="AB45" s="215">
        <f t="shared" si="51"/>
        <v>-7</v>
      </c>
      <c r="AC45" s="215">
        <f t="shared" si="51"/>
        <v>-7</v>
      </c>
      <c r="AD45" s="215">
        <f t="shared" si="34"/>
        <v>-84</v>
      </c>
      <c r="AE45" s="214">
        <f t="shared" si="14"/>
        <v>-14</v>
      </c>
      <c r="AF45" s="215">
        <f t="shared" si="35"/>
        <v>-70</v>
      </c>
      <c r="AI45" s="444" t="str">
        <f t="shared" si="40"/>
        <v>NC</v>
      </c>
      <c r="AJ45" s="216" t="str">
        <f t="shared" si="41"/>
        <v xml:space="preserve">                        - Extraordinary Environmental Costs</v>
      </c>
      <c r="AK45" s="495" t="str">
        <f t="shared" si="15"/>
        <v>144049</v>
      </c>
      <c r="AL45" s="434"/>
      <c r="AM45" s="215">
        <f t="shared" si="42"/>
        <v>-84</v>
      </c>
      <c r="AN45" s="264">
        <v>-84</v>
      </c>
      <c r="AO45" s="264">
        <v>0</v>
      </c>
      <c r="AP45" s="215">
        <f t="shared" si="43"/>
        <v>0</v>
      </c>
      <c r="AQ45" s="215">
        <f t="shared" si="44"/>
        <v>-84</v>
      </c>
      <c r="AR45"/>
      <c r="AS45" s="264">
        <v>0</v>
      </c>
      <c r="AT45" s="264">
        <v>0</v>
      </c>
      <c r="AU45" s="264">
        <v>0</v>
      </c>
      <c r="AV45" s="215">
        <f t="shared" si="45"/>
        <v>0</v>
      </c>
      <c r="AW45" s="215">
        <f t="shared" si="46"/>
        <v>0</v>
      </c>
      <c r="BO45" s="204"/>
      <c r="BP45" s="204"/>
    </row>
    <row r="46" spans="1:68" ht="12" customHeight="1" x14ac:dyDescent="0.2">
      <c r="A46" s="212" t="s">
        <v>381</v>
      </c>
      <c r="B46" s="427" t="s">
        <v>525</v>
      </c>
      <c r="C46" s="218"/>
      <c r="D46" s="218" t="s">
        <v>395</v>
      </c>
      <c r="E46" s="464" t="s">
        <v>526</v>
      </c>
      <c r="F46" s="214">
        <v>0</v>
      </c>
      <c r="G46" s="214">
        <v>0</v>
      </c>
      <c r="H46" s="215">
        <f t="shared" si="30"/>
        <v>0</v>
      </c>
      <c r="I46" s="214">
        <v>0</v>
      </c>
      <c r="J46" s="215">
        <f t="shared" si="31"/>
        <v>0</v>
      </c>
      <c r="M46" s="434" t="str">
        <f>A46</f>
        <v>NC</v>
      </c>
      <c r="N46" s="216" t="str">
        <f>B46</f>
        <v>Book Gain / (Loss) on Asset Sales</v>
      </c>
      <c r="O46" s="434"/>
      <c r="P46" s="434"/>
      <c r="Q46" s="470" t="str">
        <f>E46</f>
        <v>151001</v>
      </c>
      <c r="R46" s="436">
        <f>SUM(OtherInc!C31:C32)</f>
        <v>0</v>
      </c>
      <c r="S46" s="436">
        <f>SUM(OtherInc!D31:D32)</f>
        <v>0</v>
      </c>
      <c r="T46" s="436">
        <f>SUM(OtherInc!E31:E32)</f>
        <v>0</v>
      </c>
      <c r="U46" s="436">
        <f>SUM(OtherInc!F31:F32)</f>
        <v>0</v>
      </c>
      <c r="V46" s="436">
        <f>SUM(OtherInc!G31:G32)</f>
        <v>0</v>
      </c>
      <c r="W46" s="436">
        <f>SUM(OtherInc!H31:H32)</f>
        <v>0</v>
      </c>
      <c r="X46" s="436">
        <f>SUM(OtherInc!I31:I32)</f>
        <v>0</v>
      </c>
      <c r="Y46" s="436">
        <f>SUM(OtherInc!J31:J32)</f>
        <v>0</v>
      </c>
      <c r="Z46" s="436">
        <f>SUM(OtherInc!K31:K32)</f>
        <v>0</v>
      </c>
      <c r="AA46" s="436">
        <f>SUM(OtherInc!L31:L32)</f>
        <v>0</v>
      </c>
      <c r="AB46" s="436">
        <f>SUM(OtherInc!M31:M32)</f>
        <v>0</v>
      </c>
      <c r="AC46" s="436">
        <f>SUM(OtherInc!N31:N32)</f>
        <v>0</v>
      </c>
      <c r="AD46" s="215">
        <f t="shared" si="34"/>
        <v>0</v>
      </c>
      <c r="AE46" s="214">
        <f t="shared" si="14"/>
        <v>0</v>
      </c>
      <c r="AF46" s="215">
        <f t="shared" si="35"/>
        <v>0</v>
      </c>
      <c r="AI46" s="444" t="str">
        <f>M46</f>
        <v>NC</v>
      </c>
      <c r="AJ46" s="216" t="str">
        <f>B46</f>
        <v>Book Gain / (Loss) on Asset Sales</v>
      </c>
      <c r="AK46" s="495" t="str">
        <f>E46</f>
        <v>151001</v>
      </c>
      <c r="AL46" s="434"/>
      <c r="AM46" s="215">
        <f>AD46</f>
        <v>0</v>
      </c>
      <c r="AN46" s="264">
        <v>-88</v>
      </c>
      <c r="AO46" s="264">
        <v>0</v>
      </c>
      <c r="AP46" s="215">
        <f>AM46-AN46</f>
        <v>88</v>
      </c>
      <c r="AQ46" s="215">
        <f>AM46-AO46</f>
        <v>0</v>
      </c>
      <c r="AR46"/>
      <c r="AS46" s="264">
        <v>0</v>
      </c>
      <c r="AT46" s="264">
        <v>0</v>
      </c>
      <c r="AU46" s="264">
        <v>0</v>
      </c>
      <c r="AV46" s="215">
        <f>AS46-AT46</f>
        <v>0</v>
      </c>
      <c r="AW46" s="215">
        <f>AS46-AU46</f>
        <v>0</v>
      </c>
      <c r="AX46" s="215"/>
      <c r="BO46" s="204"/>
      <c r="BP46" s="204"/>
    </row>
    <row r="47" spans="1:68" ht="12" customHeight="1" x14ac:dyDescent="0.2">
      <c r="A47" s="212" t="s">
        <v>381</v>
      </c>
      <c r="B47" s="427" t="s">
        <v>648</v>
      </c>
      <c r="C47" s="218"/>
      <c r="D47" s="218" t="s">
        <v>395</v>
      </c>
      <c r="E47" s="464" t="s">
        <v>527</v>
      </c>
      <c r="F47" s="214">
        <v>0</v>
      </c>
      <c r="G47" s="214">
        <v>0</v>
      </c>
      <c r="H47" s="215">
        <f t="shared" ref="H47:H58" si="52">F47-G47</f>
        <v>0</v>
      </c>
      <c r="I47" s="214">
        <v>0</v>
      </c>
      <c r="J47" s="215">
        <f t="shared" ref="J47:J58" si="53">H47-I47</f>
        <v>0</v>
      </c>
      <c r="M47" s="434" t="str">
        <f t="shared" si="36"/>
        <v>NC</v>
      </c>
      <c r="N47" s="216" t="str">
        <f t="shared" si="37"/>
        <v>Tax (G) / L on Asset Sales (Pyote ???, KN ???)</v>
      </c>
      <c r="O47" s="434"/>
      <c r="P47" s="434"/>
      <c r="Q47" s="470" t="str">
        <f t="shared" si="32"/>
        <v>151002</v>
      </c>
      <c r="R47" s="214">
        <v>0</v>
      </c>
      <c r="S47" s="214">
        <v>0</v>
      </c>
      <c r="T47" s="214">
        <v>0</v>
      </c>
      <c r="U47" s="214">
        <v>0</v>
      </c>
      <c r="V47" s="214">
        <v>0</v>
      </c>
      <c r="W47" s="214">
        <v>0</v>
      </c>
      <c r="X47" s="214">
        <v>0</v>
      </c>
      <c r="Y47" s="214">
        <v>0</v>
      </c>
      <c r="Z47" s="214">
        <v>0</v>
      </c>
      <c r="AA47" s="214">
        <v>0</v>
      </c>
      <c r="AB47" s="214">
        <f>-8286+8286</f>
        <v>0</v>
      </c>
      <c r="AC47" s="214">
        <f>-8286+8286</f>
        <v>0</v>
      </c>
      <c r="AD47" s="215">
        <f t="shared" ref="AD47:AD58" si="54">SUM(R47:AC47)</f>
        <v>0</v>
      </c>
      <c r="AE47" s="214">
        <f t="shared" si="14"/>
        <v>0</v>
      </c>
      <c r="AF47" s="215">
        <f t="shared" ref="AF47:AF58" si="55">AD47-AE47</f>
        <v>0</v>
      </c>
      <c r="AI47" s="444" t="str">
        <f t="shared" si="40"/>
        <v>NC</v>
      </c>
      <c r="AJ47" s="216" t="str">
        <f t="shared" si="41"/>
        <v>Tax (G) / L on Asset Sales (Pyote ???, KN ???)</v>
      </c>
      <c r="AK47" s="495" t="str">
        <f t="shared" si="15"/>
        <v>151002</v>
      </c>
      <c r="AL47" s="434"/>
      <c r="AM47" s="215">
        <f t="shared" si="42"/>
        <v>0</v>
      </c>
      <c r="AN47" s="264">
        <v>0</v>
      </c>
      <c r="AO47" s="264">
        <v>0</v>
      </c>
      <c r="AP47" s="215">
        <f t="shared" si="43"/>
        <v>0</v>
      </c>
      <c r="AQ47" s="215">
        <f t="shared" si="44"/>
        <v>0</v>
      </c>
      <c r="AR47"/>
      <c r="AS47" s="264">
        <v>0</v>
      </c>
      <c r="AT47" s="264">
        <v>0</v>
      </c>
      <c r="AU47" s="264">
        <v>0</v>
      </c>
      <c r="AV47" s="215">
        <f t="shared" si="45"/>
        <v>0</v>
      </c>
      <c r="AW47" s="215">
        <f t="shared" si="46"/>
        <v>0</v>
      </c>
      <c r="AX47" s="215"/>
      <c r="BO47" s="204"/>
      <c r="BP47" s="204"/>
    </row>
    <row r="48" spans="1:68" ht="12" customHeight="1" x14ac:dyDescent="0.2">
      <c r="A48" s="212" t="s">
        <v>381</v>
      </c>
      <c r="B48" s="427" t="s">
        <v>438</v>
      </c>
      <c r="C48" s="212"/>
      <c r="E48" s="212">
        <v>156005</v>
      </c>
      <c r="F48" s="214">
        <v>0</v>
      </c>
      <c r="G48" s="214">
        <v>0</v>
      </c>
      <c r="H48" s="215">
        <f t="shared" si="52"/>
        <v>0</v>
      </c>
      <c r="I48" s="214">
        <v>0</v>
      </c>
      <c r="J48" s="215">
        <f t="shared" si="53"/>
        <v>0</v>
      </c>
      <c r="M48" s="434" t="str">
        <f t="shared" si="36"/>
        <v>NC</v>
      </c>
      <c r="N48" s="216" t="str">
        <f t="shared" si="37"/>
        <v>Interest Income-Prod. Pmt. (TCR Prefiling Interest)</v>
      </c>
      <c r="O48" s="434"/>
      <c r="P48" s="434"/>
      <c r="Q48" s="470">
        <f t="shared" si="32"/>
        <v>156005</v>
      </c>
      <c r="R48" s="215">
        <f t="shared" ref="R48:AC48" si="56">R139</f>
        <v>-7</v>
      </c>
      <c r="S48" s="215">
        <f t="shared" si="56"/>
        <v>-7</v>
      </c>
      <c r="T48" s="215">
        <f t="shared" si="56"/>
        <v>-7</v>
      </c>
      <c r="U48" s="215">
        <f t="shared" si="56"/>
        <v>-7</v>
      </c>
      <c r="V48" s="215">
        <f t="shared" si="56"/>
        <v>-7</v>
      </c>
      <c r="W48" s="215">
        <f t="shared" si="56"/>
        <v>-7</v>
      </c>
      <c r="X48" s="215">
        <f t="shared" si="56"/>
        <v>-7</v>
      </c>
      <c r="Y48" s="215">
        <f t="shared" si="56"/>
        <v>-8</v>
      </c>
      <c r="Z48" s="215">
        <f t="shared" si="56"/>
        <v>-7</v>
      </c>
      <c r="AA48" s="215">
        <f t="shared" si="56"/>
        <v>-8</v>
      </c>
      <c r="AB48" s="215">
        <f t="shared" si="56"/>
        <v>-7</v>
      </c>
      <c r="AC48" s="215">
        <f t="shared" si="56"/>
        <v>-8</v>
      </c>
      <c r="AD48" s="215">
        <f t="shared" si="54"/>
        <v>-87</v>
      </c>
      <c r="AE48" s="214">
        <f t="shared" si="14"/>
        <v>-14</v>
      </c>
      <c r="AF48" s="215">
        <f t="shared" si="55"/>
        <v>-73</v>
      </c>
      <c r="AI48" s="444" t="str">
        <f t="shared" si="40"/>
        <v>NC</v>
      </c>
      <c r="AJ48" s="216" t="str">
        <f t="shared" si="41"/>
        <v>Interest Income-Prod. Pmt. (TCR Prefiling Interest)</v>
      </c>
      <c r="AK48" s="495">
        <f t="shared" si="15"/>
        <v>156005</v>
      </c>
      <c r="AL48" s="434"/>
      <c r="AM48" s="215">
        <f t="shared" si="42"/>
        <v>-87</v>
      </c>
      <c r="AN48" s="264">
        <v>-90</v>
      </c>
      <c r="AO48" s="264">
        <v>0</v>
      </c>
      <c r="AP48" s="215">
        <f t="shared" si="43"/>
        <v>3</v>
      </c>
      <c r="AQ48" s="215">
        <f t="shared" si="44"/>
        <v>-87</v>
      </c>
      <c r="AR48"/>
      <c r="AS48" s="264">
        <v>0</v>
      </c>
      <c r="AT48" s="264">
        <v>0</v>
      </c>
      <c r="AU48" s="264">
        <v>0</v>
      </c>
      <c r="AV48" s="215">
        <f t="shared" si="45"/>
        <v>0</v>
      </c>
      <c r="AW48" s="215">
        <f t="shared" si="46"/>
        <v>0</v>
      </c>
      <c r="BO48" s="204"/>
      <c r="BP48" s="204"/>
    </row>
    <row r="49" spans="1:68" ht="12" customHeight="1" x14ac:dyDescent="0.2">
      <c r="A49" s="212" t="s">
        <v>381</v>
      </c>
      <c r="B49" s="213" t="s">
        <v>439</v>
      </c>
      <c r="C49" s="212"/>
      <c r="D49" s="218" t="s">
        <v>395</v>
      </c>
      <c r="E49" s="212">
        <v>161007</v>
      </c>
      <c r="F49" s="214">
        <v>0</v>
      </c>
      <c r="G49" s="214">
        <v>0</v>
      </c>
      <c r="H49" s="215">
        <f t="shared" si="52"/>
        <v>0</v>
      </c>
      <c r="I49" s="214">
        <v>0</v>
      </c>
      <c r="J49" s="215">
        <f t="shared" si="53"/>
        <v>0</v>
      </c>
      <c r="M49" s="434" t="str">
        <f t="shared" si="36"/>
        <v>NC</v>
      </c>
      <c r="N49" s="216" t="str">
        <f t="shared" si="37"/>
        <v>Severance Benefit Deductions</v>
      </c>
      <c r="O49" s="434"/>
      <c r="P49" s="434"/>
      <c r="Q49" s="470">
        <f t="shared" si="32"/>
        <v>161007</v>
      </c>
      <c r="R49" s="215">
        <f t="shared" ref="R49:AC49" si="57">R140</f>
        <v>-38</v>
      </c>
      <c r="S49" s="215">
        <f t="shared" si="57"/>
        <v>-38</v>
      </c>
      <c r="T49" s="215">
        <f t="shared" si="57"/>
        <v>-38</v>
      </c>
      <c r="U49" s="215">
        <f t="shared" si="57"/>
        <v>-38</v>
      </c>
      <c r="V49" s="215">
        <f t="shared" si="57"/>
        <v>-38</v>
      </c>
      <c r="W49" s="215">
        <f t="shared" si="57"/>
        <v>-38</v>
      </c>
      <c r="X49" s="215">
        <f t="shared" si="57"/>
        <v>-38</v>
      </c>
      <c r="Y49" s="215">
        <f t="shared" si="57"/>
        <v>-38</v>
      </c>
      <c r="Z49" s="215">
        <f t="shared" si="57"/>
        <v>-38</v>
      </c>
      <c r="AA49" s="215">
        <f t="shared" si="57"/>
        <v>-38</v>
      </c>
      <c r="AB49" s="215">
        <f t="shared" si="57"/>
        <v>-38</v>
      </c>
      <c r="AC49" s="215">
        <f t="shared" si="57"/>
        <v>-37</v>
      </c>
      <c r="AD49" s="215">
        <f t="shared" si="54"/>
        <v>-455</v>
      </c>
      <c r="AE49" s="214">
        <f t="shared" si="14"/>
        <v>-76</v>
      </c>
      <c r="AF49" s="215">
        <f t="shared" si="55"/>
        <v>-379</v>
      </c>
      <c r="AG49" s="215"/>
      <c r="AH49" s="215"/>
      <c r="AI49" s="444" t="str">
        <f t="shared" si="40"/>
        <v>NC</v>
      </c>
      <c r="AJ49" s="216" t="str">
        <f t="shared" si="41"/>
        <v>Severance Benefit Deductions</v>
      </c>
      <c r="AK49" s="495">
        <f t="shared" si="15"/>
        <v>161007</v>
      </c>
      <c r="AL49" s="434"/>
      <c r="AM49" s="215">
        <f t="shared" si="42"/>
        <v>-455</v>
      </c>
      <c r="AN49" s="264">
        <v>-454</v>
      </c>
      <c r="AO49" s="264">
        <v>0</v>
      </c>
      <c r="AP49" s="215">
        <f t="shared" si="43"/>
        <v>-1</v>
      </c>
      <c r="AQ49" s="215">
        <f t="shared" si="44"/>
        <v>-455</v>
      </c>
      <c r="AR49"/>
      <c r="AS49" s="264">
        <v>0</v>
      </c>
      <c r="AT49" s="264">
        <v>0</v>
      </c>
      <c r="AU49" s="264">
        <v>0</v>
      </c>
      <c r="AV49" s="215">
        <f t="shared" si="45"/>
        <v>0</v>
      </c>
      <c r="AW49" s="215">
        <f t="shared" si="46"/>
        <v>0</v>
      </c>
      <c r="AX49" s="215"/>
      <c r="AY49" s="215"/>
      <c r="BO49" s="204"/>
      <c r="BP49" s="204"/>
    </row>
    <row r="50" spans="1:68" ht="12" customHeight="1" x14ac:dyDescent="0.2">
      <c r="A50" s="212" t="s">
        <v>381</v>
      </c>
      <c r="B50" s="213" t="s">
        <v>440</v>
      </c>
      <c r="C50" s="218"/>
      <c r="D50" s="218" t="s">
        <v>395</v>
      </c>
      <c r="E50" s="212">
        <v>163004</v>
      </c>
      <c r="F50" s="214">
        <v>0</v>
      </c>
      <c r="G50" s="214">
        <v>0</v>
      </c>
      <c r="H50" s="215">
        <f t="shared" si="52"/>
        <v>0</v>
      </c>
      <c r="I50" s="214">
        <v>0</v>
      </c>
      <c r="J50" s="215">
        <f t="shared" si="53"/>
        <v>0</v>
      </c>
      <c r="M50" s="434" t="str">
        <f t="shared" si="36"/>
        <v>NC</v>
      </c>
      <c r="N50" s="216" t="str">
        <f t="shared" si="37"/>
        <v>Insurance Reserve</v>
      </c>
      <c r="O50" s="434"/>
      <c r="P50" s="434"/>
      <c r="Q50" s="470">
        <f t="shared" si="32"/>
        <v>163004</v>
      </c>
      <c r="R50" s="493">
        <v>0</v>
      </c>
      <c r="S50" s="493">
        <v>0</v>
      </c>
      <c r="T50" s="493">
        <v>0</v>
      </c>
      <c r="U50" s="493">
        <v>0</v>
      </c>
      <c r="V50" s="493">
        <v>0</v>
      </c>
      <c r="W50" s="493">
        <v>0</v>
      </c>
      <c r="X50" s="493">
        <v>0</v>
      </c>
      <c r="Y50" s="493">
        <v>0</v>
      </c>
      <c r="Z50" s="493">
        <v>0</v>
      </c>
      <c r="AA50" s="493">
        <v>0</v>
      </c>
      <c r="AB50" s="493">
        <v>0</v>
      </c>
      <c r="AC50" s="493">
        <v>0</v>
      </c>
      <c r="AD50" s="215">
        <f t="shared" si="54"/>
        <v>0</v>
      </c>
      <c r="AE50" s="214">
        <f t="shared" si="14"/>
        <v>0</v>
      </c>
      <c r="AF50" s="215">
        <f t="shared" si="55"/>
        <v>0</v>
      </c>
      <c r="AI50" s="444" t="str">
        <f t="shared" si="40"/>
        <v>NC</v>
      </c>
      <c r="AJ50" s="216" t="str">
        <f t="shared" si="41"/>
        <v>Insurance Reserve</v>
      </c>
      <c r="AK50" s="495">
        <f t="shared" si="15"/>
        <v>163004</v>
      </c>
      <c r="AL50" s="434"/>
      <c r="AM50" s="215">
        <f t="shared" si="42"/>
        <v>0</v>
      </c>
      <c r="AN50" s="264">
        <v>0</v>
      </c>
      <c r="AO50" s="264">
        <v>0</v>
      </c>
      <c r="AP50" s="215">
        <f t="shared" si="43"/>
        <v>0</v>
      </c>
      <c r="AQ50" s="215">
        <f t="shared" si="44"/>
        <v>0</v>
      </c>
      <c r="AR50"/>
      <c r="AS50" s="264">
        <v>0</v>
      </c>
      <c r="AT50" s="264">
        <v>0</v>
      </c>
      <c r="AU50" s="264">
        <v>0</v>
      </c>
      <c r="AV50" s="215">
        <f t="shared" si="45"/>
        <v>0</v>
      </c>
      <c r="AW50" s="215">
        <f t="shared" si="46"/>
        <v>0</v>
      </c>
      <c r="AX50" s="215"/>
      <c r="BO50" s="204"/>
      <c r="BP50" s="204"/>
    </row>
    <row r="51" spans="1:68" ht="12" customHeight="1" x14ac:dyDescent="0.2">
      <c r="A51" s="212" t="s">
        <v>381</v>
      </c>
      <c r="B51" s="427" t="s">
        <v>537</v>
      </c>
      <c r="C51" s="218"/>
      <c r="D51" s="218" t="s">
        <v>395</v>
      </c>
      <c r="E51" s="222">
        <v>164043</v>
      </c>
      <c r="F51" s="214">
        <v>0</v>
      </c>
      <c r="G51" s="214">
        <v>0</v>
      </c>
      <c r="H51" s="215">
        <f t="shared" si="52"/>
        <v>0</v>
      </c>
      <c r="I51" s="214">
        <v>0</v>
      </c>
      <c r="J51" s="215">
        <f t="shared" si="53"/>
        <v>0</v>
      </c>
      <c r="M51" s="434" t="str">
        <f t="shared" si="36"/>
        <v>NC</v>
      </c>
      <c r="N51" s="216" t="str">
        <f t="shared" si="37"/>
        <v>Other Revenue Reserves ( )</v>
      </c>
      <c r="O51" s="434"/>
      <c r="P51" s="434" t="str">
        <f>D51</f>
        <v>L</v>
      </c>
      <c r="Q51" s="470">
        <f t="shared" si="32"/>
        <v>164043</v>
      </c>
      <c r="R51" s="214">
        <v>0</v>
      </c>
      <c r="S51" s="214">
        <v>0</v>
      </c>
      <c r="T51" s="214">
        <v>0</v>
      </c>
      <c r="U51" s="214">
        <v>0</v>
      </c>
      <c r="V51" s="214">
        <v>0</v>
      </c>
      <c r="W51" s="214">
        <v>0</v>
      </c>
      <c r="X51" s="214">
        <v>0</v>
      </c>
      <c r="Y51" s="214">
        <v>0</v>
      </c>
      <c r="Z51" s="214">
        <v>0</v>
      </c>
      <c r="AA51" s="214">
        <v>0</v>
      </c>
      <c r="AB51" s="214">
        <v>0</v>
      </c>
      <c r="AC51" s="214">
        <v>0</v>
      </c>
      <c r="AD51" s="215">
        <f t="shared" si="54"/>
        <v>0</v>
      </c>
      <c r="AE51" s="214">
        <f t="shared" si="14"/>
        <v>0</v>
      </c>
      <c r="AF51" s="215">
        <f t="shared" si="55"/>
        <v>0</v>
      </c>
      <c r="AI51" s="444" t="str">
        <f t="shared" si="40"/>
        <v>NC</v>
      </c>
      <c r="AJ51" s="216" t="str">
        <f t="shared" si="41"/>
        <v>Other Revenue Reserves ( )</v>
      </c>
      <c r="AK51" s="495">
        <f t="shared" si="15"/>
        <v>164043</v>
      </c>
      <c r="AL51" s="434"/>
      <c r="AM51" s="215">
        <f t="shared" si="42"/>
        <v>0</v>
      </c>
      <c r="AN51" s="264">
        <v>0</v>
      </c>
      <c r="AO51" s="264">
        <v>0</v>
      </c>
      <c r="AP51" s="215">
        <f t="shared" si="43"/>
        <v>0</v>
      </c>
      <c r="AQ51" s="215">
        <f t="shared" si="44"/>
        <v>0</v>
      </c>
      <c r="AR51"/>
      <c r="AS51" s="264">
        <v>0</v>
      </c>
      <c r="AT51" s="264">
        <v>0</v>
      </c>
      <c r="AU51" s="264">
        <v>0</v>
      </c>
      <c r="AV51" s="215">
        <f t="shared" si="45"/>
        <v>0</v>
      </c>
      <c r="AW51" s="215">
        <f t="shared" si="46"/>
        <v>0</v>
      </c>
      <c r="BO51" s="204"/>
      <c r="BP51" s="204"/>
    </row>
    <row r="52" spans="1:68" ht="12" customHeight="1" x14ac:dyDescent="0.2">
      <c r="A52" s="212" t="s">
        <v>381</v>
      </c>
      <c r="B52" s="428" t="s">
        <v>881</v>
      </c>
      <c r="C52" s="218"/>
      <c r="D52" s="218"/>
      <c r="E52" s="212">
        <v>172003</v>
      </c>
      <c r="F52" s="214">
        <v>0</v>
      </c>
      <c r="G52" s="214">
        <v>0</v>
      </c>
      <c r="H52" s="215">
        <f t="shared" si="52"/>
        <v>0</v>
      </c>
      <c r="I52" s="214">
        <v>0</v>
      </c>
      <c r="J52" s="215">
        <f t="shared" si="53"/>
        <v>0</v>
      </c>
      <c r="M52" s="434" t="str">
        <f t="shared" si="36"/>
        <v>NC</v>
      </c>
      <c r="N52" s="216" t="str">
        <f t="shared" si="37"/>
        <v>Computer Conversion (Y2K) Costs Deferral /Recovery</v>
      </c>
      <c r="O52" s="434"/>
      <c r="P52" s="434"/>
      <c r="Q52" s="470">
        <f t="shared" si="32"/>
        <v>172003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X52" s="264">
        <v>0</v>
      </c>
      <c r="Y52" s="264">
        <v>0</v>
      </c>
      <c r="Z52" s="264">
        <v>0</v>
      </c>
      <c r="AA52" s="264">
        <v>0</v>
      </c>
      <c r="AB52" s="214">
        <v>0</v>
      </c>
      <c r="AC52" s="264">
        <v>0</v>
      </c>
      <c r="AD52" s="215">
        <f t="shared" si="54"/>
        <v>0</v>
      </c>
      <c r="AE52" s="214">
        <f t="shared" si="14"/>
        <v>0</v>
      </c>
      <c r="AF52" s="215">
        <f t="shared" si="55"/>
        <v>0</v>
      </c>
      <c r="AI52" s="444" t="str">
        <f t="shared" si="40"/>
        <v>NC</v>
      </c>
      <c r="AJ52" s="216" t="str">
        <f t="shared" si="41"/>
        <v>Computer Conversion (Y2K) Costs Deferral /Recovery</v>
      </c>
      <c r="AK52" s="495">
        <f>E52</f>
        <v>172003</v>
      </c>
      <c r="AL52" s="434"/>
      <c r="AM52" s="215">
        <f t="shared" si="42"/>
        <v>0</v>
      </c>
      <c r="AN52" s="264">
        <v>0</v>
      </c>
      <c r="AO52" s="264">
        <v>0</v>
      </c>
      <c r="AP52" s="215">
        <f t="shared" si="43"/>
        <v>0</v>
      </c>
      <c r="AQ52" s="215">
        <f t="shared" si="44"/>
        <v>0</v>
      </c>
      <c r="AR52"/>
      <c r="AS52" s="264">
        <v>0</v>
      </c>
      <c r="AT52" s="264">
        <v>0</v>
      </c>
      <c r="AU52" s="264">
        <v>0</v>
      </c>
      <c r="AV52" s="215">
        <f t="shared" si="45"/>
        <v>0</v>
      </c>
      <c r="AW52" s="215">
        <f t="shared" si="46"/>
        <v>0</v>
      </c>
      <c r="BO52" s="204"/>
      <c r="BP52" s="204"/>
    </row>
    <row r="53" spans="1:68" ht="12" customHeight="1" x14ac:dyDescent="0.2">
      <c r="A53" s="212" t="s">
        <v>381</v>
      </c>
      <c r="B53" s="428" t="s">
        <v>441</v>
      </c>
      <c r="C53" s="212"/>
      <c r="D53" s="218" t="s">
        <v>395</v>
      </c>
      <c r="E53" s="222">
        <v>174007</v>
      </c>
      <c r="F53" s="214">
        <v>0</v>
      </c>
      <c r="G53" s="214">
        <v>0</v>
      </c>
      <c r="H53" s="215">
        <f t="shared" si="52"/>
        <v>0</v>
      </c>
      <c r="I53" s="214">
        <v>0</v>
      </c>
      <c r="J53" s="215">
        <f t="shared" si="53"/>
        <v>0</v>
      </c>
      <c r="M53" s="434" t="str">
        <f t="shared" si="36"/>
        <v>NC</v>
      </c>
      <c r="N53" s="216" t="str">
        <f t="shared" si="37"/>
        <v>PCB Cleanup Costs</v>
      </c>
      <c r="O53" s="434"/>
      <c r="P53" s="434"/>
      <c r="Q53" s="470">
        <f t="shared" si="32"/>
        <v>174007</v>
      </c>
      <c r="R53" s="214">
        <v>0</v>
      </c>
      <c r="S53" s="214">
        <v>0</v>
      </c>
      <c r="T53" s="214">
        <v>0</v>
      </c>
      <c r="U53" s="214">
        <v>0</v>
      </c>
      <c r="V53" s="214">
        <v>0</v>
      </c>
      <c r="W53" s="214">
        <v>0</v>
      </c>
      <c r="X53" s="214">
        <v>0</v>
      </c>
      <c r="Y53" s="214">
        <v>0</v>
      </c>
      <c r="Z53" s="214">
        <v>0</v>
      </c>
      <c r="AA53" s="214">
        <v>0</v>
      </c>
      <c r="AB53" s="214">
        <v>0</v>
      </c>
      <c r="AC53" s="214">
        <v>0</v>
      </c>
      <c r="AD53" s="215">
        <f t="shared" si="54"/>
        <v>0</v>
      </c>
      <c r="AE53" s="214">
        <f t="shared" si="14"/>
        <v>0</v>
      </c>
      <c r="AF53" s="215">
        <f t="shared" si="55"/>
        <v>0</v>
      </c>
      <c r="AI53" s="444" t="str">
        <f t="shared" si="40"/>
        <v>NC</v>
      </c>
      <c r="AJ53" s="216" t="str">
        <f t="shared" si="41"/>
        <v>PCB Cleanup Costs</v>
      </c>
      <c r="AK53" s="495">
        <f t="shared" si="15"/>
        <v>174007</v>
      </c>
      <c r="AL53" s="434"/>
      <c r="AM53" s="215">
        <f t="shared" si="42"/>
        <v>0</v>
      </c>
      <c r="AN53" s="264">
        <v>0</v>
      </c>
      <c r="AO53" s="264">
        <v>0</v>
      </c>
      <c r="AP53" s="215">
        <f t="shared" si="43"/>
        <v>0</v>
      </c>
      <c r="AQ53" s="215">
        <f t="shared" si="44"/>
        <v>0</v>
      </c>
      <c r="AR53"/>
      <c r="AS53" s="264">
        <v>0</v>
      </c>
      <c r="AT53" s="264">
        <v>0</v>
      </c>
      <c r="AU53" s="264">
        <v>0</v>
      </c>
      <c r="AV53" s="215">
        <f t="shared" si="45"/>
        <v>0</v>
      </c>
      <c r="AW53" s="215">
        <f t="shared" si="46"/>
        <v>0</v>
      </c>
      <c r="BO53" s="204"/>
      <c r="BP53" s="204"/>
    </row>
    <row r="54" spans="1:68" ht="12" customHeight="1" x14ac:dyDescent="0.2">
      <c r="A54" s="212" t="s">
        <v>381</v>
      </c>
      <c r="B54" s="213" t="s">
        <v>442</v>
      </c>
      <c r="C54" s="218"/>
      <c r="D54" s="218" t="s">
        <v>395</v>
      </c>
      <c r="E54" s="464">
        <v>174011</v>
      </c>
      <c r="F54" s="214">
        <v>0</v>
      </c>
      <c r="G54" s="214">
        <v>0</v>
      </c>
      <c r="H54" s="215">
        <f t="shared" si="52"/>
        <v>0</v>
      </c>
      <c r="I54" s="214">
        <v>0</v>
      </c>
      <c r="J54" s="215">
        <f t="shared" si="53"/>
        <v>0</v>
      </c>
      <c r="M54" s="434" t="str">
        <f t="shared" si="36"/>
        <v>NC</v>
      </c>
      <c r="N54" s="216" t="str">
        <f t="shared" si="37"/>
        <v>Pipe Recoat Costs</v>
      </c>
      <c r="O54" s="434"/>
      <c r="P54" s="434" t="str">
        <f>D54</f>
        <v>L</v>
      </c>
      <c r="Q54" s="470">
        <f t="shared" si="32"/>
        <v>174011</v>
      </c>
      <c r="R54" s="436">
        <f>-'Fuel-Depr-OtherTax'!C20</f>
        <v>-17</v>
      </c>
      <c r="S54" s="436">
        <f>-'Fuel-Depr-OtherTax'!D20</f>
        <v>-17</v>
      </c>
      <c r="T54" s="436">
        <f>-'Fuel-Depr-OtherTax'!E20</f>
        <v>-17</v>
      </c>
      <c r="U54" s="436">
        <f>-'Fuel-Depr-OtherTax'!F20</f>
        <v>-17</v>
      </c>
      <c r="V54" s="436">
        <f>-'Fuel-Depr-OtherTax'!G20</f>
        <v>-17</v>
      </c>
      <c r="W54" s="436">
        <f>-'Fuel-Depr-OtherTax'!H20</f>
        <v>-17</v>
      </c>
      <c r="X54" s="436">
        <f>-'Fuel-Depr-OtherTax'!I20</f>
        <v>-17</v>
      </c>
      <c r="Y54" s="436">
        <f>-'Fuel-Depr-OtherTax'!J20</f>
        <v>-17</v>
      </c>
      <c r="Z54" s="436">
        <f>-'Fuel-Depr-OtherTax'!K20</f>
        <v>-17</v>
      </c>
      <c r="AA54" s="436">
        <f>-'Fuel-Depr-OtherTax'!L20</f>
        <v>-17</v>
      </c>
      <c r="AB54" s="436">
        <f>-'Fuel-Depr-OtherTax'!M20</f>
        <v>-17</v>
      </c>
      <c r="AC54" s="436">
        <f>-'Fuel-Depr-OtherTax'!N20</f>
        <v>-17</v>
      </c>
      <c r="AD54" s="215">
        <f t="shared" si="54"/>
        <v>-204</v>
      </c>
      <c r="AE54" s="214">
        <f t="shared" si="14"/>
        <v>-34</v>
      </c>
      <c r="AF54" s="215">
        <f t="shared" si="55"/>
        <v>-170</v>
      </c>
      <c r="AI54" s="444" t="str">
        <f t="shared" si="40"/>
        <v>NC</v>
      </c>
      <c r="AJ54" s="216" t="str">
        <f t="shared" si="41"/>
        <v>Pipe Recoat Costs</v>
      </c>
      <c r="AK54" s="495">
        <f t="shared" si="15"/>
        <v>174011</v>
      </c>
      <c r="AL54" s="216"/>
      <c r="AM54" s="215">
        <f t="shared" si="42"/>
        <v>-204</v>
      </c>
      <c r="AN54" s="264">
        <v>100</v>
      </c>
      <c r="AO54" s="264">
        <v>0</v>
      </c>
      <c r="AP54" s="215">
        <f t="shared" si="43"/>
        <v>-304</v>
      </c>
      <c r="AQ54" s="215">
        <f t="shared" si="44"/>
        <v>-204</v>
      </c>
      <c r="AR54"/>
      <c r="AS54" s="264">
        <v>0</v>
      </c>
      <c r="AT54" s="264">
        <v>0</v>
      </c>
      <c r="AU54" s="264">
        <v>0</v>
      </c>
      <c r="AV54" s="215">
        <f t="shared" si="45"/>
        <v>0</v>
      </c>
      <c r="AW54" s="215">
        <f t="shared" si="46"/>
        <v>0</v>
      </c>
      <c r="AX54" s="215"/>
      <c r="BO54" s="204"/>
      <c r="BP54" s="204"/>
    </row>
    <row r="55" spans="1:68" ht="12" customHeight="1" x14ac:dyDescent="0.2">
      <c r="A55" s="212" t="s">
        <v>381</v>
      </c>
      <c r="B55" s="213" t="s">
        <v>443</v>
      </c>
      <c r="C55" s="218"/>
      <c r="D55" s="200"/>
      <c r="E55" s="464">
        <v>174014</v>
      </c>
      <c r="F55" s="214">
        <v>0</v>
      </c>
      <c r="G55" s="214">
        <v>0</v>
      </c>
      <c r="H55" s="215">
        <f t="shared" si="52"/>
        <v>0</v>
      </c>
      <c r="I55" s="214">
        <v>0</v>
      </c>
      <c r="J55" s="215">
        <f t="shared" si="53"/>
        <v>0</v>
      </c>
      <c r="M55" s="434" t="str">
        <f t="shared" si="36"/>
        <v>NC</v>
      </c>
      <c r="N55" s="216" t="str">
        <f t="shared" si="37"/>
        <v>Monsanto Litigation</v>
      </c>
      <c r="O55" s="434"/>
      <c r="P55" s="434"/>
      <c r="Q55" s="470">
        <f t="shared" si="32"/>
        <v>174014</v>
      </c>
      <c r="R55" s="214">
        <v>0</v>
      </c>
      <c r="S55" s="214">
        <v>0</v>
      </c>
      <c r="T55" s="214">
        <v>0</v>
      </c>
      <c r="U55" s="214">
        <v>0</v>
      </c>
      <c r="V55" s="214">
        <v>0</v>
      </c>
      <c r="W55" s="214">
        <v>0</v>
      </c>
      <c r="X55" s="214">
        <v>0</v>
      </c>
      <c r="Y55" s="214">
        <v>0</v>
      </c>
      <c r="Z55" s="214">
        <v>0</v>
      </c>
      <c r="AA55" s="214">
        <v>0</v>
      </c>
      <c r="AB55" s="214">
        <v>0</v>
      </c>
      <c r="AC55" s="214">
        <v>0</v>
      </c>
      <c r="AD55" s="215">
        <f t="shared" si="54"/>
        <v>0</v>
      </c>
      <c r="AE55" s="214">
        <f t="shared" si="14"/>
        <v>0</v>
      </c>
      <c r="AF55" s="215">
        <f t="shared" si="55"/>
        <v>0</v>
      </c>
      <c r="AI55" s="444" t="str">
        <f t="shared" si="40"/>
        <v>NC</v>
      </c>
      <c r="AJ55" s="216" t="str">
        <f t="shared" si="41"/>
        <v>Monsanto Litigation</v>
      </c>
      <c r="AK55" s="495">
        <f t="shared" si="15"/>
        <v>174014</v>
      </c>
      <c r="AL55" s="216"/>
      <c r="AM55" s="215">
        <f t="shared" si="42"/>
        <v>0</v>
      </c>
      <c r="AN55" s="264">
        <v>0</v>
      </c>
      <c r="AO55" s="264">
        <v>0</v>
      </c>
      <c r="AP55" s="215">
        <f t="shared" si="43"/>
        <v>0</v>
      </c>
      <c r="AQ55" s="215">
        <f t="shared" si="44"/>
        <v>0</v>
      </c>
      <c r="AR55"/>
      <c r="AS55" s="264">
        <v>0</v>
      </c>
      <c r="AT55" s="264">
        <v>0</v>
      </c>
      <c r="AU55" s="264">
        <v>0</v>
      </c>
      <c r="AV55" s="215">
        <f t="shared" si="45"/>
        <v>0</v>
      </c>
      <c r="AW55" s="215">
        <f t="shared" si="46"/>
        <v>0</v>
      </c>
      <c r="AX55" s="215"/>
      <c r="BO55" s="204"/>
      <c r="BP55" s="204"/>
    </row>
    <row r="56" spans="1:68" ht="12" customHeight="1" x14ac:dyDescent="0.2">
      <c r="A56" s="212" t="s">
        <v>381</v>
      </c>
      <c r="B56" s="427" t="s">
        <v>1</v>
      </c>
      <c r="C56" s="218"/>
      <c r="D56" s="200"/>
      <c r="E56" s="464">
        <v>176003</v>
      </c>
      <c r="F56" s="214">
        <v>0</v>
      </c>
      <c r="G56" s="214">
        <v>0</v>
      </c>
      <c r="H56" s="215">
        <f t="shared" si="52"/>
        <v>0</v>
      </c>
      <c r="I56" s="214">
        <v>0</v>
      </c>
      <c r="J56" s="215">
        <f t="shared" si="53"/>
        <v>0</v>
      </c>
      <c r="M56" s="434" t="str">
        <f t="shared" si="36"/>
        <v>NC</v>
      </c>
      <c r="N56" s="216" t="str">
        <f t="shared" si="37"/>
        <v>Bad Debt Expense / TIS Adjustments for Jan. &amp; Feb.</v>
      </c>
      <c r="O56" s="434"/>
      <c r="P56" s="434"/>
      <c r="Q56" s="470">
        <f t="shared" si="32"/>
        <v>176003</v>
      </c>
      <c r="R56" s="214">
        <v>0</v>
      </c>
      <c r="S56" s="214">
        <v>0</v>
      </c>
      <c r="T56" s="214">
        <v>0</v>
      </c>
      <c r="U56" s="214">
        <v>0</v>
      </c>
      <c r="V56" s="214">
        <v>0</v>
      </c>
      <c r="W56" s="214">
        <v>0</v>
      </c>
      <c r="X56" s="214">
        <v>0</v>
      </c>
      <c r="Y56" s="214">
        <v>0</v>
      </c>
      <c r="Z56" s="214">
        <v>0</v>
      </c>
      <c r="AA56" s="214">
        <v>0</v>
      </c>
      <c r="AB56" s="214">
        <v>0</v>
      </c>
      <c r="AC56" s="214">
        <v>0</v>
      </c>
      <c r="AD56" s="215">
        <f t="shared" si="54"/>
        <v>0</v>
      </c>
      <c r="AE56" s="214">
        <f t="shared" si="14"/>
        <v>0</v>
      </c>
      <c r="AF56" s="215">
        <f t="shared" si="55"/>
        <v>0</v>
      </c>
      <c r="AI56" s="444" t="str">
        <f t="shared" si="40"/>
        <v>NC</v>
      </c>
      <c r="AJ56" s="216" t="str">
        <f t="shared" si="41"/>
        <v>Bad Debt Expense / TIS Adjustments for Jan. &amp; Feb.</v>
      </c>
      <c r="AK56" s="495">
        <f t="shared" si="15"/>
        <v>176003</v>
      </c>
      <c r="AL56" s="216"/>
      <c r="AM56" s="215">
        <f t="shared" si="42"/>
        <v>0</v>
      </c>
      <c r="AN56" s="264">
        <v>0</v>
      </c>
      <c r="AO56" s="264">
        <v>0</v>
      </c>
      <c r="AP56" s="215">
        <f t="shared" si="43"/>
        <v>0</v>
      </c>
      <c r="AQ56" s="215">
        <f t="shared" si="44"/>
        <v>0</v>
      </c>
      <c r="AR56"/>
      <c r="AS56" s="264">
        <v>0</v>
      </c>
      <c r="AT56" s="264">
        <v>0</v>
      </c>
      <c r="AU56" s="264">
        <v>0</v>
      </c>
      <c r="AV56" s="215">
        <f t="shared" si="45"/>
        <v>0</v>
      </c>
      <c r="AW56" s="215">
        <f t="shared" si="46"/>
        <v>0</v>
      </c>
      <c r="AX56" s="215"/>
      <c r="BO56" s="204"/>
      <c r="BP56" s="204"/>
    </row>
    <row r="57" spans="1:68" ht="12" customHeight="1" x14ac:dyDescent="0.2">
      <c r="A57" s="212" t="s">
        <v>381</v>
      </c>
      <c r="B57" s="213" t="s">
        <v>444</v>
      </c>
      <c r="C57" s="218"/>
      <c r="D57"/>
      <c r="E57" s="212">
        <v>177038</v>
      </c>
      <c r="F57" s="214">
        <v>0</v>
      </c>
      <c r="G57" s="214">
        <v>0</v>
      </c>
      <c r="H57" s="215">
        <f t="shared" si="52"/>
        <v>0</v>
      </c>
      <c r="I57" s="214">
        <v>0</v>
      </c>
      <c r="J57" s="215">
        <f t="shared" si="53"/>
        <v>0</v>
      </c>
      <c r="M57" s="434" t="str">
        <f t="shared" si="36"/>
        <v>NC</v>
      </c>
      <c r="N57" s="216" t="str">
        <f t="shared" si="37"/>
        <v>Operation Information Costs</v>
      </c>
      <c r="O57" s="434"/>
      <c r="P57"/>
      <c r="Q57" s="470">
        <f t="shared" si="32"/>
        <v>177038</v>
      </c>
      <c r="R57" s="492">
        <f t="shared" ref="R57:AC57" si="58">R141</f>
        <v>0</v>
      </c>
      <c r="S57" s="492">
        <f t="shared" si="58"/>
        <v>0</v>
      </c>
      <c r="T57" s="492">
        <f t="shared" si="58"/>
        <v>0</v>
      </c>
      <c r="U57" s="492">
        <f t="shared" si="58"/>
        <v>0</v>
      </c>
      <c r="V57" s="492">
        <f t="shared" si="58"/>
        <v>0</v>
      </c>
      <c r="W57" s="492">
        <f t="shared" si="58"/>
        <v>0</v>
      </c>
      <c r="X57" s="492">
        <f t="shared" si="58"/>
        <v>0</v>
      </c>
      <c r="Y57" s="492">
        <f t="shared" si="58"/>
        <v>0</v>
      </c>
      <c r="Z57" s="492">
        <f t="shared" si="58"/>
        <v>0</v>
      </c>
      <c r="AA57" s="492">
        <f t="shared" si="58"/>
        <v>0</v>
      </c>
      <c r="AB57" s="492">
        <f t="shared" si="58"/>
        <v>0</v>
      </c>
      <c r="AC57" s="492">
        <f t="shared" si="58"/>
        <v>0</v>
      </c>
      <c r="AD57" s="215">
        <f t="shared" si="54"/>
        <v>0</v>
      </c>
      <c r="AE57" s="214">
        <f t="shared" si="14"/>
        <v>0</v>
      </c>
      <c r="AF57" s="215">
        <f t="shared" si="55"/>
        <v>0</v>
      </c>
      <c r="AG57" s="217"/>
      <c r="AI57" s="444" t="str">
        <f t="shared" si="40"/>
        <v>NC</v>
      </c>
      <c r="AJ57" s="216" t="str">
        <f t="shared" si="41"/>
        <v>Operation Information Costs</v>
      </c>
      <c r="AK57" s="495">
        <f t="shared" si="15"/>
        <v>177038</v>
      </c>
      <c r="AL57" s="434"/>
      <c r="AM57" s="215">
        <f t="shared" si="42"/>
        <v>0</v>
      </c>
      <c r="AN57" s="264">
        <v>-57</v>
      </c>
      <c r="AO57" s="264">
        <v>0</v>
      </c>
      <c r="AP57" s="215">
        <f t="shared" si="43"/>
        <v>57</v>
      </c>
      <c r="AQ57" s="215">
        <f t="shared" si="44"/>
        <v>0</v>
      </c>
      <c r="AR57"/>
      <c r="AS57" s="264">
        <v>0</v>
      </c>
      <c r="AT57" s="264">
        <v>0</v>
      </c>
      <c r="AU57" s="264">
        <v>0</v>
      </c>
      <c r="AV57" s="215">
        <f t="shared" si="45"/>
        <v>0</v>
      </c>
      <c r="AW57" s="215">
        <f t="shared" si="46"/>
        <v>0</v>
      </c>
      <c r="AX57" s="215"/>
      <c r="BO57" s="204"/>
      <c r="BP57" s="204"/>
    </row>
    <row r="58" spans="1:68" ht="12" customHeight="1" x14ac:dyDescent="0.2">
      <c r="A58" s="212" t="s">
        <v>381</v>
      </c>
      <c r="B58" s="427" t="s">
        <v>445</v>
      </c>
      <c r="C58" s="212"/>
      <c r="E58" s="212" t="s">
        <v>379</v>
      </c>
      <c r="F58" s="265">
        <v>0</v>
      </c>
      <c r="G58" s="265">
        <v>0</v>
      </c>
      <c r="H58" s="223">
        <f t="shared" si="52"/>
        <v>0</v>
      </c>
      <c r="I58" s="265">
        <v>0</v>
      </c>
      <c r="J58" s="223">
        <f t="shared" si="53"/>
        <v>0</v>
      </c>
      <c r="M58" s="434" t="str">
        <f t="shared" si="36"/>
        <v>NC</v>
      </c>
      <c r="N58" s="216" t="str">
        <f t="shared" si="37"/>
        <v xml:space="preserve">Other </v>
      </c>
      <c r="O58" s="434"/>
      <c r="P58" s="216"/>
      <c r="Q58" s="471"/>
      <c r="R58" s="265">
        <v>0</v>
      </c>
      <c r="S58" s="265">
        <v>0</v>
      </c>
      <c r="T58" s="265">
        <v>0</v>
      </c>
      <c r="U58" s="265">
        <v>0</v>
      </c>
      <c r="V58" s="265">
        <v>0</v>
      </c>
      <c r="W58" s="265">
        <v>0</v>
      </c>
      <c r="X58" s="265">
        <v>0</v>
      </c>
      <c r="Y58" s="265">
        <v>0</v>
      </c>
      <c r="Z58" s="265">
        <v>0</v>
      </c>
      <c r="AA58" s="265">
        <v>0</v>
      </c>
      <c r="AB58" s="265">
        <v>0</v>
      </c>
      <c r="AC58" s="265">
        <v>0</v>
      </c>
      <c r="AD58" s="223">
        <f t="shared" si="54"/>
        <v>0</v>
      </c>
      <c r="AE58" s="265">
        <f t="shared" si="14"/>
        <v>0</v>
      </c>
      <c r="AF58" s="223">
        <f t="shared" si="55"/>
        <v>0</v>
      </c>
      <c r="AG58" s="215"/>
      <c r="AI58" s="444" t="str">
        <f t="shared" si="40"/>
        <v>NC</v>
      </c>
      <c r="AJ58" s="216" t="str">
        <f t="shared" si="41"/>
        <v xml:space="preserve">Other </v>
      </c>
      <c r="AK58" s="495" t="str">
        <f t="shared" si="15"/>
        <v>??????</v>
      </c>
      <c r="AL58" s="434"/>
      <c r="AM58" s="223">
        <f t="shared" si="42"/>
        <v>0</v>
      </c>
      <c r="AN58" s="266">
        <v>0</v>
      </c>
      <c r="AO58" s="266">
        <v>0</v>
      </c>
      <c r="AP58" s="223">
        <f t="shared" si="43"/>
        <v>0</v>
      </c>
      <c r="AQ58" s="223">
        <f t="shared" si="44"/>
        <v>0</v>
      </c>
      <c r="AR58"/>
      <c r="AS58" s="266">
        <v>0</v>
      </c>
      <c r="AT58" s="266">
        <v>0</v>
      </c>
      <c r="AU58" s="266">
        <v>0</v>
      </c>
      <c r="AV58" s="223">
        <f t="shared" si="45"/>
        <v>0</v>
      </c>
      <c r="AW58" s="223">
        <f t="shared" si="46"/>
        <v>0</v>
      </c>
      <c r="BO58" s="204"/>
      <c r="BP58" s="204"/>
    </row>
    <row r="59" spans="1:68" ht="3.95" customHeight="1" x14ac:dyDescent="0.2">
      <c r="AE59" s="214"/>
      <c r="AR59"/>
      <c r="BO59" s="204"/>
      <c r="BP59" s="204"/>
    </row>
    <row r="60" spans="1:68" ht="12" customHeight="1" x14ac:dyDescent="0.2">
      <c r="B60" s="427" t="s">
        <v>446</v>
      </c>
      <c r="C60" s="218"/>
      <c r="D60" s="200"/>
      <c r="F60" s="215">
        <f>SUM(F9:F10)</f>
        <v>0</v>
      </c>
      <c r="G60" s="215">
        <f>SUM(G9:G10)</f>
        <v>0</v>
      </c>
      <c r="H60" s="215">
        <f>SUM(H9:H10)</f>
        <v>0</v>
      </c>
      <c r="I60" s="215">
        <f>SUM(I9:I10)</f>
        <v>0</v>
      </c>
      <c r="J60" s="215">
        <f>SUM(J9:J10)</f>
        <v>0</v>
      </c>
      <c r="N60" s="216" t="str">
        <f>B60</f>
        <v xml:space="preserve">    Total - Current</v>
      </c>
      <c r="O60" s="434"/>
      <c r="P60" s="200"/>
      <c r="R60" s="215">
        <f t="shared" ref="R60:AF60" si="59">SUM(R9:R10)</f>
        <v>0</v>
      </c>
      <c r="S60" s="215">
        <f t="shared" si="59"/>
        <v>0</v>
      </c>
      <c r="T60" s="215">
        <f t="shared" si="59"/>
        <v>0</v>
      </c>
      <c r="U60" s="215">
        <f t="shared" si="59"/>
        <v>0</v>
      </c>
      <c r="V60" s="215">
        <f t="shared" si="59"/>
        <v>0</v>
      </c>
      <c r="W60" s="215">
        <f t="shared" si="59"/>
        <v>0</v>
      </c>
      <c r="X60" s="215">
        <f t="shared" si="59"/>
        <v>0</v>
      </c>
      <c r="Y60" s="215">
        <f t="shared" si="59"/>
        <v>0</v>
      </c>
      <c r="Z60" s="215">
        <f t="shared" si="59"/>
        <v>0</v>
      </c>
      <c r="AA60" s="215">
        <f t="shared" si="59"/>
        <v>0</v>
      </c>
      <c r="AB60" s="215">
        <f t="shared" si="59"/>
        <v>0</v>
      </c>
      <c r="AC60" s="215">
        <f t="shared" si="59"/>
        <v>0</v>
      </c>
      <c r="AD60" s="215">
        <f t="shared" si="59"/>
        <v>0</v>
      </c>
      <c r="AE60" s="215">
        <f t="shared" si="59"/>
        <v>0</v>
      </c>
      <c r="AF60" s="215">
        <f t="shared" si="59"/>
        <v>0</v>
      </c>
      <c r="AG60" s="217"/>
      <c r="AH60" s="217"/>
      <c r="AJ60" s="216" t="str">
        <f>B60</f>
        <v xml:space="preserve">    Total - Current</v>
      </c>
      <c r="AK60" s="434"/>
      <c r="AL60" s="200"/>
      <c r="AM60" s="215">
        <f>AD60</f>
        <v>0</v>
      </c>
      <c r="AN60" s="215">
        <f>SUM(AN9:AN10)</f>
        <v>0</v>
      </c>
      <c r="AO60" s="215">
        <f>SUM(AO9:AO10)</f>
        <v>0</v>
      </c>
      <c r="AP60" s="215">
        <f>SUM(AP9:AP10)</f>
        <v>0</v>
      </c>
      <c r="AQ60" s="215">
        <f>SUM(AQ9:AQ10)</f>
        <v>0</v>
      </c>
      <c r="AR60"/>
      <c r="AS60" s="215">
        <f>SUM(AS9:AS10)</f>
        <v>0</v>
      </c>
      <c r="AT60" s="215">
        <f>SUM(AT9:AT10)</f>
        <v>0</v>
      </c>
      <c r="AU60" s="215">
        <f>SUM(AU9:AU10)</f>
        <v>0</v>
      </c>
      <c r="AV60" s="215">
        <f>SUM(AV9:AV10)</f>
        <v>0</v>
      </c>
      <c r="AW60" s="215">
        <f>SUM(AW9:AW10)</f>
        <v>0</v>
      </c>
      <c r="AX60" s="215"/>
      <c r="BO60" s="204"/>
      <c r="BP60" s="204"/>
    </row>
    <row r="61" spans="1:68" ht="12" customHeight="1" x14ac:dyDescent="0.2">
      <c r="B61" s="427" t="s">
        <v>447</v>
      </c>
      <c r="C61" s="218"/>
      <c r="D61" s="200"/>
      <c r="F61" s="223">
        <f>SUM(F11:F58)</f>
        <v>0</v>
      </c>
      <c r="G61" s="223">
        <f>SUM(G11:G58)</f>
        <v>0</v>
      </c>
      <c r="H61" s="223">
        <f>SUM(H11:H58)</f>
        <v>0</v>
      </c>
      <c r="I61" s="223">
        <f>SUM(I11:I58)</f>
        <v>0</v>
      </c>
      <c r="J61" s="223">
        <f>SUM(J11:J58)</f>
        <v>0</v>
      </c>
      <c r="N61" s="216" t="str">
        <f>B61</f>
        <v xml:space="preserve">            - Noncurrent</v>
      </c>
      <c r="O61" s="434"/>
      <c r="P61" s="200"/>
      <c r="R61" s="223">
        <f t="shared" ref="R61:AF61" si="60">SUM(R11:R58)</f>
        <v>1231</v>
      </c>
      <c r="S61" s="223">
        <f t="shared" si="60"/>
        <v>1297</v>
      </c>
      <c r="T61" s="223">
        <f t="shared" si="60"/>
        <v>1267</v>
      </c>
      <c r="U61" s="223">
        <f t="shared" si="60"/>
        <v>1391</v>
      </c>
      <c r="V61" s="223">
        <f t="shared" si="60"/>
        <v>1530</v>
      </c>
      <c r="W61" s="223">
        <f t="shared" si="60"/>
        <v>1603</v>
      </c>
      <c r="X61" s="223">
        <f t="shared" si="60"/>
        <v>1616</v>
      </c>
      <c r="Y61" s="223">
        <f t="shared" si="60"/>
        <v>1613</v>
      </c>
      <c r="Z61" s="223">
        <f t="shared" si="60"/>
        <v>2971</v>
      </c>
      <c r="AA61" s="223">
        <f t="shared" si="60"/>
        <v>1537</v>
      </c>
      <c r="AB61" s="223">
        <f t="shared" si="60"/>
        <v>85</v>
      </c>
      <c r="AC61" s="223">
        <f t="shared" si="60"/>
        <v>1580</v>
      </c>
      <c r="AD61" s="223">
        <f t="shared" si="60"/>
        <v>17721</v>
      </c>
      <c r="AE61" s="223">
        <f t="shared" si="60"/>
        <v>2528</v>
      </c>
      <c r="AF61" s="223">
        <f t="shared" si="60"/>
        <v>15193</v>
      </c>
      <c r="AG61" s="217"/>
      <c r="AH61" s="217"/>
      <c r="AJ61" s="216" t="str">
        <f>B61</f>
        <v xml:space="preserve">            - Noncurrent</v>
      </c>
      <c r="AK61" s="434"/>
      <c r="AL61" s="200"/>
      <c r="AM61" s="223">
        <f>AD61</f>
        <v>17721</v>
      </c>
      <c r="AN61" s="223">
        <f>SUM(AN11:AN58)</f>
        <v>-2409</v>
      </c>
      <c r="AO61" s="223">
        <f>SUM(AO11:AO58)</f>
        <v>0</v>
      </c>
      <c r="AP61" s="223">
        <f>SUM(AP11:AP58)</f>
        <v>20130</v>
      </c>
      <c r="AQ61" s="223">
        <f>SUM(AQ11:AQ58)</f>
        <v>17721</v>
      </c>
      <c r="AR61"/>
      <c r="AS61" s="223">
        <f>SUM(AS11:AS58)</f>
        <v>0</v>
      </c>
      <c r="AT61" s="223">
        <f>SUM(AT11:AT58)</f>
        <v>0</v>
      </c>
      <c r="AU61" s="223">
        <f>SUM(AU11:AU58)</f>
        <v>0</v>
      </c>
      <c r="AV61" s="223">
        <f>SUM(AV11:AV58)</f>
        <v>0</v>
      </c>
      <c r="AW61" s="223">
        <f>SUM(AW11:AW58)</f>
        <v>0</v>
      </c>
      <c r="AX61" s="215"/>
      <c r="BO61" s="204"/>
      <c r="BP61" s="204"/>
    </row>
    <row r="62" spans="1:68" ht="3.95" customHeight="1" x14ac:dyDescent="0.2">
      <c r="F62" s="224"/>
      <c r="G62" s="224"/>
      <c r="H62" s="224"/>
      <c r="I62" s="224"/>
      <c r="J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M62" s="224"/>
      <c r="AN62" s="224"/>
      <c r="AO62" s="224"/>
      <c r="AP62" s="224"/>
      <c r="AQ62" s="224"/>
      <c r="AR62"/>
      <c r="AS62" s="224"/>
      <c r="AT62" s="224"/>
      <c r="AU62" s="224"/>
      <c r="AV62" s="224"/>
      <c r="AW62" s="224"/>
      <c r="BO62" s="204"/>
      <c r="BP62" s="204"/>
    </row>
    <row r="63" spans="1:68" ht="12" customHeight="1" x14ac:dyDescent="0.2">
      <c r="B63" s="427" t="s">
        <v>448</v>
      </c>
      <c r="C63" s="218"/>
      <c r="D63" s="200"/>
      <c r="F63" s="223">
        <f>F60+F61</f>
        <v>0</v>
      </c>
      <c r="G63" s="223">
        <f>G60+G61</f>
        <v>0</v>
      </c>
      <c r="H63" s="223">
        <f>H60+H61</f>
        <v>0</v>
      </c>
      <c r="I63" s="223">
        <f>I60+I61</f>
        <v>0</v>
      </c>
      <c r="J63" s="223">
        <f>J60+J61</f>
        <v>0</v>
      </c>
      <c r="N63" s="216" t="str">
        <f>B63</f>
        <v xml:space="preserve">        Total Basis</v>
      </c>
      <c r="O63" s="434"/>
      <c r="P63" s="200"/>
      <c r="R63" s="223">
        <f t="shared" ref="R63:AF63" si="61">R60+R61</f>
        <v>1231</v>
      </c>
      <c r="S63" s="223">
        <f t="shared" si="61"/>
        <v>1297</v>
      </c>
      <c r="T63" s="223">
        <f t="shared" si="61"/>
        <v>1267</v>
      </c>
      <c r="U63" s="223">
        <f t="shared" si="61"/>
        <v>1391</v>
      </c>
      <c r="V63" s="223">
        <f t="shared" si="61"/>
        <v>1530</v>
      </c>
      <c r="W63" s="223">
        <f t="shared" si="61"/>
        <v>1603</v>
      </c>
      <c r="X63" s="223">
        <f t="shared" si="61"/>
        <v>1616</v>
      </c>
      <c r="Y63" s="223">
        <f t="shared" si="61"/>
        <v>1613</v>
      </c>
      <c r="Z63" s="223">
        <f t="shared" si="61"/>
        <v>2971</v>
      </c>
      <c r="AA63" s="223">
        <f t="shared" si="61"/>
        <v>1537</v>
      </c>
      <c r="AB63" s="223">
        <f t="shared" si="61"/>
        <v>85</v>
      </c>
      <c r="AC63" s="223">
        <f t="shared" si="61"/>
        <v>1580</v>
      </c>
      <c r="AD63" s="223">
        <f t="shared" si="61"/>
        <v>17721</v>
      </c>
      <c r="AE63" s="223">
        <f t="shared" si="61"/>
        <v>2528</v>
      </c>
      <c r="AF63" s="223">
        <f t="shared" si="61"/>
        <v>15193</v>
      </c>
      <c r="AG63" s="217"/>
      <c r="AH63" s="217"/>
      <c r="AJ63" s="216" t="str">
        <f>B63</f>
        <v xml:space="preserve">        Total Basis</v>
      </c>
      <c r="AK63" s="434"/>
      <c r="AL63" s="200"/>
      <c r="AM63" s="223">
        <f>AM60+AM61</f>
        <v>17721</v>
      </c>
      <c r="AN63" s="223">
        <f>AN60+AN61</f>
        <v>-2409</v>
      </c>
      <c r="AO63" s="223">
        <f>AO60+AO61</f>
        <v>0</v>
      </c>
      <c r="AP63" s="223">
        <f>AP60+AP61</f>
        <v>20130</v>
      </c>
      <c r="AQ63" s="223">
        <f>AQ60+AQ61</f>
        <v>17721</v>
      </c>
      <c r="AR63"/>
      <c r="AS63" s="223">
        <f>AS60+AS61</f>
        <v>0</v>
      </c>
      <c r="AT63" s="223">
        <f>AT60+AT61</f>
        <v>0</v>
      </c>
      <c r="AU63" s="223">
        <f>AU60+AU61</f>
        <v>0</v>
      </c>
      <c r="AV63" s="223">
        <f>AV60+AV61</f>
        <v>0</v>
      </c>
      <c r="AW63" s="223">
        <f>AW60+AW61</f>
        <v>0</v>
      </c>
      <c r="AX63" s="215"/>
      <c r="BO63" s="204"/>
      <c r="BP63" s="204"/>
    </row>
    <row r="64" spans="1:68" ht="8.1" customHeight="1" x14ac:dyDescent="0.2">
      <c r="B64" s="200"/>
      <c r="C64" s="218"/>
      <c r="D64" s="200"/>
      <c r="N64" s="216"/>
      <c r="O64" s="434"/>
      <c r="P64" s="200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7"/>
      <c r="AH64" s="217"/>
      <c r="AJ64" s="200"/>
      <c r="AK64" s="218"/>
      <c r="AL64" s="200"/>
      <c r="AM64" s="215"/>
      <c r="AN64" s="215"/>
      <c r="AO64" s="215"/>
      <c r="AP64" s="215"/>
      <c r="AQ64" s="215"/>
      <c r="AR64"/>
      <c r="AS64" s="215"/>
      <c r="AT64" s="215"/>
      <c r="AU64" s="215"/>
      <c r="AV64" s="215"/>
      <c r="AW64" s="215"/>
      <c r="AX64" s="215"/>
      <c r="BO64" s="204"/>
      <c r="BP64" s="204"/>
    </row>
    <row r="65" spans="1:68" ht="12" customHeight="1" x14ac:dyDescent="0.2">
      <c r="B65" s="428" t="s">
        <v>449</v>
      </c>
      <c r="C65" s="212"/>
      <c r="F65" s="215">
        <f>ROUND(F60*0.3888,0)</f>
        <v>0</v>
      </c>
      <c r="G65" s="215">
        <f>ROUND(G60*0.3888,0)</f>
        <v>0</v>
      </c>
      <c r="H65" s="215">
        <f>F65-G65</f>
        <v>0</v>
      </c>
      <c r="I65" s="215">
        <f>ROUND(I60*0.3888,0)</f>
        <v>0</v>
      </c>
      <c r="J65" s="215">
        <f>H65-I65</f>
        <v>0</v>
      </c>
      <c r="N65" s="216" t="str">
        <f>B65</f>
        <v xml:space="preserve">    Current Deferred</v>
      </c>
      <c r="O65" s="434"/>
      <c r="P65" s="200"/>
      <c r="R65" s="215">
        <f>ROUND(R60*0.3888,0)</f>
        <v>0</v>
      </c>
      <c r="S65" s="215">
        <f t="shared" ref="S65:AC66" si="62">ROUND(S60*0.3888,0)</f>
        <v>0</v>
      </c>
      <c r="T65" s="215">
        <f t="shared" si="62"/>
        <v>0</v>
      </c>
      <c r="U65" s="215">
        <f t="shared" si="62"/>
        <v>0</v>
      </c>
      <c r="V65" s="215">
        <f t="shared" si="62"/>
        <v>0</v>
      </c>
      <c r="W65" s="215">
        <f t="shared" si="62"/>
        <v>0</v>
      </c>
      <c r="X65" s="215">
        <f t="shared" si="62"/>
        <v>0</v>
      </c>
      <c r="Y65" s="215">
        <f t="shared" si="62"/>
        <v>0</v>
      </c>
      <c r="Z65" s="215">
        <f t="shared" si="62"/>
        <v>0</v>
      </c>
      <c r="AA65" s="215">
        <f t="shared" si="62"/>
        <v>0</v>
      </c>
      <c r="AB65" s="215">
        <f t="shared" si="62"/>
        <v>0</v>
      </c>
      <c r="AC65" s="215">
        <f t="shared" si="62"/>
        <v>0</v>
      </c>
      <c r="AD65" s="215">
        <f>SUM(R65:AC65)</f>
        <v>0</v>
      </c>
      <c r="AE65" s="214">
        <f>SUM(R65:S65)</f>
        <v>0</v>
      </c>
      <c r="AF65" s="215">
        <f>AD65-AE65</f>
        <v>0</v>
      </c>
      <c r="AG65" s="217"/>
      <c r="AH65" s="217"/>
      <c r="AJ65" s="216" t="str">
        <f>B65</f>
        <v xml:space="preserve">    Current Deferred</v>
      </c>
      <c r="AK65" s="434"/>
      <c r="AL65" s="200"/>
      <c r="AM65" s="215">
        <f>AD65</f>
        <v>0</v>
      </c>
      <c r="AN65" s="215">
        <f>ROUND(AN60*0.399,0)</f>
        <v>0</v>
      </c>
      <c r="AO65" s="215">
        <f>ROUND(AO60*0.399,0)</f>
        <v>0</v>
      </c>
      <c r="AP65" s="215">
        <f>AM65-AN65</f>
        <v>0</v>
      </c>
      <c r="AQ65" s="215">
        <f>AM65-AO65</f>
        <v>0</v>
      </c>
      <c r="AR65"/>
      <c r="AS65" s="215">
        <f>ROUND(AS60*0.399,0)</f>
        <v>0</v>
      </c>
      <c r="AT65" s="215">
        <f>ROUND(AT60*0.399,0)</f>
        <v>0</v>
      </c>
      <c r="AU65" s="215">
        <f>ROUND(AU60*0.399,0)</f>
        <v>0</v>
      </c>
      <c r="AV65" s="215">
        <f>AS65-AT65</f>
        <v>0</v>
      </c>
      <c r="AW65" s="215">
        <f>AS65-AU65</f>
        <v>0</v>
      </c>
      <c r="AX65" s="215"/>
      <c r="BO65" s="204"/>
      <c r="BP65" s="204"/>
    </row>
    <row r="66" spans="1:68" ht="12" customHeight="1" x14ac:dyDescent="0.2">
      <c r="B66" s="428" t="s">
        <v>450</v>
      </c>
      <c r="C66" s="212"/>
      <c r="F66" s="515">
        <f>ROUND(F61*0.3888,0)</f>
        <v>0</v>
      </c>
      <c r="G66" s="515">
        <f>ROUND(G61*0.3888,0)</f>
        <v>0</v>
      </c>
      <c r="H66" s="223">
        <f>F66-G66</f>
        <v>0</v>
      </c>
      <c r="I66" s="515">
        <f>ROUND(I61*0.3888,0)</f>
        <v>0</v>
      </c>
      <c r="J66" s="223">
        <f>H66-I66</f>
        <v>0</v>
      </c>
      <c r="N66" s="216" t="str">
        <f>B66</f>
        <v xml:space="preserve">    Non-Current Deferred</v>
      </c>
      <c r="O66" s="434"/>
      <c r="P66" s="200"/>
      <c r="R66" s="223">
        <f>ROUND(R61*0.3888,0)</f>
        <v>479</v>
      </c>
      <c r="S66" s="223">
        <f t="shared" si="62"/>
        <v>504</v>
      </c>
      <c r="T66" s="223">
        <f t="shared" si="62"/>
        <v>493</v>
      </c>
      <c r="U66" s="223">
        <f t="shared" si="62"/>
        <v>541</v>
      </c>
      <c r="V66" s="223">
        <f t="shared" si="62"/>
        <v>595</v>
      </c>
      <c r="W66" s="223">
        <f t="shared" si="62"/>
        <v>623</v>
      </c>
      <c r="X66" s="223">
        <f t="shared" si="62"/>
        <v>628</v>
      </c>
      <c r="Y66" s="223">
        <f t="shared" si="62"/>
        <v>627</v>
      </c>
      <c r="Z66" s="223">
        <f t="shared" si="62"/>
        <v>1155</v>
      </c>
      <c r="AA66" s="223">
        <f t="shared" si="62"/>
        <v>598</v>
      </c>
      <c r="AB66" s="223">
        <f t="shared" si="62"/>
        <v>33</v>
      </c>
      <c r="AC66" s="223">
        <f t="shared" si="62"/>
        <v>614</v>
      </c>
      <c r="AD66" s="223">
        <f>SUM(R66:AC66)</f>
        <v>6890</v>
      </c>
      <c r="AE66" s="265">
        <f>SUM(R66:S66)</f>
        <v>983</v>
      </c>
      <c r="AF66" s="223">
        <f>AD66-AE66</f>
        <v>5907</v>
      </c>
      <c r="AG66" s="217"/>
      <c r="AH66" s="217"/>
      <c r="AJ66" s="216" t="str">
        <f>B66</f>
        <v xml:space="preserve">    Non-Current Deferred</v>
      </c>
      <c r="AK66" s="434"/>
      <c r="AL66" s="200"/>
      <c r="AM66" s="223">
        <f>AD66</f>
        <v>6890</v>
      </c>
      <c r="AN66" s="223">
        <f>ROUND(AN61*0.3888,0)</f>
        <v>-937</v>
      </c>
      <c r="AO66" s="223">
        <f>ROUND(AO61*0.3888,0)</f>
        <v>0</v>
      </c>
      <c r="AP66" s="223">
        <f>AM66-AN66</f>
        <v>7827</v>
      </c>
      <c r="AQ66" s="223">
        <f>AM66-AO66</f>
        <v>6890</v>
      </c>
      <c r="AR66"/>
      <c r="AS66" s="515">
        <f>ROUND(AS61*0.3905,0)</f>
        <v>0</v>
      </c>
      <c r="AT66" s="515">
        <f>ROUND(AT61*0.3905,0)</f>
        <v>0</v>
      </c>
      <c r="AU66" s="448">
        <f>ROUND(AU61*0.3905,0)</f>
        <v>0</v>
      </c>
      <c r="AV66" s="223">
        <f>AS66-AT66</f>
        <v>0</v>
      </c>
      <c r="AW66" s="223">
        <f>AS66-AU66</f>
        <v>0</v>
      </c>
      <c r="AX66" s="215"/>
      <c r="BO66" s="204"/>
      <c r="BP66" s="204"/>
    </row>
    <row r="67" spans="1:68" ht="3.95" customHeight="1" x14ac:dyDescent="0.2">
      <c r="N67" s="216"/>
      <c r="O67" s="434"/>
      <c r="P67" s="200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J67" s="200"/>
      <c r="AK67" s="218"/>
      <c r="AL67" s="200"/>
      <c r="AM67" s="215"/>
      <c r="AN67" s="215"/>
      <c r="AO67" s="215"/>
      <c r="AP67" s="215"/>
      <c r="AQ67" s="215"/>
      <c r="AR67"/>
      <c r="AS67" s="215"/>
      <c r="AT67" s="215"/>
      <c r="AU67" s="215"/>
      <c r="AV67" s="215"/>
      <c r="AW67" s="215"/>
      <c r="AX67" s="215"/>
      <c r="BO67" s="204"/>
      <c r="BP67" s="204"/>
    </row>
    <row r="68" spans="1:68" ht="12" customHeight="1" x14ac:dyDescent="0.2">
      <c r="B68" s="427" t="s">
        <v>451</v>
      </c>
      <c r="C68" s="218"/>
      <c r="D68" s="200"/>
      <c r="F68" s="215">
        <f>F65+F66</f>
        <v>0</v>
      </c>
      <c r="G68" s="215">
        <f>G65+G66</f>
        <v>0</v>
      </c>
      <c r="H68" s="215">
        <f>H65+H66</f>
        <v>0</v>
      </c>
      <c r="I68" s="215">
        <f>I65+I66</f>
        <v>0</v>
      </c>
      <c r="J68" s="215">
        <f>J65+J66</f>
        <v>0</v>
      </c>
      <c r="N68" s="216" t="str">
        <f>B68</f>
        <v xml:space="preserve">        Subtotal Deferred Tax</v>
      </c>
      <c r="O68" s="434"/>
      <c r="P68" s="200"/>
      <c r="R68" s="215">
        <f t="shared" ref="R68:AD68" si="63">ROUND(+R65+R66,0)</f>
        <v>479</v>
      </c>
      <c r="S68" s="215">
        <f t="shared" si="63"/>
        <v>504</v>
      </c>
      <c r="T68" s="215">
        <f t="shared" si="63"/>
        <v>493</v>
      </c>
      <c r="U68" s="215">
        <f t="shared" si="63"/>
        <v>541</v>
      </c>
      <c r="V68" s="215">
        <f t="shared" si="63"/>
        <v>595</v>
      </c>
      <c r="W68" s="215">
        <f t="shared" si="63"/>
        <v>623</v>
      </c>
      <c r="X68" s="215">
        <f t="shared" si="63"/>
        <v>628</v>
      </c>
      <c r="Y68" s="215">
        <f t="shared" si="63"/>
        <v>627</v>
      </c>
      <c r="Z68" s="215">
        <f t="shared" si="63"/>
        <v>1155</v>
      </c>
      <c r="AA68" s="215">
        <f t="shared" si="63"/>
        <v>598</v>
      </c>
      <c r="AB68" s="215">
        <f t="shared" si="63"/>
        <v>33</v>
      </c>
      <c r="AC68" s="215">
        <f t="shared" si="63"/>
        <v>614</v>
      </c>
      <c r="AD68" s="215">
        <f t="shared" si="63"/>
        <v>6890</v>
      </c>
      <c r="AE68" s="215">
        <f>AE65+AE66</f>
        <v>983</v>
      </c>
      <c r="AF68" s="215">
        <f>AF65+AF66</f>
        <v>5907</v>
      </c>
      <c r="AG68" s="217"/>
      <c r="AH68" s="217"/>
      <c r="AJ68" s="216" t="str">
        <f>B68</f>
        <v xml:space="preserve">        Subtotal Deferred Tax</v>
      </c>
      <c r="AK68" s="434"/>
      <c r="AL68" s="200"/>
      <c r="AM68" s="215">
        <f>AM65+AM66</f>
        <v>6890</v>
      </c>
      <c r="AN68" s="215">
        <f>+AN65+AN66</f>
        <v>-937</v>
      </c>
      <c r="AO68" s="215">
        <f>+AO65+AO66</f>
        <v>0</v>
      </c>
      <c r="AP68" s="215">
        <f>+AP65+AP66</f>
        <v>7827</v>
      </c>
      <c r="AQ68" s="215">
        <f>+AQ65+AQ66</f>
        <v>6890</v>
      </c>
      <c r="AR68"/>
      <c r="AS68" s="215">
        <f>+AS65+AS66</f>
        <v>0</v>
      </c>
      <c r="AT68" s="215">
        <f>+AT65+AT66</f>
        <v>0</v>
      </c>
      <c r="AU68" s="215">
        <f>+AU65+AU66</f>
        <v>0</v>
      </c>
      <c r="AV68" s="215">
        <f>+AV65+AV66</f>
        <v>0</v>
      </c>
      <c r="AW68" s="215">
        <f>+AW65+AW66</f>
        <v>0</v>
      </c>
      <c r="AX68" s="215"/>
      <c r="BI68" s="217"/>
      <c r="BO68" s="204"/>
      <c r="BP68" s="204"/>
    </row>
    <row r="69" spans="1:68" ht="12" customHeight="1" x14ac:dyDescent="0.2">
      <c r="B69" s="427"/>
      <c r="D69" s="200"/>
      <c r="F69" s="214"/>
      <c r="G69" s="214"/>
      <c r="H69" s="214"/>
      <c r="I69" s="214"/>
      <c r="J69" s="215"/>
      <c r="N69" s="216"/>
      <c r="O69" s="434"/>
      <c r="P69" s="200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J69" s="200"/>
      <c r="AK69" s="218"/>
      <c r="AL69" s="200"/>
      <c r="AM69" s="215"/>
      <c r="AN69" s="215"/>
      <c r="AO69" s="215"/>
      <c r="AP69" s="215"/>
      <c r="AQ69" s="215"/>
      <c r="AR69"/>
      <c r="AS69" s="215"/>
      <c r="AT69" s="215"/>
      <c r="AU69" s="215"/>
      <c r="AV69" s="215"/>
      <c r="AW69" s="215"/>
      <c r="AX69" s="215"/>
      <c r="BO69" s="204"/>
      <c r="BP69" s="204"/>
    </row>
    <row r="70" spans="1:68" ht="12" customHeight="1" x14ac:dyDescent="0.2">
      <c r="B70" s="429" t="s">
        <v>452</v>
      </c>
      <c r="C70" s="825"/>
      <c r="D70" s="200"/>
      <c r="F70" s="214"/>
      <c r="G70" s="214"/>
      <c r="H70" s="214"/>
      <c r="I70" s="214"/>
      <c r="J70" s="215"/>
      <c r="N70" s="225" t="str">
        <f t="shared" ref="N70:N79" si="64">B70</f>
        <v xml:space="preserve">Adjustments (Net of Tax) </v>
      </c>
      <c r="O70" s="819"/>
      <c r="P70" s="200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J70" s="225" t="str">
        <f t="shared" ref="AJ70:AJ79" si="65">B70</f>
        <v xml:space="preserve">Adjustments (Net of Tax) </v>
      </c>
      <c r="AK70" s="819"/>
      <c r="AL70" s="200"/>
      <c r="AM70" s="214"/>
      <c r="AN70" s="215"/>
      <c r="AO70" s="226"/>
      <c r="AP70" s="215"/>
      <c r="AQ70" s="215"/>
      <c r="AR70"/>
      <c r="AS70" s="215"/>
      <c r="AT70" s="215"/>
      <c r="AU70" s="226"/>
      <c r="AV70" s="215"/>
      <c r="AW70" s="215"/>
      <c r="AX70" s="215"/>
      <c r="BO70" s="204"/>
      <c r="BP70" s="204"/>
    </row>
    <row r="71" spans="1:68" ht="12" customHeight="1" x14ac:dyDescent="0.2">
      <c r="A71" s="212" t="s">
        <v>381</v>
      </c>
      <c r="B71" s="221" t="s">
        <v>453</v>
      </c>
      <c r="C71" s="218"/>
      <c r="F71" s="214">
        <v>0</v>
      </c>
      <c r="G71" s="214">
        <v>0</v>
      </c>
      <c r="H71" s="215">
        <f t="shared" ref="H71:H79" si="66">F71-G71</f>
        <v>0</v>
      </c>
      <c r="I71" s="214">
        <v>0</v>
      </c>
      <c r="J71" s="215">
        <f t="shared" ref="J71:J79" si="67">H71-I71</f>
        <v>0</v>
      </c>
      <c r="M71" s="434" t="str">
        <f t="shared" ref="M71:M79" si="68">A71</f>
        <v>NC</v>
      </c>
      <c r="N71" s="216" t="str">
        <f t="shared" si="64"/>
        <v>Miscellaneous / Rounding</v>
      </c>
      <c r="O71" s="434"/>
      <c r="R71" s="214">
        <v>0</v>
      </c>
      <c r="S71" s="214">
        <v>0</v>
      </c>
      <c r="T71" s="214">
        <v>0</v>
      </c>
      <c r="U71" s="214">
        <v>0</v>
      </c>
      <c r="V71" s="214">
        <v>0</v>
      </c>
      <c r="W71" s="214">
        <v>0</v>
      </c>
      <c r="X71" s="214">
        <v>0</v>
      </c>
      <c r="Y71" s="214">
        <v>0</v>
      </c>
      <c r="Z71" s="214">
        <v>0</v>
      </c>
      <c r="AA71" s="214">
        <v>0</v>
      </c>
      <c r="AB71" s="214">
        <v>0</v>
      </c>
      <c r="AC71" s="214">
        <v>0</v>
      </c>
      <c r="AD71" s="215">
        <f t="shared" ref="AD71:AD79" si="69">SUM(R71:AC71)</f>
        <v>0</v>
      </c>
      <c r="AE71" s="214">
        <f t="shared" ref="AE71:AE79" si="70">SUM(R71:S71)</f>
        <v>0</v>
      </c>
      <c r="AF71" s="215">
        <f t="shared" ref="AF71:AF79" si="71">AD71-AE71</f>
        <v>0</v>
      </c>
      <c r="AI71" s="196" t="str">
        <f t="shared" ref="AI71:AI79" si="72">M71</f>
        <v>NC</v>
      </c>
      <c r="AJ71" s="216" t="str">
        <f t="shared" si="65"/>
        <v>Miscellaneous / Rounding</v>
      </c>
      <c r="AK71" s="434"/>
      <c r="AM71" s="215">
        <f t="shared" ref="AM71:AM79" si="73">AD71</f>
        <v>0</v>
      </c>
      <c r="AN71" s="264">
        <v>0</v>
      </c>
      <c r="AO71" s="264">
        <v>0</v>
      </c>
      <c r="AP71" s="215">
        <f t="shared" ref="AP71:AP79" si="74">AM71-AN71</f>
        <v>0</v>
      </c>
      <c r="AQ71" s="215">
        <f t="shared" ref="AQ71:AQ79" si="75">AM71-AO71</f>
        <v>0</v>
      </c>
      <c r="AR71"/>
      <c r="AS71" s="264">
        <v>0</v>
      </c>
      <c r="AT71" s="264">
        <v>0</v>
      </c>
      <c r="AU71" s="264">
        <v>0</v>
      </c>
      <c r="AV71" s="215">
        <f t="shared" ref="AV71:AV79" si="76">AS71-AT71</f>
        <v>0</v>
      </c>
      <c r="AW71" s="215">
        <f t="shared" ref="AW71:AW79" si="77">AS71-AU71</f>
        <v>0</v>
      </c>
      <c r="BO71" s="204"/>
      <c r="BP71" s="204"/>
    </row>
    <row r="72" spans="1:68" ht="12" customHeight="1" x14ac:dyDescent="0.2">
      <c r="A72" s="212" t="s">
        <v>381</v>
      </c>
      <c r="B72" s="427" t="s">
        <v>454</v>
      </c>
      <c r="C72" s="218"/>
      <c r="F72" s="214">
        <v>0</v>
      </c>
      <c r="G72" s="214">
        <v>0</v>
      </c>
      <c r="H72" s="215">
        <f t="shared" si="66"/>
        <v>0</v>
      </c>
      <c r="I72" s="214">
        <v>0</v>
      </c>
      <c r="J72" s="215">
        <f t="shared" si="67"/>
        <v>0</v>
      </c>
      <c r="M72" s="434" t="str">
        <f t="shared" si="68"/>
        <v>NC</v>
      </c>
      <c r="N72" s="216" t="str">
        <f t="shared" si="64"/>
        <v>FAS 96 Present Value Adjustment</v>
      </c>
      <c r="O72" s="434"/>
      <c r="R72" s="436">
        <f>ROUND(-IntDeduct!C14*0.3888,0)</f>
        <v>0</v>
      </c>
      <c r="S72" s="436">
        <f>ROUND(-IntDeduct!D14*0.3888,0)</f>
        <v>0</v>
      </c>
      <c r="T72" s="436">
        <f>ROUND(-IntDeduct!E14*0.3888,0)</f>
        <v>0</v>
      </c>
      <c r="U72" s="436">
        <f>ROUND(-IntDeduct!F14*0.3888,0)</f>
        <v>0</v>
      </c>
      <c r="V72" s="436">
        <f>ROUND(-IntDeduct!G14*0.3888,0)</f>
        <v>0</v>
      </c>
      <c r="W72" s="436">
        <f>ROUND(-IntDeduct!H14*0.3888,0)</f>
        <v>0</v>
      </c>
      <c r="X72" s="436">
        <f>ROUND(-IntDeduct!I14*0.3888,0)</f>
        <v>0</v>
      </c>
      <c r="Y72" s="436">
        <f>ROUND(-IntDeduct!J14*0.3888,0)</f>
        <v>0</v>
      </c>
      <c r="Z72" s="436">
        <f>ROUND(-IntDeduct!K14*0.3888,0)</f>
        <v>0</v>
      </c>
      <c r="AA72" s="436">
        <f>ROUND(-IntDeduct!L14*0.3888,0)</f>
        <v>0</v>
      </c>
      <c r="AB72" s="436">
        <f>ROUND(-IntDeduct!M14*0.3888,0)</f>
        <v>0</v>
      </c>
      <c r="AC72" s="436">
        <f>ROUND(-IntDeduct!N14*0.3888,0)</f>
        <v>0</v>
      </c>
      <c r="AD72" s="215">
        <f t="shared" si="69"/>
        <v>0</v>
      </c>
      <c r="AE72" s="214">
        <f t="shared" si="70"/>
        <v>0</v>
      </c>
      <c r="AF72" s="215">
        <f t="shared" si="71"/>
        <v>0</v>
      </c>
      <c r="AI72" s="196" t="str">
        <f t="shared" si="72"/>
        <v>NC</v>
      </c>
      <c r="AJ72" s="216" t="str">
        <f t="shared" si="65"/>
        <v>FAS 96 Present Value Adjustment</v>
      </c>
      <c r="AK72" s="434"/>
      <c r="AM72" s="215">
        <f t="shared" si="73"/>
        <v>0</v>
      </c>
      <c r="AN72" s="264">
        <v>0</v>
      </c>
      <c r="AO72" s="264">
        <v>0</v>
      </c>
      <c r="AP72" s="215">
        <f t="shared" si="74"/>
        <v>0</v>
      </c>
      <c r="AQ72" s="215">
        <f t="shared" si="75"/>
        <v>0</v>
      </c>
      <c r="AR72"/>
      <c r="AS72" s="264">
        <v>0</v>
      </c>
      <c r="AT72" s="264">
        <v>0</v>
      </c>
      <c r="AU72" s="264">
        <v>0</v>
      </c>
      <c r="AV72" s="215">
        <f t="shared" si="76"/>
        <v>0</v>
      </c>
      <c r="AW72" s="215">
        <f t="shared" si="77"/>
        <v>0</v>
      </c>
      <c r="BO72" s="204"/>
      <c r="BP72" s="204"/>
    </row>
    <row r="73" spans="1:68" ht="12" customHeight="1" x14ac:dyDescent="0.2">
      <c r="A73" s="212" t="s">
        <v>381</v>
      </c>
      <c r="B73" s="427" t="s">
        <v>455</v>
      </c>
      <c r="C73" s="218"/>
      <c r="D73" s="200"/>
      <c r="F73" s="214">
        <v>-350</v>
      </c>
      <c r="G73" s="214">
        <v>-175</v>
      </c>
      <c r="H73" s="215">
        <f t="shared" si="66"/>
        <v>-175</v>
      </c>
      <c r="I73" s="214">
        <v>0</v>
      </c>
      <c r="J73" s="215">
        <f t="shared" si="67"/>
        <v>-175</v>
      </c>
      <c r="M73" s="434" t="str">
        <f t="shared" si="68"/>
        <v>NC</v>
      </c>
      <c r="N73" s="216" t="str">
        <f t="shared" si="64"/>
        <v>Company 92 (Fair Value Adjustment)</v>
      </c>
      <c r="O73" s="434"/>
      <c r="P73" s="200"/>
      <c r="R73" s="492">
        <f>ROUND(-'Fuel-Depr-OtherTax'!C24*0.35,0)</f>
        <v>-175</v>
      </c>
      <c r="S73" s="492">
        <f>ROUND(-'Fuel-Depr-OtherTax'!D24*0.35,0)</f>
        <v>-175</v>
      </c>
      <c r="T73" s="492">
        <f>ROUND(-'Fuel-Depr-OtherTax'!E24*0.35,0)</f>
        <v>-175</v>
      </c>
      <c r="U73" s="492">
        <f>ROUND(-'Fuel-Depr-OtherTax'!F24*0.35,0)</f>
        <v>-175</v>
      </c>
      <c r="V73" s="492">
        <f>ROUND(-'Fuel-Depr-OtherTax'!G24*0.35,0)</f>
        <v>-175</v>
      </c>
      <c r="W73" s="492">
        <f>ROUND(-'Fuel-Depr-OtherTax'!H24*0.35,0)</f>
        <v>-175</v>
      </c>
      <c r="X73" s="492">
        <f>ROUND(-'Fuel-Depr-OtherTax'!I24*0.35,0)</f>
        <v>-175</v>
      </c>
      <c r="Y73" s="492">
        <f>ROUND(-'Fuel-Depr-OtherTax'!J24*0.35,0)</f>
        <v>-175</v>
      </c>
      <c r="Z73" s="492">
        <f>ROUND(-'Fuel-Depr-OtherTax'!K24*0.35,0)</f>
        <v>-175</v>
      </c>
      <c r="AA73" s="492">
        <f>ROUND(-'Fuel-Depr-OtherTax'!L24*0.35,0)</f>
        <v>-175</v>
      </c>
      <c r="AB73" s="492">
        <f>ROUND(-'Fuel-Depr-OtherTax'!M24*0.35,0)</f>
        <v>-175</v>
      </c>
      <c r="AC73" s="492">
        <f>ROUND(-'Fuel-Depr-OtherTax'!N24*0.35,0)</f>
        <v>-175</v>
      </c>
      <c r="AD73" s="215">
        <f t="shared" si="69"/>
        <v>-2100</v>
      </c>
      <c r="AE73" s="214">
        <f t="shared" si="70"/>
        <v>-350</v>
      </c>
      <c r="AF73" s="215">
        <f t="shared" si="71"/>
        <v>-1750</v>
      </c>
      <c r="AH73" s="217"/>
      <c r="AI73" s="196" t="str">
        <f t="shared" si="72"/>
        <v>NC</v>
      </c>
      <c r="AJ73" s="216" t="str">
        <f t="shared" si="65"/>
        <v>Company 92 (Fair Value Adjustment)</v>
      </c>
      <c r="AK73" s="434"/>
      <c r="AL73" s="200"/>
      <c r="AM73" s="215">
        <f t="shared" si="73"/>
        <v>-2100</v>
      </c>
      <c r="AN73" s="264">
        <v>-2100</v>
      </c>
      <c r="AO73" s="264">
        <v>0</v>
      </c>
      <c r="AP73" s="215">
        <f t="shared" si="74"/>
        <v>0</v>
      </c>
      <c r="AQ73" s="215">
        <f t="shared" si="75"/>
        <v>-2100</v>
      </c>
      <c r="AR73"/>
      <c r="AS73" s="264">
        <v>0</v>
      </c>
      <c r="AT73" s="264">
        <v>0</v>
      </c>
      <c r="AU73" s="264">
        <v>0</v>
      </c>
      <c r="AV73" s="215">
        <f t="shared" si="76"/>
        <v>0</v>
      </c>
      <c r="AW73" s="215">
        <f t="shared" si="77"/>
        <v>0</v>
      </c>
      <c r="AX73" s="215"/>
      <c r="BO73" s="204"/>
      <c r="BP73" s="204"/>
    </row>
    <row r="74" spans="1:68" ht="12" customHeight="1" x14ac:dyDescent="0.2">
      <c r="A74" s="212" t="s">
        <v>381</v>
      </c>
      <c r="B74" s="427" t="s">
        <v>647</v>
      </c>
      <c r="C74" s="218"/>
      <c r="D74" s="500" t="s">
        <v>456</v>
      </c>
      <c r="E74" s="514"/>
      <c r="F74" s="214">
        <v>0</v>
      </c>
      <c r="G74" s="214">
        <v>0</v>
      </c>
      <c r="H74" s="215">
        <f t="shared" si="66"/>
        <v>0</v>
      </c>
      <c r="I74" s="214">
        <v>0</v>
      </c>
      <c r="J74" s="215">
        <f t="shared" si="67"/>
        <v>0</v>
      </c>
      <c r="M74" s="434" t="str">
        <f t="shared" si="68"/>
        <v>NC</v>
      </c>
      <c r="N74" s="216" t="str">
        <f t="shared" si="64"/>
        <v>Amended 1996-199? Tax Return Adjustments</v>
      </c>
      <c r="O74" s="434"/>
      <c r="P74" s="500" t="str">
        <f>D74</f>
        <v>Cash Flow Link</v>
      </c>
      <c r="Q74" s="501"/>
      <c r="R74" s="214">
        <v>0</v>
      </c>
      <c r="S74" s="214">
        <v>0</v>
      </c>
      <c r="T74" s="214">
        <v>0</v>
      </c>
      <c r="U74" s="214">
        <v>0</v>
      </c>
      <c r="V74" s="214">
        <v>0</v>
      </c>
      <c r="W74" s="214">
        <v>0</v>
      </c>
      <c r="X74" s="214">
        <v>0</v>
      </c>
      <c r="Y74" s="214">
        <v>0</v>
      </c>
      <c r="Z74" s="214">
        <v>0</v>
      </c>
      <c r="AA74" s="658">
        <v>0</v>
      </c>
      <c r="AB74" s="214">
        <v>0</v>
      </c>
      <c r="AC74" s="214">
        <v>0</v>
      </c>
      <c r="AD74" s="215">
        <f t="shared" si="69"/>
        <v>0</v>
      </c>
      <c r="AE74" s="214">
        <f t="shared" si="70"/>
        <v>0</v>
      </c>
      <c r="AF74" s="215">
        <f t="shared" si="71"/>
        <v>0</v>
      </c>
      <c r="AI74" s="196" t="str">
        <f t="shared" si="72"/>
        <v>NC</v>
      </c>
      <c r="AJ74" s="216" t="str">
        <f t="shared" si="65"/>
        <v>Amended 1996-199? Tax Return Adjustments</v>
      </c>
      <c r="AK74" s="434"/>
      <c r="AL74" s="216"/>
      <c r="AM74" s="215">
        <f t="shared" si="73"/>
        <v>0</v>
      </c>
      <c r="AN74" s="264">
        <v>0</v>
      </c>
      <c r="AO74" s="264">
        <v>0</v>
      </c>
      <c r="AP74" s="215">
        <f t="shared" si="74"/>
        <v>0</v>
      </c>
      <c r="AQ74" s="215">
        <f t="shared" si="75"/>
        <v>0</v>
      </c>
      <c r="AR74" s="200"/>
      <c r="AS74" s="264">
        <v>0</v>
      </c>
      <c r="AT74" s="264">
        <v>0</v>
      </c>
      <c r="AU74" s="264">
        <v>0</v>
      </c>
      <c r="AV74" s="215">
        <f t="shared" si="76"/>
        <v>0</v>
      </c>
      <c r="AW74" s="215">
        <f t="shared" si="77"/>
        <v>0</v>
      </c>
      <c r="AX74" s="215"/>
      <c r="BO74" s="204"/>
      <c r="BP74" s="204"/>
    </row>
    <row r="75" spans="1:68" ht="12" customHeight="1" x14ac:dyDescent="0.2">
      <c r="A75" s="212" t="s">
        <v>381</v>
      </c>
      <c r="B75" s="428" t="s">
        <v>458</v>
      </c>
      <c r="C75" s="218"/>
      <c r="D75" s="500" t="s">
        <v>456</v>
      </c>
      <c r="E75" s="514"/>
      <c r="F75" s="214">
        <v>0</v>
      </c>
      <c r="G75" s="214">
        <v>0</v>
      </c>
      <c r="H75" s="215">
        <f t="shared" si="66"/>
        <v>0</v>
      </c>
      <c r="I75" s="214">
        <v>0</v>
      </c>
      <c r="J75" s="215">
        <f t="shared" si="67"/>
        <v>0</v>
      </c>
      <c r="M75" s="434" t="str">
        <f t="shared" si="68"/>
        <v>NC</v>
      </c>
      <c r="N75" s="216" t="str">
        <f t="shared" si="64"/>
        <v xml:space="preserve">Excess Deferred Taxes Adjustment </v>
      </c>
      <c r="O75" s="434"/>
      <c r="P75" s="500" t="str">
        <f>D75</f>
        <v>Cash Flow Link</v>
      </c>
      <c r="Q75" s="501"/>
      <c r="R75" s="214">
        <v>0</v>
      </c>
      <c r="S75" s="214">
        <v>0</v>
      </c>
      <c r="T75" s="214">
        <v>0</v>
      </c>
      <c r="U75" s="214">
        <v>0</v>
      </c>
      <c r="V75" s="214">
        <v>0</v>
      </c>
      <c r="W75" s="214">
        <v>0</v>
      </c>
      <c r="X75" s="214">
        <v>0</v>
      </c>
      <c r="Y75" s="214">
        <v>0</v>
      </c>
      <c r="Z75" s="214">
        <v>0</v>
      </c>
      <c r="AA75" s="214">
        <v>0</v>
      </c>
      <c r="AB75" s="214">
        <v>0</v>
      </c>
      <c r="AC75" s="214">
        <v>0</v>
      </c>
      <c r="AD75" s="215">
        <f t="shared" si="69"/>
        <v>0</v>
      </c>
      <c r="AE75" s="214">
        <f t="shared" si="70"/>
        <v>0</v>
      </c>
      <c r="AF75" s="215">
        <f t="shared" si="71"/>
        <v>0</v>
      </c>
      <c r="AI75" s="196" t="str">
        <f t="shared" si="72"/>
        <v>NC</v>
      </c>
      <c r="AJ75" s="216" t="str">
        <f t="shared" si="65"/>
        <v xml:space="preserve">Excess Deferred Taxes Adjustment </v>
      </c>
      <c r="AK75" s="434"/>
      <c r="AL75" s="216"/>
      <c r="AM75" s="215">
        <f t="shared" si="73"/>
        <v>0</v>
      </c>
      <c r="AN75" s="264">
        <v>0</v>
      </c>
      <c r="AO75" s="264">
        <v>0</v>
      </c>
      <c r="AP75" s="215">
        <f t="shared" si="74"/>
        <v>0</v>
      </c>
      <c r="AQ75" s="215">
        <f t="shared" si="75"/>
        <v>0</v>
      </c>
      <c r="AR75" s="200"/>
      <c r="AS75" s="264">
        <v>0</v>
      </c>
      <c r="AT75" s="264">
        <v>0</v>
      </c>
      <c r="AU75" s="264">
        <v>0</v>
      </c>
      <c r="AV75" s="215">
        <f t="shared" si="76"/>
        <v>0</v>
      </c>
      <c r="AW75" s="215">
        <f t="shared" si="77"/>
        <v>0</v>
      </c>
      <c r="AX75" s="215"/>
      <c r="BO75" s="204"/>
      <c r="BP75" s="204"/>
    </row>
    <row r="76" spans="1:68" ht="12" customHeight="1" x14ac:dyDescent="0.2">
      <c r="A76" s="212" t="s">
        <v>381</v>
      </c>
      <c r="B76" s="427" t="s">
        <v>393</v>
      </c>
      <c r="C76" s="218"/>
      <c r="D76" s="500" t="s">
        <v>456</v>
      </c>
      <c r="E76" s="514"/>
      <c r="F76" s="214">
        <v>0</v>
      </c>
      <c r="G76" s="214">
        <v>0</v>
      </c>
      <c r="H76" s="215">
        <f t="shared" si="66"/>
        <v>0</v>
      </c>
      <c r="I76" s="214">
        <v>0</v>
      </c>
      <c r="J76" s="215">
        <f t="shared" si="67"/>
        <v>0</v>
      </c>
      <c r="M76" s="434" t="str">
        <f t="shared" si="68"/>
        <v>NC</v>
      </c>
      <c r="N76" s="216" t="str">
        <f t="shared" si="64"/>
        <v>2001 Tax Return Adjustment - Federal (Oct.) &amp; State (Nov.)</v>
      </c>
      <c r="O76" s="434"/>
      <c r="P76" s="500" t="str">
        <f>D76</f>
        <v>Cash Flow Link</v>
      </c>
      <c r="Q76" s="501"/>
      <c r="R76" s="214">
        <v>0</v>
      </c>
      <c r="S76" s="214">
        <v>0</v>
      </c>
      <c r="T76" s="214">
        <v>0</v>
      </c>
      <c r="U76" s="214">
        <v>0</v>
      </c>
      <c r="V76" s="214">
        <v>0</v>
      </c>
      <c r="W76" s="214">
        <v>0</v>
      </c>
      <c r="X76" s="214">
        <v>0</v>
      </c>
      <c r="Y76" s="214">
        <v>0</v>
      </c>
      <c r="Z76" s="214">
        <v>0</v>
      </c>
      <c r="AA76" s="214">
        <v>0</v>
      </c>
      <c r="AB76" s="214">
        <v>0</v>
      </c>
      <c r="AC76" s="214">
        <v>0</v>
      </c>
      <c r="AD76" s="215">
        <f t="shared" si="69"/>
        <v>0</v>
      </c>
      <c r="AE76" s="214">
        <f t="shared" si="70"/>
        <v>0</v>
      </c>
      <c r="AF76" s="215">
        <f t="shared" si="71"/>
        <v>0</v>
      </c>
      <c r="AI76" s="196" t="str">
        <f t="shared" si="72"/>
        <v>NC</v>
      </c>
      <c r="AJ76" s="216" t="str">
        <f t="shared" si="65"/>
        <v>2001 Tax Return Adjustment - Federal (Oct.) &amp; State (Nov.)</v>
      </c>
      <c r="AK76" s="434"/>
      <c r="AL76" s="216"/>
      <c r="AM76" s="215">
        <f t="shared" si="73"/>
        <v>0</v>
      </c>
      <c r="AN76" s="264">
        <v>3200</v>
      </c>
      <c r="AO76" s="264">
        <v>0</v>
      </c>
      <c r="AP76" s="215">
        <f t="shared" si="74"/>
        <v>-3200</v>
      </c>
      <c r="AQ76" s="215">
        <f t="shared" si="75"/>
        <v>0</v>
      </c>
      <c r="AR76" s="200"/>
      <c r="AS76" s="264">
        <v>0</v>
      </c>
      <c r="AT76" s="264">
        <v>0</v>
      </c>
      <c r="AU76" s="264">
        <v>0</v>
      </c>
      <c r="AV76" s="215">
        <f t="shared" si="76"/>
        <v>0</v>
      </c>
      <c r="AW76" s="215">
        <f t="shared" si="77"/>
        <v>0</v>
      </c>
      <c r="AX76" s="215"/>
      <c r="BO76" s="204"/>
      <c r="BP76" s="204"/>
    </row>
    <row r="77" spans="1:68" ht="12" customHeight="1" x14ac:dyDescent="0.2">
      <c r="A77" s="212" t="s">
        <v>381</v>
      </c>
      <c r="B77" s="427" t="s">
        <v>457</v>
      </c>
      <c r="C77" s="218"/>
      <c r="D77" s="500" t="s">
        <v>456</v>
      </c>
      <c r="E77" s="514"/>
      <c r="F77" s="214">
        <v>0</v>
      </c>
      <c r="G77" s="214">
        <v>0</v>
      </c>
      <c r="H77" s="215">
        <f t="shared" si="66"/>
        <v>0</v>
      </c>
      <c r="I77" s="214">
        <v>0</v>
      </c>
      <c r="J77" s="215">
        <f t="shared" si="67"/>
        <v>0</v>
      </c>
      <c r="M77" s="434" t="str">
        <f t="shared" si="68"/>
        <v>NC</v>
      </c>
      <c r="N77" s="216" t="str">
        <f t="shared" si="64"/>
        <v xml:space="preserve">State Tax Rate Change </v>
      </c>
      <c r="O77" s="434"/>
      <c r="P77" s="500" t="str">
        <f>D77</f>
        <v>Cash Flow Link</v>
      </c>
      <c r="Q77" s="501"/>
      <c r="R77" s="214">
        <v>0</v>
      </c>
      <c r="S77" s="214">
        <v>0</v>
      </c>
      <c r="T77" s="214">
        <v>0</v>
      </c>
      <c r="U77" s="214">
        <v>0</v>
      </c>
      <c r="V77" s="214">
        <v>0</v>
      </c>
      <c r="W77" s="214">
        <v>0</v>
      </c>
      <c r="X77" s="214">
        <v>0</v>
      </c>
      <c r="Y77" s="214">
        <v>0</v>
      </c>
      <c r="Z77" s="214">
        <v>0</v>
      </c>
      <c r="AA77" s="214">
        <v>0</v>
      </c>
      <c r="AB77" s="214">
        <v>0</v>
      </c>
      <c r="AC77" s="214">
        <v>0</v>
      </c>
      <c r="AD77" s="215">
        <f t="shared" si="69"/>
        <v>0</v>
      </c>
      <c r="AE77" s="214">
        <f t="shared" si="70"/>
        <v>0</v>
      </c>
      <c r="AF77" s="215">
        <f t="shared" si="71"/>
        <v>0</v>
      </c>
      <c r="AH77" s="217"/>
      <c r="AI77" s="196" t="str">
        <f t="shared" si="72"/>
        <v>NC</v>
      </c>
      <c r="AJ77" s="216" t="str">
        <f t="shared" si="65"/>
        <v xml:space="preserve">State Tax Rate Change </v>
      </c>
      <c r="AK77" s="434"/>
      <c r="AL77" s="216"/>
      <c r="AM77" s="215">
        <f t="shared" si="73"/>
        <v>0</v>
      </c>
      <c r="AN77" s="264">
        <v>0</v>
      </c>
      <c r="AO77" s="264">
        <v>0</v>
      </c>
      <c r="AP77" s="215">
        <f t="shared" si="74"/>
        <v>0</v>
      </c>
      <c r="AQ77" s="215">
        <f t="shared" si="75"/>
        <v>0</v>
      </c>
      <c r="AR77" s="200"/>
      <c r="AS77" s="264">
        <v>0</v>
      </c>
      <c r="AT77" s="264">
        <v>0</v>
      </c>
      <c r="AU77" s="264">
        <v>0</v>
      </c>
      <c r="AV77" s="215">
        <f t="shared" si="76"/>
        <v>0</v>
      </c>
      <c r="AW77" s="215">
        <f t="shared" si="77"/>
        <v>0</v>
      </c>
      <c r="AX77" s="215"/>
      <c r="BO77" s="204"/>
      <c r="BP77" s="204"/>
    </row>
    <row r="78" spans="1:68" ht="12" customHeight="1" x14ac:dyDescent="0.2">
      <c r="A78" s="212" t="s">
        <v>381</v>
      </c>
      <c r="B78" s="427" t="s">
        <v>445</v>
      </c>
      <c r="C78" s="218"/>
      <c r="D78" s="659" t="s">
        <v>459</v>
      </c>
      <c r="E78" s="514"/>
      <c r="F78" s="214">
        <v>0</v>
      </c>
      <c r="G78" s="214">
        <v>0</v>
      </c>
      <c r="H78" s="215">
        <f t="shared" si="66"/>
        <v>0</v>
      </c>
      <c r="I78" s="214">
        <v>0</v>
      </c>
      <c r="J78" s="215">
        <f t="shared" si="67"/>
        <v>0</v>
      </c>
      <c r="M78" s="434" t="str">
        <f t="shared" si="68"/>
        <v>NC</v>
      </c>
      <c r="N78" s="216" t="str">
        <f t="shared" si="64"/>
        <v xml:space="preserve">Other </v>
      </c>
      <c r="O78" s="434"/>
      <c r="P78" s="500" t="str">
        <f>D78</f>
        <v>Indirect CF Adj.</v>
      </c>
      <c r="Q78" s="501"/>
      <c r="R78" s="214">
        <v>0</v>
      </c>
      <c r="S78" s="214">
        <v>0</v>
      </c>
      <c r="T78" s="214">
        <v>0</v>
      </c>
      <c r="U78" s="214">
        <v>0</v>
      </c>
      <c r="V78" s="214">
        <v>0</v>
      </c>
      <c r="W78" s="214">
        <v>0</v>
      </c>
      <c r="X78" s="214">
        <v>0</v>
      </c>
      <c r="Y78" s="214">
        <v>0</v>
      </c>
      <c r="Z78" s="214">
        <v>0</v>
      </c>
      <c r="AA78" s="214">
        <v>0</v>
      </c>
      <c r="AB78" s="214">
        <v>0</v>
      </c>
      <c r="AC78" s="214">
        <v>0</v>
      </c>
      <c r="AD78" s="215">
        <f t="shared" si="69"/>
        <v>0</v>
      </c>
      <c r="AE78" s="214">
        <f t="shared" si="70"/>
        <v>0</v>
      </c>
      <c r="AF78" s="215">
        <f t="shared" si="71"/>
        <v>0</v>
      </c>
      <c r="AH78" s="217"/>
      <c r="AI78" s="196" t="str">
        <f t="shared" si="72"/>
        <v>NC</v>
      </c>
      <c r="AJ78" s="216" t="str">
        <f t="shared" si="65"/>
        <v xml:space="preserve">Other </v>
      </c>
      <c r="AK78" s="434"/>
      <c r="AL78" s="216"/>
      <c r="AM78" s="215">
        <f t="shared" si="73"/>
        <v>0</v>
      </c>
      <c r="AN78" s="264">
        <v>0</v>
      </c>
      <c r="AO78" s="264">
        <v>0</v>
      </c>
      <c r="AP78" s="215">
        <f t="shared" si="74"/>
        <v>0</v>
      </c>
      <c r="AQ78" s="215">
        <f t="shared" si="75"/>
        <v>0</v>
      </c>
      <c r="AR78" s="200"/>
      <c r="AS78" s="264">
        <v>0</v>
      </c>
      <c r="AT78" s="264">
        <v>0</v>
      </c>
      <c r="AU78" s="264">
        <v>0</v>
      </c>
      <c r="AV78" s="215">
        <f t="shared" si="76"/>
        <v>0</v>
      </c>
      <c r="AW78" s="215">
        <f t="shared" si="77"/>
        <v>0</v>
      </c>
      <c r="AX78" s="215"/>
      <c r="BO78" s="204"/>
      <c r="BP78" s="204"/>
    </row>
    <row r="79" spans="1:68" ht="12" customHeight="1" x14ac:dyDescent="0.2">
      <c r="A79" s="212" t="s">
        <v>381</v>
      </c>
      <c r="B79" s="427" t="s">
        <v>460</v>
      </c>
      <c r="C79" s="218"/>
      <c r="F79" s="265">
        <v>0</v>
      </c>
      <c r="G79" s="265">
        <v>0</v>
      </c>
      <c r="H79" s="223">
        <f t="shared" si="66"/>
        <v>0</v>
      </c>
      <c r="I79" s="265">
        <v>0</v>
      </c>
      <c r="J79" s="223">
        <f t="shared" si="67"/>
        <v>0</v>
      </c>
      <c r="K79" s="224"/>
      <c r="L79" s="224"/>
      <c r="M79" s="434" t="str">
        <f t="shared" si="68"/>
        <v>NC</v>
      </c>
      <c r="N79" s="216" t="str">
        <f t="shared" si="64"/>
        <v>Hyperion Entry / Reversal</v>
      </c>
      <c r="O79" s="434"/>
      <c r="P79" s="224"/>
      <c r="Q79" s="224"/>
      <c r="R79" s="265">
        <v>0</v>
      </c>
      <c r="S79" s="265">
        <v>0</v>
      </c>
      <c r="T79" s="265">
        <v>0</v>
      </c>
      <c r="U79" s="265">
        <v>0</v>
      </c>
      <c r="V79" s="265">
        <v>0</v>
      </c>
      <c r="W79" s="265">
        <v>0</v>
      </c>
      <c r="X79" s="265">
        <v>0</v>
      </c>
      <c r="Y79" s="265">
        <v>0</v>
      </c>
      <c r="Z79" s="265">
        <v>0</v>
      </c>
      <c r="AA79" s="265">
        <v>0</v>
      </c>
      <c r="AB79" s="265">
        <v>0</v>
      </c>
      <c r="AC79" s="265">
        <v>0</v>
      </c>
      <c r="AD79" s="223">
        <f t="shared" si="69"/>
        <v>0</v>
      </c>
      <c r="AE79" s="265">
        <f t="shared" si="70"/>
        <v>0</v>
      </c>
      <c r="AF79" s="223">
        <f t="shared" si="71"/>
        <v>0</v>
      </c>
      <c r="AI79" s="196" t="str">
        <f t="shared" si="72"/>
        <v>NC</v>
      </c>
      <c r="AJ79" s="216" t="str">
        <f t="shared" si="65"/>
        <v>Hyperion Entry / Reversal</v>
      </c>
      <c r="AK79" s="434"/>
      <c r="AL79" s="216"/>
      <c r="AM79" s="223">
        <f t="shared" si="73"/>
        <v>0</v>
      </c>
      <c r="AN79" s="266">
        <v>0</v>
      </c>
      <c r="AO79" s="266">
        <v>0</v>
      </c>
      <c r="AP79" s="223">
        <f t="shared" si="74"/>
        <v>0</v>
      </c>
      <c r="AQ79" s="223">
        <f t="shared" si="75"/>
        <v>0</v>
      </c>
      <c r="AS79" s="266">
        <v>0</v>
      </c>
      <c r="AT79" s="266">
        <v>0</v>
      </c>
      <c r="AU79" s="266">
        <v>0</v>
      </c>
      <c r="AV79" s="223">
        <f t="shared" si="76"/>
        <v>0</v>
      </c>
      <c r="AW79" s="223">
        <f t="shared" si="77"/>
        <v>0</v>
      </c>
      <c r="BO79" s="204"/>
      <c r="BP79" s="204"/>
    </row>
    <row r="80" spans="1:68" ht="3.95" customHeight="1" x14ac:dyDescent="0.2">
      <c r="B80" s="200"/>
      <c r="C80" s="218"/>
      <c r="D80" s="200"/>
      <c r="F80" s="202"/>
      <c r="G80" s="202"/>
      <c r="I80" s="202"/>
      <c r="N80" s="216"/>
      <c r="O80" s="434"/>
      <c r="P80" s="200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J80" s="200"/>
      <c r="AK80" s="218"/>
      <c r="AL80" s="200"/>
      <c r="AM80" s="215"/>
      <c r="AN80" s="215"/>
      <c r="AO80" s="215"/>
      <c r="AP80" s="215"/>
      <c r="AQ80" s="215"/>
      <c r="AR80" s="200"/>
      <c r="AS80" s="215"/>
      <c r="AT80" s="215"/>
      <c r="AU80" s="215"/>
      <c r="AV80" s="215"/>
      <c r="AW80" s="215"/>
      <c r="AX80" s="215"/>
      <c r="BO80" s="204"/>
      <c r="BP80" s="204"/>
    </row>
    <row r="81" spans="1:68" ht="12" customHeight="1" x14ac:dyDescent="0.2">
      <c r="B81" s="418" t="s">
        <v>461</v>
      </c>
      <c r="C81" s="815"/>
      <c r="D81" s="195"/>
      <c r="E81" s="198"/>
      <c r="F81" s="227">
        <f>F68+SUM(F71:F79)</f>
        <v>-350</v>
      </c>
      <c r="G81" s="227">
        <f>G68+SUM(G71:G79)</f>
        <v>-175</v>
      </c>
      <c r="H81" s="227">
        <f>H68+SUM(H71:H79)</f>
        <v>-175</v>
      </c>
      <c r="I81" s="227">
        <f>I68+SUM(I71:I79)</f>
        <v>0</v>
      </c>
      <c r="J81" s="227">
        <f>J68+SUM(J71:J79)</f>
        <v>-175</v>
      </c>
      <c r="K81" s="228"/>
      <c r="L81" s="228"/>
      <c r="M81" s="228"/>
      <c r="N81" s="197" t="str">
        <f>B81</f>
        <v xml:space="preserve">      TOTAL DEFERRED TAXES</v>
      </c>
      <c r="O81" s="820"/>
      <c r="P81" s="229"/>
      <c r="Q81" s="228"/>
      <c r="R81" s="227">
        <f t="shared" ref="R81:AF81" si="78">ROUND(R68+SUM(R71:R79),0)</f>
        <v>304</v>
      </c>
      <c r="S81" s="227">
        <f t="shared" si="78"/>
        <v>329</v>
      </c>
      <c r="T81" s="227">
        <f t="shared" si="78"/>
        <v>318</v>
      </c>
      <c r="U81" s="227">
        <f t="shared" si="78"/>
        <v>366</v>
      </c>
      <c r="V81" s="227">
        <f t="shared" si="78"/>
        <v>420</v>
      </c>
      <c r="W81" s="227">
        <f t="shared" si="78"/>
        <v>448</v>
      </c>
      <c r="X81" s="227">
        <f t="shared" si="78"/>
        <v>453</v>
      </c>
      <c r="Y81" s="227">
        <f t="shared" si="78"/>
        <v>452</v>
      </c>
      <c r="Z81" s="227">
        <f t="shared" si="78"/>
        <v>980</v>
      </c>
      <c r="AA81" s="227">
        <f t="shared" si="78"/>
        <v>423</v>
      </c>
      <c r="AB81" s="227">
        <f t="shared" si="78"/>
        <v>-142</v>
      </c>
      <c r="AC81" s="227">
        <f t="shared" si="78"/>
        <v>439</v>
      </c>
      <c r="AD81" s="227">
        <f t="shared" si="78"/>
        <v>4790</v>
      </c>
      <c r="AE81" s="227">
        <f t="shared" si="78"/>
        <v>633</v>
      </c>
      <c r="AF81" s="227">
        <f t="shared" si="78"/>
        <v>4157</v>
      </c>
      <c r="AG81" s="230"/>
      <c r="AH81" s="230"/>
      <c r="AI81" s="228"/>
      <c r="AJ81" s="197" t="str">
        <f>B81</f>
        <v xml:space="preserve">      TOTAL DEFERRED TAXES</v>
      </c>
      <c r="AK81" s="820"/>
      <c r="AL81" s="197"/>
      <c r="AM81" s="227">
        <f>AM68+SUM(AM71:AM79)</f>
        <v>4790</v>
      </c>
      <c r="AN81" s="227">
        <f>AN68+SUM(AN71:AN79)</f>
        <v>163</v>
      </c>
      <c r="AO81" s="227">
        <f>AO68+SUM(AO71:AO79)</f>
        <v>0</v>
      </c>
      <c r="AP81" s="227">
        <f>AP68+SUM(AP71:AP79)</f>
        <v>4627</v>
      </c>
      <c r="AQ81" s="227">
        <f>AQ68+SUM(AQ71:AQ79)</f>
        <v>4790</v>
      </c>
      <c r="AR81" s="229"/>
      <c r="AS81" s="227">
        <f>AS68+SUM(AS71:AS79)</f>
        <v>0</v>
      </c>
      <c r="AT81" s="227">
        <f>AT68+SUM(AT71:AT79)</f>
        <v>0</v>
      </c>
      <c r="AU81" s="227">
        <f>AU68+SUM(AU71:AU79)</f>
        <v>0</v>
      </c>
      <c r="AV81" s="227">
        <f>AV68+SUM(AV71:AV79)</f>
        <v>0</v>
      </c>
      <c r="AW81" s="227">
        <f>AW68+SUM(AW71:AW79)</f>
        <v>0</v>
      </c>
      <c r="AX81" s="231"/>
      <c r="AY81" s="198"/>
      <c r="AZ81" s="198"/>
      <c r="BA81" s="198"/>
      <c r="BB81" s="198"/>
      <c r="BC81" s="198"/>
      <c r="BI81" s="217"/>
      <c r="BJ81" s="217"/>
      <c r="BO81" s="204"/>
      <c r="BP81" s="204"/>
    </row>
    <row r="82" spans="1:68" ht="8.1" customHeight="1" x14ac:dyDescent="0.2">
      <c r="B82" s="420"/>
      <c r="C82" s="203"/>
      <c r="D82" s="198"/>
      <c r="E82" s="198"/>
      <c r="F82" s="232"/>
      <c r="G82" s="232"/>
      <c r="H82" s="231"/>
      <c r="I82" s="232"/>
      <c r="J82" s="231"/>
      <c r="K82" s="198"/>
      <c r="L82" s="198"/>
      <c r="M82" s="198"/>
      <c r="N82" s="197"/>
      <c r="O82" s="820"/>
      <c r="P82" s="195"/>
      <c r="Q82" s="198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198"/>
      <c r="AH82" s="198"/>
      <c r="AI82" s="198"/>
      <c r="AJ82" s="195"/>
      <c r="AK82" s="815"/>
      <c r="AL82" s="195"/>
      <c r="AM82" s="231"/>
      <c r="AN82" s="231"/>
      <c r="AO82" s="231"/>
      <c r="AP82" s="231"/>
      <c r="AQ82" s="231"/>
      <c r="AR82" s="195"/>
      <c r="AS82" s="231"/>
      <c r="AT82" s="231"/>
      <c r="AU82" s="231"/>
      <c r="AV82" s="231"/>
      <c r="AW82" s="231"/>
      <c r="AX82" s="231"/>
      <c r="AY82" s="198"/>
      <c r="AZ82" s="198"/>
      <c r="BA82" s="198"/>
      <c r="BB82" s="198"/>
      <c r="BC82" s="198"/>
      <c r="BO82" s="204"/>
      <c r="BP82" s="204"/>
    </row>
    <row r="83" spans="1:68" ht="12" customHeight="1" x14ac:dyDescent="0.2">
      <c r="B83" s="430" t="s">
        <v>462</v>
      </c>
      <c r="C83" s="826"/>
      <c r="D83" s="198"/>
      <c r="E83" s="198"/>
      <c r="F83" s="231">
        <f>F65</f>
        <v>0</v>
      </c>
      <c r="G83" s="231">
        <f>G65</f>
        <v>0</v>
      </c>
      <c r="H83" s="231">
        <f>H65</f>
        <v>0</v>
      </c>
      <c r="I83" s="231">
        <f>I65</f>
        <v>0</v>
      </c>
      <c r="J83" s="231">
        <f>J65</f>
        <v>0</v>
      </c>
      <c r="K83" s="198"/>
      <c r="L83" s="198"/>
      <c r="M83" s="198"/>
      <c r="N83" s="197" t="str">
        <f>B83</f>
        <v xml:space="preserve">      TOTAL DEFERRED - CURRENT</v>
      </c>
      <c r="O83" s="820"/>
      <c r="P83" s="195"/>
      <c r="Q83" s="198"/>
      <c r="R83" s="231">
        <f t="shared" ref="R83:AF83" si="79">ROUND(R65,0)</f>
        <v>0</v>
      </c>
      <c r="S83" s="231">
        <f t="shared" si="79"/>
        <v>0</v>
      </c>
      <c r="T83" s="231">
        <f t="shared" si="79"/>
        <v>0</v>
      </c>
      <c r="U83" s="231">
        <f t="shared" si="79"/>
        <v>0</v>
      </c>
      <c r="V83" s="231">
        <f t="shared" si="79"/>
        <v>0</v>
      </c>
      <c r="W83" s="231">
        <f t="shared" si="79"/>
        <v>0</v>
      </c>
      <c r="X83" s="231">
        <f t="shared" si="79"/>
        <v>0</v>
      </c>
      <c r="Y83" s="231">
        <f t="shared" si="79"/>
        <v>0</v>
      </c>
      <c r="Z83" s="231">
        <f t="shared" si="79"/>
        <v>0</v>
      </c>
      <c r="AA83" s="231">
        <f t="shared" si="79"/>
        <v>0</v>
      </c>
      <c r="AB83" s="231">
        <f t="shared" si="79"/>
        <v>0</v>
      </c>
      <c r="AC83" s="231">
        <f t="shared" si="79"/>
        <v>0</v>
      </c>
      <c r="AD83" s="231">
        <f t="shared" si="79"/>
        <v>0</v>
      </c>
      <c r="AE83" s="231">
        <f t="shared" si="79"/>
        <v>0</v>
      </c>
      <c r="AF83" s="231">
        <f t="shared" si="79"/>
        <v>0</v>
      </c>
      <c r="AG83" s="206"/>
      <c r="AH83" s="206"/>
      <c r="AI83" s="198"/>
      <c r="AJ83" s="197" t="str">
        <f>B83</f>
        <v xml:space="preserve">      TOTAL DEFERRED - CURRENT</v>
      </c>
      <c r="AK83" s="820"/>
      <c r="AL83" s="197"/>
      <c r="AM83" s="231">
        <f>AM65</f>
        <v>0</v>
      </c>
      <c r="AN83" s="231">
        <f>AN65</f>
        <v>0</v>
      </c>
      <c r="AO83" s="231">
        <f>AO65</f>
        <v>0</v>
      </c>
      <c r="AP83" s="231">
        <f>AP65</f>
        <v>0</v>
      </c>
      <c r="AQ83" s="231">
        <f>AQ65</f>
        <v>0</v>
      </c>
      <c r="AR83" s="195"/>
      <c r="AS83" s="231">
        <f>AS65</f>
        <v>0</v>
      </c>
      <c r="AT83" s="231">
        <f>AT65</f>
        <v>0</v>
      </c>
      <c r="AU83" s="231">
        <f>AU65</f>
        <v>0</v>
      </c>
      <c r="AV83" s="231">
        <f>AV65</f>
        <v>0</v>
      </c>
      <c r="AW83" s="231">
        <f>AW65</f>
        <v>0</v>
      </c>
      <c r="AX83" s="231"/>
      <c r="AY83" s="198"/>
      <c r="AZ83" s="198"/>
      <c r="BA83" s="198"/>
      <c r="BB83" s="198"/>
      <c r="BC83" s="198"/>
      <c r="BI83" s="217"/>
      <c r="BO83" s="204"/>
      <c r="BP83" s="204"/>
    </row>
    <row r="84" spans="1:68" ht="12" customHeight="1" x14ac:dyDescent="0.2">
      <c r="B84" s="430" t="s">
        <v>463</v>
      </c>
      <c r="C84" s="826"/>
      <c r="D84" s="198"/>
      <c r="E84" s="198"/>
      <c r="F84" s="231">
        <f>F66+SUM(F71:F79)</f>
        <v>-350</v>
      </c>
      <c r="G84" s="231">
        <f>G66+SUM(G71:G79)</f>
        <v>-175</v>
      </c>
      <c r="H84" s="231">
        <f>H66+SUM(H71:H79)</f>
        <v>-175</v>
      </c>
      <c r="I84" s="231">
        <f>I66+SUM(I71:I79)</f>
        <v>0</v>
      </c>
      <c r="J84" s="231">
        <f>J66+SUM(J71:J79)</f>
        <v>-175</v>
      </c>
      <c r="K84" s="228"/>
      <c r="L84" s="228"/>
      <c r="M84" s="228"/>
      <c r="N84" s="197" t="str">
        <f>B84</f>
        <v xml:space="preserve">                                    -  NON-CURRENT</v>
      </c>
      <c r="O84" s="820"/>
      <c r="P84" s="229"/>
      <c r="Q84" s="198"/>
      <c r="R84" s="231">
        <f t="shared" ref="R84:AF84" si="80">ROUND(R66+SUM(R71:R79),0)</f>
        <v>304</v>
      </c>
      <c r="S84" s="231">
        <f t="shared" si="80"/>
        <v>329</v>
      </c>
      <c r="T84" s="231">
        <f t="shared" si="80"/>
        <v>318</v>
      </c>
      <c r="U84" s="231">
        <f t="shared" si="80"/>
        <v>366</v>
      </c>
      <c r="V84" s="231">
        <f t="shared" si="80"/>
        <v>420</v>
      </c>
      <c r="W84" s="231">
        <f t="shared" si="80"/>
        <v>448</v>
      </c>
      <c r="X84" s="231">
        <f t="shared" si="80"/>
        <v>453</v>
      </c>
      <c r="Y84" s="231">
        <f t="shared" si="80"/>
        <v>452</v>
      </c>
      <c r="Z84" s="231">
        <f t="shared" si="80"/>
        <v>980</v>
      </c>
      <c r="AA84" s="231">
        <f t="shared" si="80"/>
        <v>423</v>
      </c>
      <c r="AB84" s="231">
        <f t="shared" si="80"/>
        <v>-142</v>
      </c>
      <c r="AC84" s="231">
        <f t="shared" si="80"/>
        <v>439</v>
      </c>
      <c r="AD84" s="231">
        <f t="shared" si="80"/>
        <v>4790</v>
      </c>
      <c r="AE84" s="231">
        <f t="shared" si="80"/>
        <v>633</v>
      </c>
      <c r="AF84" s="231">
        <f t="shared" si="80"/>
        <v>4157</v>
      </c>
      <c r="AG84" s="230"/>
      <c r="AH84" s="230"/>
      <c r="AI84" s="228"/>
      <c r="AJ84" s="197" t="str">
        <f>B84</f>
        <v xml:space="preserve">                                    -  NON-CURRENT</v>
      </c>
      <c r="AK84" s="820"/>
      <c r="AL84" s="197"/>
      <c r="AM84" s="231">
        <f>AM66+SUM(AM71:AM79)</f>
        <v>4790</v>
      </c>
      <c r="AN84" s="231">
        <f>AN66+SUM(AN71:AN79)</f>
        <v>163</v>
      </c>
      <c r="AO84" s="231">
        <f>AO66+SUM(AO71:AO79)</f>
        <v>0</v>
      </c>
      <c r="AP84" s="231">
        <f>AP66+SUM(AP71:AP79)</f>
        <v>4627</v>
      </c>
      <c r="AQ84" s="231">
        <f>AQ66+SUM(AQ71:AQ79)</f>
        <v>4790</v>
      </c>
      <c r="AR84" s="229"/>
      <c r="AS84" s="231">
        <f>AS66+SUM(AS71:AS79)</f>
        <v>0</v>
      </c>
      <c r="AT84" s="231">
        <f>AT66+SUM(AT71:AT79)</f>
        <v>0</v>
      </c>
      <c r="AU84" s="231">
        <f>AU66+SUM(AU71:AU79)</f>
        <v>0</v>
      </c>
      <c r="AV84" s="231">
        <f>AV66+SUM(AV71:AV79)</f>
        <v>0</v>
      </c>
      <c r="AW84" s="231">
        <f>AW66+SUM(AW71:AW79)</f>
        <v>0</v>
      </c>
      <c r="AX84" s="231"/>
      <c r="AY84" s="198"/>
      <c r="AZ84" s="198"/>
      <c r="BA84" s="198"/>
      <c r="BB84" s="198"/>
      <c r="BC84" s="198"/>
      <c r="BI84" s="217"/>
      <c r="BO84" s="204"/>
      <c r="BP84" s="204"/>
    </row>
    <row r="85" spans="1:68" ht="8.1" customHeight="1" x14ac:dyDescent="0.2">
      <c r="F85" s="214"/>
      <c r="G85" s="214"/>
      <c r="H85" s="215"/>
      <c r="I85" s="214"/>
      <c r="J85" s="215"/>
      <c r="N85" s="200"/>
      <c r="O85" s="218"/>
      <c r="P85" s="200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J85" s="200"/>
      <c r="AK85" s="218"/>
      <c r="AL85" s="200"/>
      <c r="AM85" s="215"/>
      <c r="AN85" s="215"/>
      <c r="AO85" s="215"/>
      <c r="AP85" s="215"/>
      <c r="AQ85" s="215"/>
      <c r="AR85" s="200"/>
      <c r="AS85" s="215"/>
      <c r="AT85" s="215"/>
      <c r="AU85" s="215"/>
      <c r="AV85" s="215"/>
      <c r="AW85" s="215"/>
      <c r="AX85" s="215"/>
      <c r="BO85" s="204"/>
      <c r="BP85" s="204"/>
    </row>
    <row r="86" spans="1:68" ht="12" customHeight="1" x14ac:dyDescent="0.2">
      <c r="A86" s="204"/>
      <c r="B86" s="204"/>
      <c r="C86" s="821"/>
      <c r="D86" s="204"/>
      <c r="E86" s="204"/>
      <c r="F86" s="204"/>
      <c r="G86" s="204"/>
      <c r="H86" s="204"/>
      <c r="I86" s="204"/>
      <c r="J86" s="204"/>
      <c r="K86" s="204"/>
      <c r="L86" s="204"/>
      <c r="M86"/>
      <c r="N86"/>
      <c r="O86" s="759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I86" s="204"/>
      <c r="AJ86" s="204"/>
      <c r="AK86" s="821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4"/>
      <c r="AX86" s="204"/>
      <c r="AY86" s="204"/>
      <c r="AZ86" s="204"/>
      <c r="BA86" s="204"/>
      <c r="BB86" s="204"/>
      <c r="BC86" s="204"/>
      <c r="BD86" s="204"/>
      <c r="BE86" s="204"/>
      <c r="BF86" s="204"/>
      <c r="BG86" s="204"/>
      <c r="BH86" s="204"/>
      <c r="BI86" s="204"/>
      <c r="BJ86" s="204"/>
      <c r="BK86" s="204"/>
      <c r="BL86" s="204"/>
      <c r="BM86" s="204"/>
      <c r="BN86" s="204"/>
      <c r="BO86" s="204"/>
      <c r="BP86" s="204"/>
    </row>
    <row r="87" spans="1:68" ht="15" x14ac:dyDescent="0.2">
      <c r="A87" s="204"/>
      <c r="B87" s="204"/>
      <c r="C87" s="821"/>
      <c r="D87" s="204"/>
      <c r="E87" s="204"/>
      <c r="F87" s="204"/>
      <c r="G87" s="204"/>
      <c r="H87" s="204"/>
      <c r="I87" s="204"/>
      <c r="J87" s="204"/>
      <c r="K87" s="204"/>
      <c r="L87" s="204"/>
      <c r="R87" s="205" t="str">
        <f t="shared" ref="R87:AF87" si="81">R7</f>
        <v>PLAN</v>
      </c>
      <c r="S87" s="205" t="str">
        <f t="shared" si="81"/>
        <v>PLAN</v>
      </c>
      <c r="T87" s="205" t="str">
        <f t="shared" si="81"/>
        <v>PLAN</v>
      </c>
      <c r="U87" s="205" t="str">
        <f t="shared" si="81"/>
        <v>PLAN</v>
      </c>
      <c r="V87" s="205" t="str">
        <f t="shared" si="81"/>
        <v>PLAN</v>
      </c>
      <c r="W87" s="205" t="str">
        <f t="shared" si="81"/>
        <v>PLAN</v>
      </c>
      <c r="X87" s="205" t="str">
        <f t="shared" si="81"/>
        <v>PLAN</v>
      </c>
      <c r="Y87" s="205" t="str">
        <f t="shared" si="81"/>
        <v>PLAN</v>
      </c>
      <c r="Z87" s="205" t="str">
        <f t="shared" si="81"/>
        <v>PLAN</v>
      </c>
      <c r="AA87" s="205" t="str">
        <f t="shared" si="81"/>
        <v>PLAN</v>
      </c>
      <c r="AB87" s="205" t="str">
        <f t="shared" si="81"/>
        <v>PLAN</v>
      </c>
      <c r="AC87" s="205" t="str">
        <f t="shared" si="81"/>
        <v>PLAN</v>
      </c>
      <c r="AD87" s="205" t="str">
        <f t="shared" si="81"/>
        <v>TOTAL</v>
      </c>
      <c r="AE87" s="205" t="str">
        <f t="shared" si="81"/>
        <v>FEB.</v>
      </c>
      <c r="AF87" s="205" t="str">
        <f t="shared" si="81"/>
        <v>ESTIMATE</v>
      </c>
      <c r="AI87" s="204"/>
      <c r="AJ87" s="204"/>
      <c r="AK87" s="821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  <c r="AX87" s="204"/>
      <c r="AY87" s="204"/>
      <c r="AZ87" s="204"/>
      <c r="BA87" s="204"/>
      <c r="BB87" s="204"/>
      <c r="BC87" s="204"/>
      <c r="BD87" s="204"/>
      <c r="BE87" s="204"/>
      <c r="BF87" s="204"/>
      <c r="BG87" s="204"/>
      <c r="BH87" s="204"/>
      <c r="BI87" s="204"/>
      <c r="BJ87" s="204"/>
      <c r="BK87" s="204"/>
      <c r="BL87" s="204"/>
      <c r="BM87" s="204"/>
      <c r="BN87" s="204"/>
      <c r="BO87" s="204"/>
      <c r="BP87" s="204"/>
    </row>
    <row r="88" spans="1:68" ht="15" x14ac:dyDescent="0.2">
      <c r="A88" s="204"/>
      <c r="B88" s="204"/>
      <c r="C88" s="821"/>
      <c r="D88" s="204"/>
      <c r="E88" s="204"/>
      <c r="F88" s="204"/>
      <c r="G88" s="204"/>
      <c r="H88" s="204"/>
      <c r="I88" s="204"/>
      <c r="J88" s="204"/>
      <c r="K88" s="204"/>
      <c r="L88" s="204"/>
      <c r="M88" s="437" t="s">
        <v>464</v>
      </c>
      <c r="N88" s="419"/>
      <c r="R88" s="211" t="str">
        <f t="shared" ref="R88:AF88" si="82">R8</f>
        <v>JAN</v>
      </c>
      <c r="S88" s="211" t="str">
        <f t="shared" si="82"/>
        <v>FEB</v>
      </c>
      <c r="T88" s="211" t="str">
        <f t="shared" si="82"/>
        <v>MAR</v>
      </c>
      <c r="U88" s="211" t="str">
        <f t="shared" si="82"/>
        <v>APR</v>
      </c>
      <c r="V88" s="211" t="str">
        <f t="shared" si="82"/>
        <v>MAY</v>
      </c>
      <c r="W88" s="211" t="str">
        <f t="shared" si="82"/>
        <v>JUN</v>
      </c>
      <c r="X88" s="211" t="str">
        <f t="shared" si="82"/>
        <v>JUL</v>
      </c>
      <c r="Y88" s="211" t="str">
        <f t="shared" si="82"/>
        <v>AUG</v>
      </c>
      <c r="Z88" s="211" t="str">
        <f t="shared" si="82"/>
        <v>SEP</v>
      </c>
      <c r="AA88" s="211" t="str">
        <f t="shared" si="82"/>
        <v>OCT</v>
      </c>
      <c r="AB88" s="211" t="str">
        <f t="shared" si="82"/>
        <v>NOV</v>
      </c>
      <c r="AC88" s="211" t="str">
        <f t="shared" si="82"/>
        <v>DEC</v>
      </c>
      <c r="AD88" s="211">
        <f t="shared" si="82"/>
        <v>2002</v>
      </c>
      <c r="AE88" s="211" t="str">
        <f t="shared" si="82"/>
        <v>Y-T-D</v>
      </c>
      <c r="AF88" s="211" t="str">
        <f t="shared" si="82"/>
        <v>R.M.</v>
      </c>
      <c r="AI88" s="204"/>
      <c r="AJ88" s="204"/>
      <c r="AK88" s="821"/>
      <c r="AL88" s="204"/>
      <c r="AM88" s="204"/>
      <c r="AN88" s="204"/>
      <c r="AO88" s="204"/>
      <c r="AP88" s="204"/>
      <c r="AQ88" s="204"/>
      <c r="AR88" s="204"/>
      <c r="AS88" s="204"/>
      <c r="AT88" s="204"/>
      <c r="AU88" s="204"/>
      <c r="AV88" s="204"/>
      <c r="AW88" s="204"/>
      <c r="AX88" s="204"/>
      <c r="AY88" s="204"/>
      <c r="AZ88" s="204"/>
      <c r="BA88" s="204"/>
      <c r="BB88" s="204"/>
      <c r="BC88" s="204"/>
      <c r="BD88" s="204"/>
      <c r="BE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</row>
    <row r="89" spans="1:68" ht="12" customHeight="1" x14ac:dyDescent="0.2">
      <c r="A89" s="204"/>
      <c r="B89" s="204"/>
      <c r="C89" s="821"/>
      <c r="D89" s="204"/>
      <c r="E89" s="204"/>
      <c r="F89" s="204"/>
      <c r="G89" s="204"/>
      <c r="H89" s="204"/>
      <c r="I89" s="204"/>
      <c r="J89" s="204"/>
      <c r="K89" s="204"/>
      <c r="L89" s="204"/>
      <c r="M89" s="438" t="s">
        <v>465</v>
      </c>
      <c r="N89" s="419"/>
      <c r="AI89" s="204"/>
      <c r="AJ89" s="204"/>
      <c r="AK89" s="821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4"/>
      <c r="AX89" s="204"/>
      <c r="AY89" s="204"/>
      <c r="AZ89" s="204"/>
      <c r="BA89" s="204"/>
      <c r="BB89" s="204"/>
      <c r="BC89" s="204"/>
      <c r="BD89" s="204"/>
      <c r="BE89" s="204"/>
      <c r="BF89" s="204"/>
      <c r="BG89" s="204"/>
      <c r="BH89" s="204"/>
      <c r="BI89" s="204"/>
      <c r="BJ89" s="204"/>
      <c r="BK89" s="204"/>
      <c r="BL89" s="204"/>
      <c r="BM89" s="204"/>
      <c r="BN89" s="204"/>
      <c r="BO89" s="204"/>
      <c r="BP89" s="204"/>
    </row>
    <row r="90" spans="1:68" ht="12" customHeight="1" x14ac:dyDescent="0.2">
      <c r="A90" s="204"/>
      <c r="B90" s="204"/>
      <c r="C90" s="821"/>
      <c r="D90" s="204"/>
      <c r="E90" s="204"/>
      <c r="F90" s="204"/>
      <c r="G90" s="204"/>
      <c r="H90" s="204"/>
      <c r="I90" s="204"/>
      <c r="J90" s="204"/>
      <c r="K90" s="204"/>
      <c r="L90" s="204"/>
      <c r="M90" s="439"/>
      <c r="N90" s="440" t="s">
        <v>466</v>
      </c>
      <c r="R90" s="215">
        <f>-RegAmort!C40</f>
        <v>-30</v>
      </c>
      <c r="S90" s="215">
        <f>-RegAmort!D40</f>
        <v>-30</v>
      </c>
      <c r="T90" s="215">
        <f>-RegAmort!E40</f>
        <v>-31</v>
      </c>
      <c r="U90" s="215">
        <f>-RegAmort!F40</f>
        <v>-30</v>
      </c>
      <c r="V90" s="215">
        <f>-RegAmort!G40</f>
        <v>-30</v>
      </c>
      <c r="W90" s="215">
        <f>-RegAmort!H40</f>
        <v>-30</v>
      </c>
      <c r="X90" s="215">
        <f>-RegAmort!I40</f>
        <v>-30</v>
      </c>
      <c r="Y90" s="215">
        <f>-RegAmort!J40</f>
        <v>-30</v>
      </c>
      <c r="Z90" s="215">
        <f>-RegAmort!K40</f>
        <v>-30</v>
      </c>
      <c r="AA90" s="215">
        <f>-RegAmort!L40</f>
        <v>-30</v>
      </c>
      <c r="AB90" s="215">
        <f>-RegAmort!M40</f>
        <v>-30</v>
      </c>
      <c r="AC90" s="215">
        <f>-RegAmort!N40</f>
        <v>-30</v>
      </c>
      <c r="AD90" s="215">
        <f>SUM(R90:AC90)</f>
        <v>-361</v>
      </c>
      <c r="AE90" s="215"/>
      <c r="AF90" s="215"/>
      <c r="AI90" s="204"/>
      <c r="AJ90" s="204"/>
      <c r="AK90" s="821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4"/>
      <c r="AX90" s="204"/>
      <c r="AY90" s="204"/>
      <c r="AZ90" s="204"/>
      <c r="BA90" s="204"/>
      <c r="BB90" s="204"/>
      <c r="BC90" s="204"/>
      <c r="BD90" s="204"/>
      <c r="BE90" s="204"/>
      <c r="BF90" s="204"/>
      <c r="BG90" s="204"/>
      <c r="BH90" s="204"/>
      <c r="BI90" s="204"/>
      <c r="BJ90" s="204"/>
      <c r="BK90" s="204"/>
      <c r="BL90" s="204"/>
      <c r="BM90" s="204"/>
      <c r="BN90" s="204"/>
      <c r="BO90" s="204"/>
      <c r="BP90" s="204"/>
    </row>
    <row r="91" spans="1:68" ht="12" customHeight="1" x14ac:dyDescent="0.2">
      <c r="A91" s="204"/>
      <c r="B91" s="204"/>
      <c r="C91" s="821"/>
      <c r="D91" s="204"/>
      <c r="E91" s="204"/>
      <c r="F91" s="204"/>
      <c r="G91" s="204"/>
      <c r="H91" s="204"/>
      <c r="I91" s="204"/>
      <c r="J91" s="204"/>
      <c r="K91" s="204"/>
      <c r="L91" s="204"/>
      <c r="M91" s="439"/>
      <c r="N91" s="428" t="s">
        <v>467</v>
      </c>
      <c r="R91" s="265">
        <v>0</v>
      </c>
      <c r="S91" s="265">
        <v>0</v>
      </c>
      <c r="T91" s="265">
        <v>0</v>
      </c>
      <c r="U91" s="265">
        <v>0</v>
      </c>
      <c r="V91" s="265">
        <v>0</v>
      </c>
      <c r="W91" s="265">
        <v>0</v>
      </c>
      <c r="X91" s="265">
        <v>0</v>
      </c>
      <c r="Y91" s="265">
        <v>0</v>
      </c>
      <c r="Z91" s="265">
        <v>0</v>
      </c>
      <c r="AA91" s="265">
        <v>0</v>
      </c>
      <c r="AB91" s="265">
        <v>0</v>
      </c>
      <c r="AC91" s="265">
        <v>0</v>
      </c>
      <c r="AD91" s="223">
        <f>SUM(R91:AC91)</f>
        <v>0</v>
      </c>
      <c r="AI91" s="204"/>
      <c r="AJ91" s="204"/>
      <c r="AK91" s="821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AZ91" s="204"/>
      <c r="BA91" s="204"/>
      <c r="BB91" s="204"/>
      <c r="BC91" s="204"/>
      <c r="BD91" s="204"/>
      <c r="BE91" s="204"/>
      <c r="BF91" s="204"/>
      <c r="BG91" s="204"/>
      <c r="BH91" s="204"/>
      <c r="BI91" s="204"/>
      <c r="BJ91" s="204"/>
      <c r="BK91" s="204"/>
      <c r="BL91" s="204"/>
      <c r="BM91" s="204"/>
      <c r="BN91" s="204"/>
      <c r="BO91" s="204"/>
      <c r="BP91" s="204"/>
    </row>
    <row r="92" spans="1:68" ht="12" customHeight="1" x14ac:dyDescent="0.2">
      <c r="A92" s="204"/>
      <c r="B92" s="204"/>
      <c r="C92" s="821"/>
      <c r="D92" s="204"/>
      <c r="E92" s="204"/>
      <c r="F92" s="204"/>
      <c r="G92" s="204"/>
      <c r="H92" s="204"/>
      <c r="I92" s="204"/>
      <c r="J92" s="204"/>
      <c r="K92" s="204"/>
      <c r="L92" s="204"/>
      <c r="M92" s="419"/>
      <c r="N92" s="440" t="s">
        <v>468</v>
      </c>
      <c r="R92" s="223">
        <f t="shared" ref="R92:AD92" si="83">SUM(R90:R91)</f>
        <v>-30</v>
      </c>
      <c r="S92" s="223">
        <f t="shared" si="83"/>
        <v>-30</v>
      </c>
      <c r="T92" s="223">
        <f t="shared" si="83"/>
        <v>-31</v>
      </c>
      <c r="U92" s="223">
        <f t="shared" si="83"/>
        <v>-30</v>
      </c>
      <c r="V92" s="223">
        <f t="shared" si="83"/>
        <v>-30</v>
      </c>
      <c r="W92" s="223">
        <f t="shared" si="83"/>
        <v>-30</v>
      </c>
      <c r="X92" s="223">
        <f t="shared" si="83"/>
        <v>-30</v>
      </c>
      <c r="Y92" s="223">
        <f t="shared" si="83"/>
        <v>-30</v>
      </c>
      <c r="Z92" s="223">
        <f t="shared" si="83"/>
        <v>-30</v>
      </c>
      <c r="AA92" s="223">
        <f t="shared" si="83"/>
        <v>-30</v>
      </c>
      <c r="AB92" s="223">
        <f t="shared" si="83"/>
        <v>-30</v>
      </c>
      <c r="AC92" s="223">
        <f t="shared" si="83"/>
        <v>-30</v>
      </c>
      <c r="AD92" s="223">
        <f t="shared" si="83"/>
        <v>-361</v>
      </c>
      <c r="AI92" s="204"/>
      <c r="AJ92" s="204"/>
      <c r="AK92" s="821"/>
      <c r="AL92" s="204"/>
      <c r="AM92" s="204"/>
      <c r="AN92" s="204"/>
      <c r="AO92" s="204"/>
      <c r="AP92" s="204"/>
      <c r="AQ92" s="204"/>
      <c r="AR92" s="204"/>
      <c r="AS92" s="204"/>
      <c r="AT92" s="204"/>
      <c r="AU92" s="204"/>
      <c r="AV92" s="204"/>
      <c r="AW92" s="204"/>
      <c r="AX92" s="204"/>
      <c r="AY92" s="204"/>
      <c r="AZ92" s="204"/>
      <c r="BA92" s="204"/>
      <c r="BB92" s="204"/>
      <c r="BC92" s="204"/>
      <c r="BD92" s="204"/>
      <c r="BE92" s="204"/>
      <c r="BF92" s="204"/>
      <c r="BG92" s="204"/>
      <c r="BH92" s="204"/>
      <c r="BI92" s="204"/>
      <c r="BJ92" s="204"/>
      <c r="BK92" s="204"/>
      <c r="BL92" s="204"/>
      <c r="BM92" s="204"/>
      <c r="BN92" s="204"/>
      <c r="BO92" s="204"/>
      <c r="BP92" s="204"/>
    </row>
    <row r="93" spans="1:68" ht="6" customHeight="1" x14ac:dyDescent="0.2">
      <c r="A93" s="204"/>
      <c r="B93" s="204"/>
      <c r="C93" s="821"/>
      <c r="D93" s="204"/>
      <c r="E93" s="204"/>
      <c r="F93" s="204"/>
      <c r="G93" s="204"/>
      <c r="H93" s="204"/>
      <c r="I93" s="204"/>
      <c r="J93" s="204"/>
      <c r="K93" s="204"/>
      <c r="L93" s="204"/>
      <c r="M93" s="419"/>
      <c r="N93" s="419"/>
      <c r="AI93" s="204"/>
      <c r="AJ93" s="204"/>
      <c r="AK93" s="821"/>
      <c r="AL93" s="204"/>
      <c r="AM93" s="204"/>
      <c r="AN93" s="204"/>
      <c r="AO93" s="204"/>
      <c r="AP93" s="204"/>
      <c r="AQ93" s="204"/>
      <c r="AR93" s="204"/>
      <c r="AS93" s="204"/>
      <c r="AT93" s="204"/>
      <c r="AU93" s="204"/>
      <c r="AV93" s="204"/>
      <c r="AW93" s="204"/>
      <c r="AX93" s="204"/>
      <c r="AY93" s="204"/>
      <c r="AZ93" s="204"/>
      <c r="BA93" s="204"/>
      <c r="BB93" s="204"/>
      <c r="BC93" s="204"/>
      <c r="BD93" s="204"/>
      <c r="BE93" s="204"/>
      <c r="BF93" s="204"/>
      <c r="BG93" s="204"/>
      <c r="BH93" s="204"/>
      <c r="BI93" s="204"/>
      <c r="BJ93" s="204"/>
      <c r="BK93" s="204"/>
      <c r="BL93" s="204"/>
      <c r="BM93" s="204"/>
      <c r="BN93" s="204"/>
      <c r="BO93" s="204"/>
      <c r="BP93" s="204"/>
    </row>
    <row r="94" spans="1:68" ht="12" customHeight="1" x14ac:dyDescent="0.2">
      <c r="A94" s="204"/>
      <c r="B94" s="204"/>
      <c r="C94" s="821"/>
      <c r="D94" s="204"/>
      <c r="E94" s="204"/>
      <c r="F94" s="204"/>
      <c r="G94" s="204"/>
      <c r="H94" s="204"/>
      <c r="I94" s="204"/>
      <c r="J94" s="204"/>
      <c r="K94" s="204"/>
      <c r="L94" s="204"/>
      <c r="M94" s="441"/>
      <c r="N94" s="440" t="s">
        <v>469</v>
      </c>
      <c r="R94" s="215">
        <f>-RegAmort!C41</f>
        <v>-42</v>
      </c>
      <c r="S94" s="215">
        <f>-RegAmort!D41</f>
        <v>-42</v>
      </c>
      <c r="T94" s="215">
        <f>-RegAmort!E41</f>
        <v>-42</v>
      </c>
      <c r="U94" s="215">
        <f>-RegAmort!F41</f>
        <v>-42</v>
      </c>
      <c r="V94" s="215">
        <f>-RegAmort!G41</f>
        <v>-42</v>
      </c>
      <c r="W94" s="215">
        <f>-RegAmort!H41</f>
        <v>-42</v>
      </c>
      <c r="X94" s="215">
        <f>-RegAmort!I41</f>
        <v>-42</v>
      </c>
      <c r="Y94" s="215">
        <f>-RegAmort!J41</f>
        <v>-43</v>
      </c>
      <c r="Z94" s="215">
        <f>-RegAmort!K41</f>
        <v>-42</v>
      </c>
      <c r="AA94" s="215">
        <f>-RegAmort!L41</f>
        <v>-43</v>
      </c>
      <c r="AB94" s="215">
        <f>-RegAmort!M41</f>
        <v>-43</v>
      </c>
      <c r="AC94" s="215">
        <f>-RegAmort!N41</f>
        <v>-43</v>
      </c>
      <c r="AD94" s="215">
        <f>SUM(R94:AC94)</f>
        <v>-508</v>
      </c>
      <c r="AI94" s="204"/>
      <c r="AJ94" s="204"/>
      <c r="AK94" s="821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4"/>
      <c r="AX94" s="204"/>
      <c r="AY94" s="204"/>
      <c r="AZ94" s="204"/>
      <c r="BA94" s="204"/>
      <c r="BB94" s="204"/>
      <c r="BC94" s="204"/>
      <c r="BD94" s="204"/>
      <c r="BE94" s="204"/>
      <c r="BF94" s="204"/>
      <c r="BG94" s="204"/>
      <c r="BH94" s="204"/>
      <c r="BI94" s="204"/>
      <c r="BJ94" s="204"/>
      <c r="BK94" s="204"/>
      <c r="BL94" s="204"/>
      <c r="BM94" s="204"/>
      <c r="BN94" s="204"/>
      <c r="BO94" s="204"/>
      <c r="BP94" s="204"/>
    </row>
    <row r="95" spans="1:68" ht="12" customHeight="1" x14ac:dyDescent="0.2">
      <c r="A95" s="204"/>
      <c r="B95" s="204"/>
      <c r="C95" s="821"/>
      <c r="D95" s="204"/>
      <c r="E95" s="204"/>
      <c r="F95" s="204"/>
      <c r="G95" s="204"/>
      <c r="H95" s="204"/>
      <c r="I95" s="204"/>
      <c r="J95" s="204"/>
      <c r="K95" s="204"/>
      <c r="L95" s="204"/>
      <c r="M95" s="221"/>
      <c r="N95" s="428" t="s">
        <v>470</v>
      </c>
      <c r="O95" s="212"/>
      <c r="R95" s="265">
        <v>0</v>
      </c>
      <c r="S95" s="265">
        <v>0</v>
      </c>
      <c r="T95" s="265">
        <v>0</v>
      </c>
      <c r="U95" s="265">
        <v>0</v>
      </c>
      <c r="V95" s="265">
        <v>0</v>
      </c>
      <c r="W95" s="265">
        <v>0</v>
      </c>
      <c r="X95" s="265">
        <v>0</v>
      </c>
      <c r="Y95" s="265">
        <v>0</v>
      </c>
      <c r="Z95" s="265">
        <v>0</v>
      </c>
      <c r="AA95" s="265">
        <v>0</v>
      </c>
      <c r="AB95" s="265">
        <v>0</v>
      </c>
      <c r="AC95" s="265">
        <v>0</v>
      </c>
      <c r="AD95" s="223">
        <f>SUM(R95:AC95)</f>
        <v>0</v>
      </c>
      <c r="AI95" s="204"/>
      <c r="AJ95" s="204"/>
      <c r="AK95" s="821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4"/>
      <c r="AX95" s="204"/>
      <c r="AY95" s="204"/>
      <c r="AZ95" s="204"/>
      <c r="BA95" s="204"/>
      <c r="BB95" s="204"/>
      <c r="BC95" s="204"/>
      <c r="BD95" s="204"/>
      <c r="BE95" s="204"/>
      <c r="BF95" s="204"/>
      <c r="BG95" s="204"/>
      <c r="BH95" s="204"/>
      <c r="BI95" s="204"/>
      <c r="BJ95" s="204"/>
      <c r="BK95" s="204"/>
      <c r="BL95" s="204"/>
      <c r="BM95" s="204"/>
      <c r="BN95" s="204"/>
      <c r="BO95" s="204"/>
      <c r="BP95" s="204"/>
    </row>
    <row r="96" spans="1:68" ht="12" customHeight="1" x14ac:dyDescent="0.2">
      <c r="A96" s="204"/>
      <c r="B96" s="204"/>
      <c r="C96" s="821"/>
      <c r="D96" s="204"/>
      <c r="E96" s="204"/>
      <c r="F96" s="204"/>
      <c r="G96" s="204"/>
      <c r="H96" s="204"/>
      <c r="I96" s="204"/>
      <c r="J96" s="204"/>
      <c r="K96" s="204"/>
      <c r="L96" s="204"/>
      <c r="M96" s="419"/>
      <c r="N96" s="440" t="s">
        <v>471</v>
      </c>
      <c r="R96" s="223">
        <f t="shared" ref="R96:AD96" si="84">SUM(R94:R95)</f>
        <v>-42</v>
      </c>
      <c r="S96" s="223">
        <f t="shared" si="84"/>
        <v>-42</v>
      </c>
      <c r="T96" s="223">
        <f t="shared" si="84"/>
        <v>-42</v>
      </c>
      <c r="U96" s="223">
        <f t="shared" si="84"/>
        <v>-42</v>
      </c>
      <c r="V96" s="223">
        <f t="shared" si="84"/>
        <v>-42</v>
      </c>
      <c r="W96" s="223">
        <f t="shared" si="84"/>
        <v>-42</v>
      </c>
      <c r="X96" s="223">
        <f t="shared" si="84"/>
        <v>-42</v>
      </c>
      <c r="Y96" s="223">
        <f t="shared" si="84"/>
        <v>-43</v>
      </c>
      <c r="Z96" s="223">
        <f t="shared" si="84"/>
        <v>-42</v>
      </c>
      <c r="AA96" s="223">
        <f t="shared" si="84"/>
        <v>-43</v>
      </c>
      <c r="AB96" s="223">
        <f t="shared" si="84"/>
        <v>-43</v>
      </c>
      <c r="AC96" s="223">
        <f t="shared" si="84"/>
        <v>-43</v>
      </c>
      <c r="AD96" s="223">
        <f t="shared" si="84"/>
        <v>-508</v>
      </c>
      <c r="AI96" s="204"/>
      <c r="AJ96" s="204"/>
      <c r="AK96" s="821"/>
      <c r="AL96" s="204"/>
      <c r="AM96" s="204"/>
      <c r="AN96" s="204"/>
      <c r="AO96" s="204"/>
      <c r="AP96" s="204"/>
      <c r="AQ96" s="204"/>
      <c r="AR96" s="204"/>
      <c r="AS96" s="204"/>
      <c r="AT96" s="204"/>
      <c r="AU96" s="204"/>
      <c r="AV96" s="204"/>
      <c r="AW96" s="204"/>
      <c r="AX96" s="204"/>
      <c r="AY96" s="204"/>
      <c r="AZ96" s="204"/>
      <c r="BA96" s="204"/>
      <c r="BB96" s="204"/>
      <c r="BC96" s="204"/>
      <c r="BD96" s="204"/>
      <c r="BE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</row>
    <row r="97" spans="1:68" ht="6" customHeight="1" x14ac:dyDescent="0.2">
      <c r="A97" s="204"/>
      <c r="B97" s="204"/>
      <c r="C97" s="821"/>
      <c r="D97" s="204"/>
      <c r="E97" s="204"/>
      <c r="F97" s="204"/>
      <c r="G97" s="204"/>
      <c r="H97" s="204"/>
      <c r="I97" s="204"/>
      <c r="J97" s="204"/>
      <c r="K97" s="204"/>
      <c r="L97" s="204"/>
      <c r="M97" s="419"/>
      <c r="N97" s="419"/>
      <c r="AI97" s="204"/>
      <c r="AJ97" s="204"/>
      <c r="AK97" s="821"/>
      <c r="AL97" s="204"/>
      <c r="AM97" s="204"/>
      <c r="AN97" s="204"/>
      <c r="AO97" s="204"/>
      <c r="AP97" s="204"/>
      <c r="AQ97" s="204"/>
      <c r="AR97" s="204"/>
      <c r="AS97" s="204"/>
      <c r="AT97" s="204"/>
      <c r="AU97" s="204"/>
      <c r="AV97" s="204"/>
      <c r="AW97" s="204"/>
      <c r="AX97" s="204"/>
      <c r="AY97" s="204"/>
      <c r="AZ97" s="204"/>
      <c r="BA97" s="204"/>
      <c r="BB97" s="204"/>
      <c r="BC97" s="204"/>
      <c r="BD97" s="204"/>
      <c r="BE97" s="204"/>
      <c r="BF97" s="204"/>
      <c r="BG97" s="204"/>
      <c r="BH97" s="204"/>
      <c r="BI97" s="204"/>
      <c r="BJ97" s="204"/>
      <c r="BK97" s="204"/>
      <c r="BL97" s="204"/>
      <c r="BM97" s="204"/>
      <c r="BN97" s="204"/>
      <c r="BO97" s="204"/>
      <c r="BP97" s="204"/>
    </row>
    <row r="98" spans="1:68" ht="12" customHeight="1" x14ac:dyDescent="0.2">
      <c r="A98" s="204"/>
      <c r="B98" s="204"/>
      <c r="C98" s="821"/>
      <c r="D98" s="204"/>
      <c r="E98" s="204"/>
      <c r="F98" s="204"/>
      <c r="G98" s="204"/>
      <c r="H98" s="204"/>
      <c r="I98" s="204"/>
      <c r="J98" s="204"/>
      <c r="K98" s="204"/>
      <c r="L98" s="204"/>
      <c r="M98" s="441"/>
      <c r="N98" s="440" t="s">
        <v>472</v>
      </c>
      <c r="R98" s="215">
        <f>-RegAmort!C42</f>
        <v>-10</v>
      </c>
      <c r="S98" s="215">
        <f>-RegAmort!D42</f>
        <v>-10</v>
      </c>
      <c r="T98" s="215">
        <f>-RegAmort!E42</f>
        <v>-10</v>
      </c>
      <c r="U98" s="215">
        <f>-RegAmort!F42</f>
        <v>-10</v>
      </c>
      <c r="V98" s="215">
        <f>-RegAmort!G42</f>
        <v>-10</v>
      </c>
      <c r="W98" s="215">
        <f>-RegAmort!H42</f>
        <v>-10</v>
      </c>
      <c r="X98" s="215">
        <f>-RegAmort!I42</f>
        <v>-10</v>
      </c>
      <c r="Y98" s="215">
        <f>-RegAmort!J42</f>
        <v>-10</v>
      </c>
      <c r="Z98" s="215">
        <f>-RegAmort!K42</f>
        <v>-11</v>
      </c>
      <c r="AA98" s="215">
        <f>-RegAmort!L42</f>
        <v>-10</v>
      </c>
      <c r="AB98" s="215">
        <f>-RegAmort!M42</f>
        <v>-11</v>
      </c>
      <c r="AC98" s="215">
        <f>-RegAmort!N42</f>
        <v>-10</v>
      </c>
      <c r="AD98" s="215">
        <f>SUM(R98:AC98)</f>
        <v>-122</v>
      </c>
      <c r="AI98" s="204"/>
      <c r="AJ98" s="204"/>
      <c r="AK98" s="821"/>
      <c r="AL98" s="204"/>
      <c r="AM98" s="204"/>
      <c r="AN98" s="204"/>
      <c r="AO98" s="204"/>
      <c r="AP98" s="204"/>
      <c r="AQ98" s="204"/>
      <c r="AR98" s="204"/>
      <c r="AS98" s="204"/>
      <c r="AT98" s="204"/>
      <c r="AU98" s="204"/>
      <c r="AV98" s="204"/>
      <c r="AW98" s="204"/>
      <c r="AX98" s="204"/>
      <c r="AY98" s="204"/>
      <c r="AZ98" s="204"/>
      <c r="BA98" s="204"/>
      <c r="BB98" s="204"/>
      <c r="BC98" s="204"/>
      <c r="BD98" s="204"/>
      <c r="BE98" s="204"/>
      <c r="BF98" s="204"/>
      <c r="BG98" s="204"/>
      <c r="BH98" s="204"/>
      <c r="BI98" s="204"/>
      <c r="BJ98" s="204"/>
      <c r="BK98" s="204"/>
      <c r="BL98" s="204"/>
      <c r="BM98" s="204"/>
      <c r="BN98" s="204"/>
      <c r="BO98" s="204"/>
      <c r="BP98" s="204"/>
    </row>
    <row r="99" spans="1:68" ht="12" customHeight="1" x14ac:dyDescent="0.2">
      <c r="A99" s="204"/>
      <c r="B99" s="204"/>
      <c r="C99" s="821"/>
      <c r="D99" s="204"/>
      <c r="E99" s="204"/>
      <c r="F99" s="204"/>
      <c r="G99" s="204"/>
      <c r="H99" s="204"/>
      <c r="I99" s="204"/>
      <c r="J99" s="204"/>
      <c r="K99" s="204"/>
      <c r="L99" s="204"/>
      <c r="M99" s="221"/>
      <c r="N99" s="428" t="s">
        <v>473</v>
      </c>
      <c r="O99" s="212"/>
      <c r="R99" s="265">
        <v>0</v>
      </c>
      <c r="S99" s="265">
        <v>0</v>
      </c>
      <c r="T99" s="265">
        <v>0</v>
      </c>
      <c r="U99" s="265">
        <v>0</v>
      </c>
      <c r="V99" s="265">
        <v>0</v>
      </c>
      <c r="W99" s="265">
        <v>0</v>
      </c>
      <c r="X99" s="265">
        <v>0</v>
      </c>
      <c r="Y99" s="265">
        <v>0</v>
      </c>
      <c r="Z99" s="265">
        <v>0</v>
      </c>
      <c r="AA99" s="265">
        <v>0</v>
      </c>
      <c r="AB99" s="265">
        <v>0</v>
      </c>
      <c r="AC99" s="265">
        <v>0</v>
      </c>
      <c r="AD99" s="223">
        <f>SUM(R99:AC99)</f>
        <v>0</v>
      </c>
      <c r="AI99" s="204"/>
      <c r="AJ99" s="204"/>
      <c r="AK99" s="821"/>
      <c r="AL99" s="204"/>
      <c r="AM99" s="204"/>
      <c r="AN99" s="204"/>
      <c r="AO99" s="204"/>
      <c r="AP99" s="204"/>
      <c r="AQ99" s="204"/>
      <c r="AR99" s="204"/>
      <c r="AS99" s="204"/>
      <c r="AT99" s="204"/>
      <c r="AU99" s="204"/>
      <c r="AV99" s="204"/>
      <c r="AW99" s="204"/>
      <c r="AX99" s="204"/>
      <c r="AY99" s="204"/>
      <c r="AZ99" s="204"/>
      <c r="BA99" s="204"/>
      <c r="BB99" s="204"/>
      <c r="BC99" s="204"/>
      <c r="BD99" s="204"/>
      <c r="BE99" s="204"/>
      <c r="BF99" s="204"/>
      <c r="BG99" s="204"/>
      <c r="BH99" s="204"/>
      <c r="BI99" s="204"/>
      <c r="BJ99" s="204"/>
      <c r="BK99" s="204"/>
      <c r="BL99" s="204"/>
      <c r="BM99" s="204"/>
      <c r="BN99" s="204"/>
      <c r="BO99" s="204"/>
      <c r="BP99" s="204"/>
    </row>
    <row r="100" spans="1:68" ht="12" customHeight="1" x14ac:dyDescent="0.2">
      <c r="A100" s="204"/>
      <c r="B100" s="204"/>
      <c r="C100" s="821"/>
      <c r="D100" s="204"/>
      <c r="E100" s="204"/>
      <c r="F100" s="204"/>
      <c r="G100" s="204"/>
      <c r="H100" s="204"/>
      <c r="I100" s="204"/>
      <c r="J100" s="204"/>
      <c r="K100" s="204"/>
      <c r="L100" s="204"/>
      <c r="M100" s="419"/>
      <c r="N100" s="440" t="s">
        <v>474</v>
      </c>
      <c r="R100" s="223">
        <f t="shared" ref="R100:AD100" si="85">SUM(R98:R99)</f>
        <v>-10</v>
      </c>
      <c r="S100" s="223">
        <f t="shared" si="85"/>
        <v>-10</v>
      </c>
      <c r="T100" s="223">
        <f t="shared" si="85"/>
        <v>-10</v>
      </c>
      <c r="U100" s="223">
        <f t="shared" si="85"/>
        <v>-10</v>
      </c>
      <c r="V100" s="223">
        <f t="shared" si="85"/>
        <v>-10</v>
      </c>
      <c r="W100" s="223">
        <f t="shared" si="85"/>
        <v>-10</v>
      </c>
      <c r="X100" s="223">
        <f t="shared" si="85"/>
        <v>-10</v>
      </c>
      <c r="Y100" s="223">
        <f t="shared" si="85"/>
        <v>-10</v>
      </c>
      <c r="Z100" s="223">
        <f t="shared" si="85"/>
        <v>-11</v>
      </c>
      <c r="AA100" s="223">
        <f t="shared" si="85"/>
        <v>-10</v>
      </c>
      <c r="AB100" s="223">
        <f t="shared" si="85"/>
        <v>-11</v>
      </c>
      <c r="AC100" s="223">
        <f t="shared" si="85"/>
        <v>-10</v>
      </c>
      <c r="AD100" s="223">
        <f t="shared" si="85"/>
        <v>-122</v>
      </c>
      <c r="AI100" s="204"/>
      <c r="AJ100" s="204"/>
      <c r="AK100" s="821"/>
      <c r="AL100" s="204"/>
      <c r="AM100" s="204"/>
      <c r="AN100" s="204"/>
      <c r="AO100" s="204"/>
      <c r="AP100" s="204"/>
      <c r="AQ100" s="204"/>
      <c r="AR100" s="204"/>
      <c r="AS100" s="204"/>
      <c r="AT100" s="204"/>
      <c r="AU100" s="204"/>
      <c r="AV100" s="204"/>
      <c r="AW100" s="204"/>
      <c r="AX100" s="204"/>
      <c r="AY100" s="204"/>
      <c r="AZ100" s="204"/>
      <c r="BA100" s="204"/>
      <c r="BB100" s="204"/>
      <c r="BC100" s="204"/>
      <c r="BD100" s="204"/>
      <c r="BE100" s="204"/>
      <c r="BF100" s="204"/>
      <c r="BG100" s="204"/>
      <c r="BH100" s="204"/>
      <c r="BI100" s="204"/>
      <c r="BJ100" s="204"/>
      <c r="BK100" s="204"/>
      <c r="BL100" s="204"/>
      <c r="BM100" s="204"/>
      <c r="BN100" s="204"/>
      <c r="BO100" s="204"/>
      <c r="BP100" s="204"/>
    </row>
    <row r="101" spans="1:68" ht="6" customHeight="1" x14ac:dyDescent="0.2">
      <c r="A101" s="204"/>
      <c r="B101" s="204"/>
      <c r="C101" s="821"/>
      <c r="D101" s="204"/>
      <c r="E101" s="204"/>
      <c r="F101" s="204"/>
      <c r="G101" s="204"/>
      <c r="H101" s="204"/>
      <c r="I101" s="204"/>
      <c r="J101" s="204"/>
      <c r="K101" s="204"/>
      <c r="L101" s="204"/>
      <c r="M101" s="419"/>
      <c r="N101" s="419"/>
      <c r="AI101" s="204"/>
      <c r="AJ101" s="204"/>
      <c r="AK101" s="821"/>
      <c r="AL101" s="204"/>
      <c r="AM101" s="204"/>
      <c r="AN101" s="204"/>
      <c r="AO101" s="204"/>
      <c r="AP101" s="204"/>
      <c r="AQ101" s="204"/>
      <c r="AR101" s="204"/>
      <c r="AS101" s="204"/>
      <c r="AT101" s="204"/>
      <c r="AU101" s="204"/>
      <c r="AV101" s="204"/>
      <c r="AW101" s="204"/>
      <c r="AX101" s="204"/>
      <c r="AY101" s="204"/>
      <c r="AZ101" s="204"/>
      <c r="BA101" s="204"/>
      <c r="BB101" s="204"/>
      <c r="BC101" s="204"/>
      <c r="BD101" s="204"/>
      <c r="BE101" s="204"/>
      <c r="BF101" s="204"/>
      <c r="BG101" s="204"/>
      <c r="BH101" s="204"/>
      <c r="BI101" s="204"/>
      <c r="BJ101" s="204"/>
      <c r="BK101" s="204"/>
      <c r="BL101" s="204"/>
      <c r="BM101" s="204"/>
      <c r="BN101" s="204"/>
      <c r="BO101" s="204"/>
      <c r="BP101" s="204"/>
    </row>
    <row r="102" spans="1:68" ht="12" customHeight="1" x14ac:dyDescent="0.2">
      <c r="A102" s="204"/>
      <c r="B102" s="204"/>
      <c r="C102" s="821"/>
      <c r="D102" s="204"/>
      <c r="E102" s="204"/>
      <c r="F102" s="204"/>
      <c r="G102" s="204"/>
      <c r="H102" s="204"/>
      <c r="I102" s="204"/>
      <c r="J102" s="204"/>
      <c r="K102" s="204"/>
      <c r="L102" s="204"/>
      <c r="M102" s="441"/>
      <c r="N102" s="440" t="s">
        <v>475</v>
      </c>
      <c r="R102" s="215">
        <f>-RegAmort!C43</f>
        <v>-31</v>
      </c>
      <c r="S102" s="215">
        <f>-RegAmort!D43</f>
        <v>-31</v>
      </c>
      <c r="T102" s="215">
        <f>-RegAmort!E43</f>
        <v>-31</v>
      </c>
      <c r="U102" s="215">
        <f>-RegAmort!F43</f>
        <v>-31</v>
      </c>
      <c r="V102" s="215">
        <f>-RegAmort!G43</f>
        <v>-31</v>
      </c>
      <c r="W102" s="215">
        <f>-RegAmort!H43</f>
        <v>-31</v>
      </c>
      <c r="X102" s="215">
        <f>-RegAmort!I43</f>
        <v>-31</v>
      </c>
      <c r="Y102" s="215">
        <f>-RegAmort!J43</f>
        <v>-32</v>
      </c>
      <c r="Z102" s="215">
        <f>-RegAmort!K43</f>
        <v>-31</v>
      </c>
      <c r="AA102" s="215">
        <f>-RegAmort!L43</f>
        <v>-32</v>
      </c>
      <c r="AB102" s="215">
        <f>-RegAmort!M43</f>
        <v>-31</v>
      </c>
      <c r="AC102" s="215">
        <f>-RegAmort!N43</f>
        <v>-32</v>
      </c>
      <c r="AD102" s="215">
        <f>SUM(R102:AC102)</f>
        <v>-375</v>
      </c>
      <c r="AE102" s="215"/>
      <c r="AF102" s="215"/>
      <c r="AI102" s="204"/>
      <c r="AJ102" s="204"/>
      <c r="AK102" s="821"/>
      <c r="AL102" s="204"/>
      <c r="AM102" s="204"/>
      <c r="AN102" s="204"/>
      <c r="AO102" s="204"/>
      <c r="AP102" s="204"/>
      <c r="AQ102" s="204"/>
      <c r="AR102" s="204"/>
      <c r="AS102" s="204"/>
      <c r="AT102" s="204"/>
      <c r="AU102" s="204"/>
      <c r="AV102" s="204"/>
      <c r="AW102" s="204"/>
      <c r="AX102" s="204"/>
      <c r="AY102" s="204"/>
      <c r="AZ102" s="204"/>
      <c r="BA102" s="204"/>
      <c r="BB102" s="204"/>
      <c r="BC102" s="204"/>
      <c r="BD102" s="204"/>
      <c r="BE102" s="204"/>
      <c r="BF102" s="204"/>
      <c r="BG102" s="204"/>
      <c r="BH102" s="204"/>
      <c r="BI102" s="204"/>
      <c r="BJ102" s="204"/>
      <c r="BK102" s="204"/>
      <c r="BL102" s="204"/>
      <c r="BM102" s="204"/>
      <c r="BN102" s="204"/>
      <c r="BO102" s="204"/>
      <c r="BP102" s="204"/>
    </row>
    <row r="103" spans="1:68" ht="12" customHeight="1" x14ac:dyDescent="0.2">
      <c r="A103" s="204"/>
      <c r="B103" s="204"/>
      <c r="C103" s="821"/>
      <c r="D103" s="204"/>
      <c r="E103" s="204"/>
      <c r="F103" s="204"/>
      <c r="G103" s="204"/>
      <c r="H103" s="204"/>
      <c r="I103" s="204"/>
      <c r="J103" s="204"/>
      <c r="K103" s="204"/>
      <c r="L103" s="204"/>
      <c r="M103" s="221"/>
      <c r="N103" s="428" t="s">
        <v>476</v>
      </c>
      <c r="O103" s="212"/>
      <c r="R103" s="265">
        <v>0</v>
      </c>
      <c r="S103" s="265">
        <v>0</v>
      </c>
      <c r="T103" s="265">
        <v>0</v>
      </c>
      <c r="U103" s="265">
        <v>0</v>
      </c>
      <c r="V103" s="265">
        <v>0</v>
      </c>
      <c r="W103" s="265">
        <v>0</v>
      </c>
      <c r="X103" s="265">
        <v>0</v>
      </c>
      <c r="Y103" s="265">
        <v>0</v>
      </c>
      <c r="Z103" s="265">
        <v>0</v>
      </c>
      <c r="AA103" s="265">
        <v>0</v>
      </c>
      <c r="AB103" s="265">
        <v>0</v>
      </c>
      <c r="AC103" s="265">
        <v>0</v>
      </c>
      <c r="AD103" s="223">
        <f>SUM(R103:AC103)</f>
        <v>0</v>
      </c>
      <c r="AI103" s="204"/>
      <c r="AJ103" s="204"/>
      <c r="AK103" s="821"/>
      <c r="AL103" s="204"/>
      <c r="AM103" s="204"/>
      <c r="AN103" s="204"/>
      <c r="AO103" s="204"/>
      <c r="AP103" s="204"/>
      <c r="AQ103" s="204"/>
      <c r="AR103" s="204"/>
      <c r="AS103" s="204"/>
      <c r="AT103" s="204"/>
      <c r="AU103" s="204"/>
      <c r="AV103" s="204"/>
      <c r="AW103" s="204"/>
      <c r="AX103" s="204"/>
      <c r="AY103" s="204"/>
      <c r="AZ103" s="204"/>
      <c r="BA103" s="204"/>
      <c r="BB103" s="204"/>
      <c r="BC103" s="204"/>
      <c r="BD103" s="204"/>
      <c r="BE103" s="204"/>
      <c r="BF103" s="204"/>
      <c r="BG103" s="204"/>
      <c r="BH103" s="204"/>
      <c r="BI103" s="204"/>
      <c r="BJ103" s="204"/>
      <c r="BK103" s="204"/>
      <c r="BL103" s="204"/>
      <c r="BM103" s="204"/>
      <c r="BN103" s="204"/>
      <c r="BO103" s="204"/>
      <c r="BP103" s="204"/>
    </row>
    <row r="104" spans="1:68" ht="12" customHeight="1" x14ac:dyDescent="0.2">
      <c r="A104" s="204"/>
      <c r="B104" s="204"/>
      <c r="C104" s="821"/>
      <c r="D104" s="204"/>
      <c r="E104" s="204"/>
      <c r="F104" s="204"/>
      <c r="G104" s="204"/>
      <c r="H104" s="204"/>
      <c r="I104" s="204"/>
      <c r="J104" s="204"/>
      <c r="K104" s="204"/>
      <c r="L104" s="204"/>
      <c r="M104" s="419"/>
      <c r="N104" s="440" t="s">
        <v>477</v>
      </c>
      <c r="R104" s="223">
        <f t="shared" ref="R104:AD104" si="86">SUM(R102:R103)</f>
        <v>-31</v>
      </c>
      <c r="S104" s="223">
        <f t="shared" si="86"/>
        <v>-31</v>
      </c>
      <c r="T104" s="223">
        <f t="shared" si="86"/>
        <v>-31</v>
      </c>
      <c r="U104" s="223">
        <f t="shared" si="86"/>
        <v>-31</v>
      </c>
      <c r="V104" s="223">
        <f t="shared" si="86"/>
        <v>-31</v>
      </c>
      <c r="W104" s="223">
        <f t="shared" si="86"/>
        <v>-31</v>
      </c>
      <c r="X104" s="223">
        <f t="shared" si="86"/>
        <v>-31</v>
      </c>
      <c r="Y104" s="223">
        <f t="shared" si="86"/>
        <v>-32</v>
      </c>
      <c r="Z104" s="223">
        <f t="shared" si="86"/>
        <v>-31</v>
      </c>
      <c r="AA104" s="223">
        <f t="shared" si="86"/>
        <v>-32</v>
      </c>
      <c r="AB104" s="223">
        <f t="shared" si="86"/>
        <v>-31</v>
      </c>
      <c r="AC104" s="223">
        <f t="shared" si="86"/>
        <v>-32</v>
      </c>
      <c r="AD104" s="223">
        <f t="shared" si="86"/>
        <v>-375</v>
      </c>
      <c r="AI104" s="204"/>
      <c r="AJ104" s="204"/>
      <c r="AK104" s="821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4"/>
      <c r="BE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</row>
    <row r="105" spans="1:68" ht="6" customHeight="1" x14ac:dyDescent="0.2">
      <c r="A105" s="204"/>
      <c r="B105" s="204"/>
      <c r="C105" s="821"/>
      <c r="D105" s="204"/>
      <c r="E105" s="204"/>
      <c r="F105" s="204"/>
      <c r="G105" s="204"/>
      <c r="H105" s="204"/>
      <c r="I105" s="204"/>
      <c r="J105" s="204"/>
      <c r="K105" s="204"/>
      <c r="L105" s="204"/>
      <c r="M105" s="419"/>
      <c r="N105" s="419"/>
      <c r="AI105" s="204"/>
      <c r="AJ105" s="204"/>
      <c r="AK105" s="821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204"/>
      <c r="BN105" s="204"/>
      <c r="BO105" s="204"/>
      <c r="BP105" s="204"/>
    </row>
    <row r="106" spans="1:68" ht="12" customHeight="1" x14ac:dyDescent="0.2">
      <c r="A106" s="204"/>
      <c r="B106" s="204"/>
      <c r="C106" s="821"/>
      <c r="D106" s="204"/>
      <c r="E106" s="204"/>
      <c r="F106" s="204"/>
      <c r="G106" s="204"/>
      <c r="H106" s="204"/>
      <c r="I106" s="204"/>
      <c r="J106" s="204"/>
      <c r="K106" s="204"/>
      <c r="L106" s="204"/>
      <c r="M106" s="441"/>
      <c r="N106" s="440" t="s">
        <v>478</v>
      </c>
      <c r="R106" s="215">
        <f>-RegAmort!C44</f>
        <v>-45</v>
      </c>
      <c r="S106" s="215">
        <f>-RegAmort!D44</f>
        <v>-45</v>
      </c>
      <c r="T106" s="215">
        <f>-RegAmort!E44</f>
        <v>-45</v>
      </c>
      <c r="U106" s="215">
        <f>-RegAmort!F44</f>
        <v>-45</v>
      </c>
      <c r="V106" s="215">
        <f>-RegAmort!G44</f>
        <v>-45</v>
      </c>
      <c r="W106" s="215">
        <f>-RegAmort!H44</f>
        <v>-45</v>
      </c>
      <c r="X106" s="215">
        <f>-RegAmort!I44</f>
        <v>-45</v>
      </c>
      <c r="Y106" s="215">
        <f>-RegAmort!J44</f>
        <v>-45</v>
      </c>
      <c r="Z106" s="215">
        <f>-RegAmort!K44</f>
        <v>-45</v>
      </c>
      <c r="AA106" s="215">
        <f>-RegAmort!L44</f>
        <v>-45</v>
      </c>
      <c r="AB106" s="215">
        <f>-RegAmort!M44</f>
        <v>-44</v>
      </c>
      <c r="AC106" s="215">
        <f>-RegAmort!N44</f>
        <v>-45</v>
      </c>
      <c r="AD106" s="215">
        <f>SUM(R106:AC106)</f>
        <v>-539</v>
      </c>
      <c r="AE106" s="215"/>
      <c r="AF106" s="215"/>
      <c r="AI106" s="204"/>
      <c r="AJ106" s="204"/>
      <c r="AK106" s="821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204"/>
      <c r="BN106" s="204"/>
      <c r="BO106" s="204"/>
      <c r="BP106" s="204"/>
    </row>
    <row r="107" spans="1:68" ht="12" customHeight="1" x14ac:dyDescent="0.2">
      <c r="A107" s="204"/>
      <c r="B107" s="204"/>
      <c r="C107" s="821"/>
      <c r="D107" s="204"/>
      <c r="E107" s="204"/>
      <c r="F107" s="204"/>
      <c r="G107" s="204"/>
      <c r="H107" s="204"/>
      <c r="I107" s="204"/>
      <c r="J107" s="204"/>
      <c r="K107" s="204"/>
      <c r="L107" s="204"/>
      <c r="M107" s="221"/>
      <c r="N107" s="428" t="s">
        <v>479</v>
      </c>
      <c r="O107" s="212"/>
      <c r="R107" s="265">
        <v>0</v>
      </c>
      <c r="S107" s="265">
        <v>0</v>
      </c>
      <c r="T107" s="265">
        <v>0</v>
      </c>
      <c r="U107" s="265">
        <v>0</v>
      </c>
      <c r="V107" s="265">
        <v>0</v>
      </c>
      <c r="W107" s="265">
        <v>0</v>
      </c>
      <c r="X107" s="265">
        <v>0</v>
      </c>
      <c r="Y107" s="265">
        <v>0</v>
      </c>
      <c r="Z107" s="265">
        <v>0</v>
      </c>
      <c r="AA107" s="265">
        <v>0</v>
      </c>
      <c r="AB107" s="265">
        <v>0</v>
      </c>
      <c r="AC107" s="265">
        <v>0</v>
      </c>
      <c r="AD107" s="223">
        <f>SUM(R107:AC107)</f>
        <v>0</v>
      </c>
      <c r="AI107" s="204"/>
      <c r="AJ107" s="204"/>
      <c r="AK107" s="821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204"/>
      <c r="BL107" s="204"/>
      <c r="BM107" s="204"/>
      <c r="BN107" s="204"/>
      <c r="BO107" s="204"/>
      <c r="BP107" s="204"/>
    </row>
    <row r="108" spans="1:68" ht="12" customHeight="1" x14ac:dyDescent="0.2">
      <c r="A108" s="204"/>
      <c r="B108" s="204"/>
      <c r="C108" s="821"/>
      <c r="D108" s="204"/>
      <c r="E108" s="204"/>
      <c r="F108" s="204"/>
      <c r="G108" s="204"/>
      <c r="H108" s="204"/>
      <c r="I108" s="204"/>
      <c r="J108" s="204"/>
      <c r="K108" s="204"/>
      <c r="L108" s="204"/>
      <c r="M108" s="419"/>
      <c r="N108" s="440" t="s">
        <v>480</v>
      </c>
      <c r="R108" s="223">
        <f t="shared" ref="R108:AD108" si="87">SUM(R106:R107)</f>
        <v>-45</v>
      </c>
      <c r="S108" s="223">
        <f t="shared" si="87"/>
        <v>-45</v>
      </c>
      <c r="T108" s="223">
        <f t="shared" si="87"/>
        <v>-45</v>
      </c>
      <c r="U108" s="223">
        <f t="shared" si="87"/>
        <v>-45</v>
      </c>
      <c r="V108" s="223">
        <f t="shared" si="87"/>
        <v>-45</v>
      </c>
      <c r="W108" s="223">
        <f t="shared" si="87"/>
        <v>-45</v>
      </c>
      <c r="X108" s="223">
        <f t="shared" si="87"/>
        <v>-45</v>
      </c>
      <c r="Y108" s="223">
        <f t="shared" si="87"/>
        <v>-45</v>
      </c>
      <c r="Z108" s="223">
        <f t="shared" si="87"/>
        <v>-45</v>
      </c>
      <c r="AA108" s="223">
        <f t="shared" si="87"/>
        <v>-45</v>
      </c>
      <c r="AB108" s="223">
        <f t="shared" si="87"/>
        <v>-44</v>
      </c>
      <c r="AC108" s="223">
        <f t="shared" si="87"/>
        <v>-45</v>
      </c>
      <c r="AD108" s="223">
        <f t="shared" si="87"/>
        <v>-539</v>
      </c>
      <c r="AI108" s="204"/>
      <c r="AJ108" s="204"/>
      <c r="AK108" s="821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4"/>
      <c r="AX108" s="204"/>
      <c r="AY108" s="204"/>
      <c r="AZ108" s="204"/>
      <c r="BA108" s="204"/>
      <c r="BB108" s="204"/>
      <c r="BC108" s="204"/>
      <c r="BD108" s="204"/>
      <c r="BE108" s="204"/>
      <c r="BF108" s="204"/>
      <c r="BG108" s="204"/>
      <c r="BH108" s="204"/>
      <c r="BI108" s="204"/>
      <c r="BJ108" s="204"/>
      <c r="BK108" s="204"/>
      <c r="BL108" s="204"/>
      <c r="BM108" s="204"/>
      <c r="BN108" s="204"/>
      <c r="BO108" s="204"/>
      <c r="BP108" s="204"/>
    </row>
    <row r="109" spans="1:68" ht="6" customHeight="1" x14ac:dyDescent="0.2">
      <c r="A109" s="204"/>
      <c r="B109" s="204"/>
      <c r="C109" s="821"/>
      <c r="D109" s="204"/>
      <c r="E109" s="204"/>
      <c r="F109" s="204"/>
      <c r="G109" s="204"/>
      <c r="H109" s="204"/>
      <c r="I109" s="204"/>
      <c r="J109" s="204"/>
      <c r="K109" s="204"/>
      <c r="L109" s="204"/>
      <c r="M109" s="419"/>
      <c r="N109" s="419"/>
      <c r="AI109" s="204"/>
      <c r="AJ109" s="204"/>
      <c r="AK109" s="821"/>
      <c r="AL109" s="204"/>
      <c r="AM109" s="204"/>
      <c r="AN109" s="204"/>
      <c r="AO109" s="204"/>
      <c r="AP109" s="204"/>
      <c r="AQ109" s="204"/>
      <c r="AR109" s="204"/>
      <c r="AS109" s="204"/>
      <c r="AT109" s="204"/>
      <c r="AU109" s="204"/>
      <c r="AV109" s="204"/>
      <c r="AW109" s="204"/>
      <c r="AX109" s="204"/>
      <c r="AY109" s="204"/>
      <c r="AZ109" s="204"/>
      <c r="BA109" s="204"/>
      <c r="BB109" s="204"/>
      <c r="BC109" s="204"/>
      <c r="BD109" s="204"/>
      <c r="BE109" s="204"/>
      <c r="BF109" s="204"/>
      <c r="BG109" s="204"/>
      <c r="BH109" s="204"/>
      <c r="BI109" s="204"/>
      <c r="BJ109" s="204"/>
      <c r="BK109" s="204"/>
      <c r="BL109" s="204"/>
      <c r="BM109" s="204"/>
      <c r="BN109" s="204"/>
      <c r="BO109" s="204"/>
      <c r="BP109" s="204"/>
    </row>
    <row r="110" spans="1:68" ht="12" customHeight="1" x14ac:dyDescent="0.2">
      <c r="A110" s="204"/>
      <c r="B110" s="204"/>
      <c r="C110" s="821"/>
      <c r="D110" s="204"/>
      <c r="E110" s="204"/>
      <c r="F110" s="204"/>
      <c r="G110" s="204"/>
      <c r="H110" s="204"/>
      <c r="I110" s="204"/>
      <c r="J110" s="204"/>
      <c r="K110" s="204"/>
      <c r="L110" s="204"/>
      <c r="M110" s="441"/>
      <c r="N110" s="440" t="s">
        <v>481</v>
      </c>
      <c r="R110" s="215">
        <f>-RegAmort!C45</f>
        <v>-53</v>
      </c>
      <c r="S110" s="215">
        <f>-RegAmort!D45</f>
        <v>-53</v>
      </c>
      <c r="T110" s="215">
        <f>-RegAmort!E45</f>
        <v>-53</v>
      </c>
      <c r="U110" s="215">
        <f>-RegAmort!F45</f>
        <v>-53</v>
      </c>
      <c r="V110" s="215">
        <f>-RegAmort!G45</f>
        <v>-53</v>
      </c>
      <c r="W110" s="215">
        <f>-RegAmort!H45</f>
        <v>-53</v>
      </c>
      <c r="X110" s="215">
        <f>-RegAmort!I45</f>
        <v>-53</v>
      </c>
      <c r="Y110" s="215">
        <f>-RegAmort!J45</f>
        <v>-52</v>
      </c>
      <c r="Z110" s="215">
        <f>-RegAmort!K45</f>
        <v>-53</v>
      </c>
      <c r="AA110" s="215">
        <f>-RegAmort!L45</f>
        <v>-53</v>
      </c>
      <c r="AB110" s="215">
        <f>-RegAmort!M45</f>
        <v>-52</v>
      </c>
      <c r="AC110" s="215">
        <f>-RegAmort!N45</f>
        <v>-53</v>
      </c>
      <c r="AD110" s="215">
        <f>SUM(R110:AC110)</f>
        <v>-634</v>
      </c>
      <c r="AI110" s="204"/>
      <c r="AJ110" s="204"/>
      <c r="AK110" s="821"/>
      <c r="AL110" s="204"/>
      <c r="AM110" s="204"/>
      <c r="AN110" s="204"/>
      <c r="AO110" s="204"/>
      <c r="AP110" s="204"/>
      <c r="AQ110" s="204"/>
      <c r="AR110" s="204"/>
      <c r="AS110" s="204"/>
      <c r="AT110" s="204"/>
      <c r="AU110" s="204"/>
      <c r="AV110" s="204"/>
      <c r="AW110" s="204"/>
      <c r="AX110" s="204"/>
      <c r="AY110" s="204"/>
      <c r="AZ110" s="204"/>
      <c r="BA110" s="204"/>
      <c r="BB110" s="204"/>
      <c r="BC110" s="204"/>
      <c r="BD110" s="204"/>
      <c r="BE110" s="204"/>
      <c r="BF110" s="204"/>
      <c r="BG110" s="204"/>
      <c r="BH110" s="204"/>
      <c r="BI110" s="204"/>
      <c r="BJ110" s="204"/>
      <c r="BK110" s="204"/>
      <c r="BL110" s="204"/>
      <c r="BM110" s="204"/>
      <c r="BN110" s="204"/>
      <c r="BO110" s="204"/>
      <c r="BP110" s="204"/>
    </row>
    <row r="111" spans="1:68" ht="12" customHeight="1" x14ac:dyDescent="0.2">
      <c r="A111" s="204"/>
      <c r="B111" s="204"/>
      <c r="C111" s="821"/>
      <c r="D111" s="204"/>
      <c r="E111" s="204"/>
      <c r="F111" s="204"/>
      <c r="G111" s="204"/>
      <c r="H111" s="204"/>
      <c r="I111" s="204"/>
      <c r="J111" s="204"/>
      <c r="K111" s="204"/>
      <c r="L111" s="204"/>
      <c r="M111" s="221"/>
      <c r="N111" s="428" t="s">
        <v>482</v>
      </c>
      <c r="R111" s="265">
        <v>0</v>
      </c>
      <c r="S111" s="265">
        <v>0</v>
      </c>
      <c r="T111" s="265">
        <v>0</v>
      </c>
      <c r="U111" s="265">
        <v>0</v>
      </c>
      <c r="V111" s="265">
        <v>0</v>
      </c>
      <c r="W111" s="265">
        <v>0</v>
      </c>
      <c r="X111" s="265">
        <v>0</v>
      </c>
      <c r="Y111" s="265">
        <v>0</v>
      </c>
      <c r="Z111" s="265">
        <v>0</v>
      </c>
      <c r="AA111" s="265">
        <v>0</v>
      </c>
      <c r="AB111" s="265">
        <v>0</v>
      </c>
      <c r="AC111" s="265">
        <v>0</v>
      </c>
      <c r="AD111" s="223">
        <f>SUM(R111:AC111)</f>
        <v>0</v>
      </c>
      <c r="AI111" s="204"/>
      <c r="AJ111" s="204"/>
      <c r="AK111" s="821"/>
      <c r="AL111" s="204"/>
      <c r="AM111" s="204"/>
      <c r="AN111" s="204"/>
      <c r="AO111" s="204"/>
      <c r="AP111" s="204"/>
      <c r="AQ111" s="204"/>
      <c r="AR111" s="204"/>
      <c r="AS111" s="204"/>
      <c r="AT111" s="204"/>
      <c r="AU111" s="204"/>
      <c r="AV111" s="204"/>
      <c r="AW111" s="204"/>
      <c r="AX111" s="204"/>
      <c r="AY111" s="204"/>
      <c r="AZ111" s="204"/>
      <c r="BA111" s="204"/>
      <c r="BB111" s="204"/>
      <c r="BC111" s="204"/>
      <c r="BD111" s="204"/>
      <c r="BE111" s="204"/>
      <c r="BF111" s="204"/>
      <c r="BG111" s="204"/>
      <c r="BH111" s="204"/>
      <c r="BI111" s="204"/>
      <c r="BJ111" s="204"/>
      <c r="BK111" s="204"/>
      <c r="BL111" s="204"/>
      <c r="BM111" s="204"/>
      <c r="BN111" s="204"/>
      <c r="BO111" s="204"/>
      <c r="BP111" s="204"/>
    </row>
    <row r="112" spans="1:68" ht="12" customHeight="1" x14ac:dyDescent="0.2">
      <c r="A112" s="204"/>
      <c r="B112" s="204"/>
      <c r="C112" s="821"/>
      <c r="D112" s="204"/>
      <c r="E112" s="204"/>
      <c r="F112" s="204"/>
      <c r="G112" s="204"/>
      <c r="H112" s="204"/>
      <c r="I112" s="204"/>
      <c r="J112" s="204"/>
      <c r="K112" s="204"/>
      <c r="L112" s="204"/>
      <c r="M112" s="419"/>
      <c r="N112" s="440" t="s">
        <v>483</v>
      </c>
      <c r="R112" s="223">
        <f t="shared" ref="R112:AD112" si="88">SUM(R110:R111)</f>
        <v>-53</v>
      </c>
      <c r="S112" s="223">
        <f t="shared" si="88"/>
        <v>-53</v>
      </c>
      <c r="T112" s="223">
        <f t="shared" si="88"/>
        <v>-53</v>
      </c>
      <c r="U112" s="223">
        <f t="shared" si="88"/>
        <v>-53</v>
      </c>
      <c r="V112" s="223">
        <f t="shared" si="88"/>
        <v>-53</v>
      </c>
      <c r="W112" s="223">
        <f t="shared" si="88"/>
        <v>-53</v>
      </c>
      <c r="X112" s="223">
        <f t="shared" si="88"/>
        <v>-53</v>
      </c>
      <c r="Y112" s="223">
        <f t="shared" si="88"/>
        <v>-52</v>
      </c>
      <c r="Z112" s="223">
        <f t="shared" si="88"/>
        <v>-53</v>
      </c>
      <c r="AA112" s="223">
        <f t="shared" si="88"/>
        <v>-53</v>
      </c>
      <c r="AB112" s="223">
        <f t="shared" si="88"/>
        <v>-52</v>
      </c>
      <c r="AC112" s="223">
        <f t="shared" si="88"/>
        <v>-53</v>
      </c>
      <c r="AD112" s="223">
        <f t="shared" si="88"/>
        <v>-634</v>
      </c>
      <c r="AI112" s="204"/>
      <c r="AJ112" s="204"/>
      <c r="AK112" s="821"/>
      <c r="AL112" s="204"/>
      <c r="AM112" s="204"/>
      <c r="AN112" s="204"/>
      <c r="AO112" s="204"/>
      <c r="AP112" s="204"/>
      <c r="AQ112" s="204"/>
      <c r="AR112" s="204"/>
      <c r="AS112" s="204"/>
      <c r="AT112" s="204"/>
      <c r="AU112" s="204"/>
      <c r="AV112" s="204"/>
      <c r="AW112" s="204"/>
      <c r="AX112" s="204"/>
      <c r="AY112" s="204"/>
      <c r="AZ112" s="204"/>
      <c r="BA112" s="204"/>
      <c r="BB112" s="204"/>
      <c r="BC112" s="204"/>
      <c r="BD112" s="204"/>
      <c r="BE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</row>
    <row r="113" spans="1:68" ht="6" customHeight="1" x14ac:dyDescent="0.2">
      <c r="A113" s="204"/>
      <c r="B113" s="204"/>
      <c r="C113" s="821"/>
      <c r="D113" s="204"/>
      <c r="E113" s="204"/>
      <c r="F113" s="204"/>
      <c r="G113" s="204"/>
      <c r="H113" s="204"/>
      <c r="I113" s="204"/>
      <c r="J113" s="204"/>
      <c r="K113" s="204"/>
      <c r="L113" s="204"/>
      <c r="M113" s="419"/>
      <c r="N113" s="419"/>
      <c r="AI113" s="204"/>
      <c r="AJ113" s="204"/>
      <c r="AK113" s="821"/>
      <c r="AL113" s="204"/>
      <c r="AM113" s="204"/>
      <c r="AN113" s="204"/>
      <c r="AO113" s="204"/>
      <c r="AP113" s="204"/>
      <c r="AQ113" s="204"/>
      <c r="AR113" s="204"/>
      <c r="AS113" s="204"/>
      <c r="AT113" s="204"/>
      <c r="AU113" s="204"/>
      <c r="AV113" s="204"/>
      <c r="AW113" s="204"/>
      <c r="AX113" s="204"/>
      <c r="AY113" s="204"/>
      <c r="AZ113" s="204"/>
      <c r="BA113" s="204"/>
      <c r="BB113" s="204"/>
      <c r="BC113" s="204"/>
      <c r="BD113" s="204"/>
      <c r="BE113" s="204"/>
      <c r="BF113" s="204"/>
      <c r="BG113" s="204"/>
      <c r="BH113" s="204"/>
      <c r="BI113" s="204"/>
      <c r="BJ113" s="204"/>
      <c r="BK113" s="204"/>
      <c r="BL113" s="204"/>
      <c r="BM113" s="204"/>
      <c r="BN113" s="204"/>
      <c r="BO113" s="204"/>
      <c r="BP113" s="204"/>
    </row>
    <row r="114" spans="1:68" ht="12" customHeight="1" x14ac:dyDescent="0.2">
      <c r="A114" s="204"/>
      <c r="B114" s="204"/>
      <c r="C114" s="821"/>
      <c r="D114" s="204"/>
      <c r="E114" s="204"/>
      <c r="F114" s="204"/>
      <c r="G114" s="204"/>
      <c r="H114" s="204"/>
      <c r="I114" s="204"/>
      <c r="J114" s="204"/>
      <c r="K114" s="204"/>
      <c r="L114" s="204"/>
      <c r="M114" s="441"/>
      <c r="N114" s="440" t="s">
        <v>484</v>
      </c>
      <c r="R114" s="215">
        <f>-RegAmort!C46</f>
        <v>-11</v>
      </c>
      <c r="S114" s="215">
        <f>-RegAmort!D46</f>
        <v>-11</v>
      </c>
      <c r="T114" s="215">
        <f>-RegAmort!E46</f>
        <v>-11</v>
      </c>
      <c r="U114" s="215">
        <f>-RegAmort!F46</f>
        <v>-11</v>
      </c>
      <c r="V114" s="215">
        <f>-RegAmort!G46</f>
        <v>-11</v>
      </c>
      <c r="W114" s="215">
        <f>-RegAmort!H46</f>
        <v>-11</v>
      </c>
      <c r="X114" s="215">
        <f>-RegAmort!I46</f>
        <v>-11</v>
      </c>
      <c r="Y114" s="215">
        <f>-RegAmort!J46</f>
        <v>-11</v>
      </c>
      <c r="Z114" s="215">
        <f>-RegAmort!K46</f>
        <v>-10</v>
      </c>
      <c r="AA114" s="215">
        <f>-RegAmort!L46</f>
        <v>-11</v>
      </c>
      <c r="AB114" s="215">
        <f>-RegAmort!M46</f>
        <v>-11</v>
      </c>
      <c r="AC114" s="215">
        <f>-RegAmort!N46</f>
        <v>-10</v>
      </c>
      <c r="AD114" s="215">
        <f>SUM(R114:AC114)</f>
        <v>-130</v>
      </c>
      <c r="AE114" s="215"/>
      <c r="AF114" s="215"/>
      <c r="AI114" s="204"/>
      <c r="AJ114" s="204"/>
      <c r="AK114" s="821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204"/>
      <c r="BN114" s="204"/>
      <c r="BO114" s="204"/>
      <c r="BP114" s="204"/>
    </row>
    <row r="115" spans="1:68" ht="12" customHeight="1" x14ac:dyDescent="0.2">
      <c r="A115" s="204"/>
      <c r="B115" s="204"/>
      <c r="C115" s="821"/>
      <c r="D115" s="204"/>
      <c r="E115" s="204"/>
      <c r="F115" s="204"/>
      <c r="G115" s="204"/>
      <c r="H115" s="204"/>
      <c r="I115" s="204"/>
      <c r="J115" s="204"/>
      <c r="K115" s="204"/>
      <c r="L115" s="204"/>
      <c r="M115" s="221"/>
      <c r="N115" s="428" t="s">
        <v>485</v>
      </c>
      <c r="O115" s="212"/>
      <c r="R115" s="265">
        <v>0</v>
      </c>
      <c r="S115" s="265">
        <v>0</v>
      </c>
      <c r="T115" s="265">
        <v>0</v>
      </c>
      <c r="U115" s="265">
        <v>0</v>
      </c>
      <c r="V115" s="265">
        <v>0</v>
      </c>
      <c r="W115" s="265">
        <v>0</v>
      </c>
      <c r="X115" s="265">
        <v>0</v>
      </c>
      <c r="Y115" s="265">
        <v>0</v>
      </c>
      <c r="Z115" s="265">
        <v>0</v>
      </c>
      <c r="AA115" s="265">
        <v>0</v>
      </c>
      <c r="AB115" s="265">
        <v>0</v>
      </c>
      <c r="AC115" s="265">
        <v>0</v>
      </c>
      <c r="AD115" s="223">
        <f>SUM(R115:AC115)</f>
        <v>0</v>
      </c>
      <c r="AI115" s="204"/>
      <c r="AJ115" s="204"/>
      <c r="AK115" s="821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4"/>
      <c r="AX115" s="204"/>
      <c r="AY115" s="204"/>
      <c r="AZ115" s="204"/>
      <c r="BA115" s="204"/>
      <c r="BB115" s="204"/>
      <c r="BC115" s="204"/>
      <c r="BD115" s="204"/>
      <c r="BE115" s="204"/>
      <c r="BF115" s="204"/>
      <c r="BG115" s="204"/>
      <c r="BH115" s="204"/>
      <c r="BI115" s="204"/>
      <c r="BJ115" s="204"/>
      <c r="BK115" s="204"/>
      <c r="BL115" s="204"/>
      <c r="BM115" s="204"/>
      <c r="BN115" s="204"/>
      <c r="BO115" s="204"/>
      <c r="BP115" s="204"/>
    </row>
    <row r="116" spans="1:68" ht="12" customHeight="1" x14ac:dyDescent="0.2">
      <c r="A116" s="204"/>
      <c r="B116" s="204"/>
      <c r="C116" s="821"/>
      <c r="D116" s="204"/>
      <c r="E116" s="204"/>
      <c r="F116" s="204"/>
      <c r="G116" s="204"/>
      <c r="H116" s="204"/>
      <c r="I116" s="204"/>
      <c r="J116" s="204"/>
      <c r="K116" s="204"/>
      <c r="L116" s="204"/>
      <c r="M116" s="419"/>
      <c r="N116" s="440" t="s">
        <v>486</v>
      </c>
      <c r="R116" s="223">
        <f t="shared" ref="R116:AD116" si="89">SUM(R114:R115)</f>
        <v>-11</v>
      </c>
      <c r="S116" s="223">
        <f t="shared" si="89"/>
        <v>-11</v>
      </c>
      <c r="T116" s="223">
        <f t="shared" si="89"/>
        <v>-11</v>
      </c>
      <c r="U116" s="223">
        <f t="shared" si="89"/>
        <v>-11</v>
      </c>
      <c r="V116" s="223">
        <f t="shared" si="89"/>
        <v>-11</v>
      </c>
      <c r="W116" s="223">
        <f t="shared" si="89"/>
        <v>-11</v>
      </c>
      <c r="X116" s="223">
        <f t="shared" si="89"/>
        <v>-11</v>
      </c>
      <c r="Y116" s="223">
        <f t="shared" si="89"/>
        <v>-11</v>
      </c>
      <c r="Z116" s="223">
        <f t="shared" si="89"/>
        <v>-10</v>
      </c>
      <c r="AA116" s="223">
        <f t="shared" si="89"/>
        <v>-11</v>
      </c>
      <c r="AB116" s="223">
        <f t="shared" si="89"/>
        <v>-11</v>
      </c>
      <c r="AC116" s="223">
        <f t="shared" si="89"/>
        <v>-10</v>
      </c>
      <c r="AD116" s="223">
        <f t="shared" si="89"/>
        <v>-130</v>
      </c>
      <c r="AI116" s="204"/>
      <c r="AJ116" s="204"/>
      <c r="AK116" s="821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04"/>
      <c r="BN116" s="204"/>
      <c r="BO116" s="204"/>
      <c r="BP116" s="204"/>
    </row>
    <row r="117" spans="1:68" ht="6" customHeight="1" x14ac:dyDescent="0.2">
      <c r="A117" s="204"/>
      <c r="B117" s="204"/>
      <c r="C117" s="821"/>
      <c r="D117" s="204"/>
      <c r="E117" s="204"/>
      <c r="F117" s="204"/>
      <c r="G117" s="204"/>
      <c r="H117" s="204"/>
      <c r="I117" s="204"/>
      <c r="J117" s="204"/>
      <c r="K117" s="204"/>
      <c r="L117" s="204"/>
      <c r="M117" s="419"/>
      <c r="N117" s="419"/>
      <c r="AI117" s="204"/>
      <c r="AJ117" s="204"/>
      <c r="AK117" s="821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4"/>
      <c r="AX117" s="204"/>
      <c r="AY117" s="204"/>
      <c r="AZ117" s="204"/>
      <c r="BA117" s="204"/>
      <c r="BB117" s="204"/>
      <c r="BC117" s="204"/>
      <c r="BD117" s="204"/>
      <c r="BE117" s="204"/>
      <c r="BF117" s="204"/>
      <c r="BG117" s="204"/>
      <c r="BH117" s="204"/>
      <c r="BI117" s="204"/>
      <c r="BJ117" s="204"/>
      <c r="BK117" s="204"/>
      <c r="BL117" s="204"/>
      <c r="BM117" s="204"/>
      <c r="BN117" s="204"/>
      <c r="BO117" s="204"/>
      <c r="BP117" s="204"/>
    </row>
    <row r="118" spans="1:68" ht="12" customHeight="1" x14ac:dyDescent="0.2">
      <c r="A118" s="204"/>
      <c r="B118" s="204"/>
      <c r="C118" s="821"/>
      <c r="D118" s="204"/>
      <c r="E118" s="204"/>
      <c r="F118" s="204"/>
      <c r="G118" s="204"/>
      <c r="H118" s="204"/>
      <c r="I118" s="204"/>
      <c r="J118" s="204"/>
      <c r="K118" s="204"/>
      <c r="L118" s="204"/>
      <c r="M118" s="441"/>
      <c r="N118" s="440" t="s">
        <v>487</v>
      </c>
      <c r="P118" s="267"/>
      <c r="R118" s="215">
        <f>-RegAmort!C47</f>
        <v>-7</v>
      </c>
      <c r="S118" s="215">
        <f>-RegAmort!D47</f>
        <v>-7</v>
      </c>
      <c r="T118" s="215">
        <f>-RegAmort!E47</f>
        <v>-7</v>
      </c>
      <c r="U118" s="215">
        <f>-RegAmort!F47</f>
        <v>-7</v>
      </c>
      <c r="V118" s="215">
        <f>-RegAmort!G47</f>
        <v>-7</v>
      </c>
      <c r="W118" s="215">
        <f>-RegAmort!H47</f>
        <v>-7</v>
      </c>
      <c r="X118" s="215">
        <f>-RegAmort!I47</f>
        <v>-7</v>
      </c>
      <c r="Y118" s="215">
        <f>-RegAmort!J47</f>
        <v>-7</v>
      </c>
      <c r="Z118" s="215">
        <f>-RegAmort!K47</f>
        <v>-7</v>
      </c>
      <c r="AA118" s="215">
        <f>-RegAmort!L47</f>
        <v>-7</v>
      </c>
      <c r="AB118" s="215">
        <f>-RegAmort!M47</f>
        <v>-7</v>
      </c>
      <c r="AC118" s="215">
        <f>-RegAmort!N47</f>
        <v>-7</v>
      </c>
      <c r="AD118" s="215">
        <f>SUM(R118:AC118)</f>
        <v>-84</v>
      </c>
      <c r="AI118" s="204"/>
      <c r="AJ118" s="204"/>
      <c r="AK118" s="821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04"/>
      <c r="BN118" s="204"/>
      <c r="BO118" s="204"/>
      <c r="BP118" s="204"/>
    </row>
    <row r="119" spans="1:68" ht="12" customHeight="1" x14ac:dyDescent="0.2">
      <c r="A119" s="204"/>
      <c r="B119" s="204"/>
      <c r="C119" s="821"/>
      <c r="D119" s="204"/>
      <c r="E119" s="204"/>
      <c r="F119" s="204"/>
      <c r="G119" s="204"/>
      <c r="H119" s="204"/>
      <c r="I119" s="204"/>
      <c r="J119" s="204"/>
      <c r="K119" s="204"/>
      <c r="L119" s="204"/>
      <c r="M119" s="221"/>
      <c r="N119" s="428" t="s">
        <v>915</v>
      </c>
      <c r="O119" s="212"/>
      <c r="R119" s="265">
        <v>0</v>
      </c>
      <c r="S119" s="265">
        <v>0</v>
      </c>
      <c r="T119" s="265">
        <v>0</v>
      </c>
      <c r="U119" s="265">
        <v>0</v>
      </c>
      <c r="V119" s="265">
        <v>0</v>
      </c>
      <c r="W119" s="265">
        <v>0</v>
      </c>
      <c r="X119" s="265">
        <v>0</v>
      </c>
      <c r="Y119" s="265">
        <v>0</v>
      </c>
      <c r="Z119" s="265">
        <v>0</v>
      </c>
      <c r="AA119" s="265">
        <v>0</v>
      </c>
      <c r="AB119" s="265">
        <v>0</v>
      </c>
      <c r="AC119" s="265">
        <v>0</v>
      </c>
      <c r="AD119" s="223">
        <f>SUM(R119:AC119)</f>
        <v>0</v>
      </c>
      <c r="AE119" s="224"/>
      <c r="AF119" s="224"/>
      <c r="AG119" s="224"/>
      <c r="AH119" s="224"/>
      <c r="AI119" s="204"/>
      <c r="AJ119" s="204"/>
      <c r="AK119" s="821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4"/>
      <c r="AX119" s="204"/>
      <c r="AY119" s="204"/>
      <c r="AZ119" s="204"/>
      <c r="BA119" s="204"/>
      <c r="BB119" s="204"/>
      <c r="BC119" s="204"/>
      <c r="BD119" s="204"/>
      <c r="BE119" s="204"/>
      <c r="BF119" s="204"/>
      <c r="BG119" s="204"/>
      <c r="BH119" s="204"/>
      <c r="BI119" s="204"/>
      <c r="BJ119" s="204"/>
      <c r="BK119" s="204"/>
      <c r="BL119" s="204"/>
      <c r="BM119" s="204"/>
      <c r="BN119" s="204"/>
      <c r="BO119" s="204"/>
      <c r="BP119" s="204"/>
    </row>
    <row r="120" spans="1:68" ht="12" customHeight="1" x14ac:dyDescent="0.2">
      <c r="A120" s="204"/>
      <c r="B120" s="204"/>
      <c r="C120" s="821"/>
      <c r="D120" s="204"/>
      <c r="E120" s="204"/>
      <c r="F120" s="204"/>
      <c r="G120" s="204"/>
      <c r="H120" s="204"/>
      <c r="I120" s="204"/>
      <c r="J120" s="204"/>
      <c r="K120" s="204"/>
      <c r="L120" s="204"/>
      <c r="M120" s="419"/>
      <c r="N120" s="440" t="s">
        <v>488</v>
      </c>
      <c r="R120" s="223">
        <f t="shared" ref="R120:AD120" si="90">SUM(R118:R119)</f>
        <v>-7</v>
      </c>
      <c r="S120" s="223">
        <f t="shared" si="90"/>
        <v>-7</v>
      </c>
      <c r="T120" s="223">
        <f t="shared" si="90"/>
        <v>-7</v>
      </c>
      <c r="U120" s="223">
        <f t="shared" si="90"/>
        <v>-7</v>
      </c>
      <c r="V120" s="223">
        <f t="shared" si="90"/>
        <v>-7</v>
      </c>
      <c r="W120" s="223">
        <f t="shared" si="90"/>
        <v>-7</v>
      </c>
      <c r="X120" s="223">
        <f t="shared" si="90"/>
        <v>-7</v>
      </c>
      <c r="Y120" s="223">
        <f t="shared" si="90"/>
        <v>-7</v>
      </c>
      <c r="Z120" s="223">
        <f t="shared" si="90"/>
        <v>-7</v>
      </c>
      <c r="AA120" s="223">
        <f t="shared" si="90"/>
        <v>-7</v>
      </c>
      <c r="AB120" s="223">
        <f t="shared" si="90"/>
        <v>-7</v>
      </c>
      <c r="AC120" s="223">
        <f t="shared" si="90"/>
        <v>-7</v>
      </c>
      <c r="AD120" s="223">
        <f t="shared" si="90"/>
        <v>-84</v>
      </c>
      <c r="AI120" s="204"/>
      <c r="AJ120" s="204"/>
      <c r="AK120" s="821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4"/>
      <c r="AX120" s="204"/>
      <c r="AY120" s="204"/>
      <c r="AZ120" s="204"/>
      <c r="BA120" s="204"/>
      <c r="BB120" s="204"/>
      <c r="BC120" s="204"/>
      <c r="BD120" s="204"/>
      <c r="BE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</row>
    <row r="121" spans="1:68" ht="6" customHeight="1" x14ac:dyDescent="0.2">
      <c r="A121" s="204"/>
      <c r="B121" s="204"/>
      <c r="C121" s="821"/>
      <c r="D121" s="204"/>
      <c r="E121" s="204"/>
      <c r="F121" s="204"/>
      <c r="G121" s="204"/>
      <c r="H121" s="204"/>
      <c r="I121" s="204"/>
      <c r="J121" s="204"/>
      <c r="K121" s="204"/>
      <c r="L121" s="204"/>
      <c r="M121" s="419"/>
      <c r="N121" s="419"/>
      <c r="AI121" s="204"/>
      <c r="AJ121" s="204"/>
      <c r="AK121" s="821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4"/>
      <c r="BF121" s="204"/>
      <c r="BG121" s="204"/>
      <c r="BH121" s="204"/>
      <c r="BI121" s="204"/>
      <c r="BJ121" s="204"/>
      <c r="BK121" s="204"/>
      <c r="BL121" s="204"/>
      <c r="BM121" s="204"/>
      <c r="BN121" s="204"/>
      <c r="BO121" s="204"/>
      <c r="BP121" s="204"/>
    </row>
    <row r="122" spans="1:68" ht="12" customHeight="1" x14ac:dyDescent="0.2">
      <c r="A122" s="204"/>
      <c r="B122" s="204"/>
      <c r="C122" s="821"/>
      <c r="D122" s="204"/>
      <c r="E122" s="204"/>
      <c r="F122" s="204"/>
      <c r="G122" s="204"/>
      <c r="H122" s="204"/>
      <c r="I122" s="204"/>
      <c r="J122" s="204"/>
      <c r="K122" s="204"/>
      <c r="L122" s="204"/>
      <c r="M122" s="443" t="s">
        <v>489</v>
      </c>
      <c r="N122" s="419"/>
      <c r="AI122" s="204"/>
      <c r="AJ122" s="204"/>
      <c r="AK122" s="821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4"/>
      <c r="AX122" s="204"/>
      <c r="AY122" s="204"/>
      <c r="AZ122" s="204"/>
      <c r="BA122" s="204"/>
      <c r="BB122" s="204"/>
      <c r="BC122" s="204"/>
      <c r="BD122" s="204"/>
      <c r="BE122" s="204"/>
      <c r="BF122" s="204"/>
      <c r="BG122" s="204"/>
      <c r="BH122" s="204"/>
      <c r="BI122" s="204"/>
      <c r="BJ122" s="204"/>
      <c r="BK122" s="204"/>
      <c r="BL122" s="204"/>
      <c r="BM122" s="204"/>
      <c r="BN122" s="204"/>
      <c r="BO122" s="204"/>
      <c r="BP122" s="204"/>
    </row>
    <row r="123" spans="1:68" ht="12" customHeight="1" x14ac:dyDescent="0.2">
      <c r="A123" s="235"/>
      <c r="B123" s="204"/>
      <c r="C123" s="821"/>
      <c r="D123" s="204"/>
      <c r="E123" s="204"/>
      <c r="F123" s="204"/>
      <c r="G123" s="204"/>
      <c r="H123" s="204"/>
      <c r="I123" s="204"/>
      <c r="J123" s="204"/>
      <c r="K123" s="204"/>
      <c r="L123" s="204"/>
      <c r="M123"/>
      <c r="N123" s="440" t="s">
        <v>490</v>
      </c>
      <c r="P123" s="267"/>
      <c r="R123" s="215">
        <f>'Transport-OtherRev'!C30</f>
        <v>0</v>
      </c>
      <c r="S123" s="215">
        <f>'Transport-OtherRev'!D30</f>
        <v>0</v>
      </c>
      <c r="T123" s="215">
        <f>'Transport-OtherRev'!E30</f>
        <v>0</v>
      </c>
      <c r="U123" s="215">
        <f>'Transport-OtherRev'!F30</f>
        <v>0</v>
      </c>
      <c r="V123" s="215">
        <f>'Transport-OtherRev'!G30</f>
        <v>0</v>
      </c>
      <c r="W123" s="215">
        <f>'Transport-OtherRev'!H30</f>
        <v>0</v>
      </c>
      <c r="X123" s="215">
        <f>'Transport-OtherRev'!I30</f>
        <v>0</v>
      </c>
      <c r="Y123" s="215">
        <f>'Transport-OtherRev'!J30</f>
        <v>0</v>
      </c>
      <c r="Z123" s="215">
        <f>'Transport-OtherRev'!K30</f>
        <v>0</v>
      </c>
      <c r="AA123" s="215">
        <f>'Transport-OtherRev'!L30</f>
        <v>0</v>
      </c>
      <c r="AB123" s="215">
        <f>'Transport-OtherRev'!M30</f>
        <v>0</v>
      </c>
      <c r="AC123" s="215">
        <f>'Transport-OtherRev'!N30</f>
        <v>0</v>
      </c>
      <c r="AD123" s="215">
        <f t="shared" ref="AD123:AD131" si="91">SUM(R123:AC123)</f>
        <v>0</v>
      </c>
      <c r="AI123" s="204"/>
      <c r="AJ123" s="204"/>
      <c r="AK123" s="821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204"/>
      <c r="BN123" s="204"/>
      <c r="BO123" s="204"/>
      <c r="BP123" s="204"/>
    </row>
    <row r="124" spans="1:68" ht="6" customHeight="1" x14ac:dyDescent="0.2">
      <c r="A124" s="235"/>
      <c r="B124" s="204"/>
      <c r="C124" s="821"/>
      <c r="D124" s="204"/>
      <c r="E124" s="204"/>
      <c r="F124" s="204"/>
      <c r="G124" s="204"/>
      <c r="H124" s="204"/>
      <c r="I124" s="204"/>
      <c r="J124" s="204"/>
      <c r="K124" s="204"/>
      <c r="L124" s="204"/>
      <c r="M124"/>
      <c r="N124" s="440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I124" s="204"/>
      <c r="AJ124" s="204"/>
      <c r="AK124" s="821"/>
      <c r="AL124" s="204"/>
      <c r="AM124" s="204"/>
      <c r="AN124" s="204"/>
      <c r="AO124" s="204"/>
      <c r="AP124" s="204"/>
      <c r="AQ124" s="204"/>
      <c r="AR124" s="204"/>
      <c r="AS124" s="204"/>
      <c r="AT124" s="204"/>
      <c r="AU124" s="204"/>
      <c r="AV124" s="204"/>
      <c r="AW124" s="204"/>
      <c r="AX124" s="204"/>
      <c r="AY124" s="204"/>
      <c r="AZ124" s="204"/>
      <c r="BA124" s="204"/>
      <c r="BB124" s="204"/>
      <c r="BC124" s="204"/>
      <c r="BD124" s="204"/>
      <c r="BE124" s="204"/>
      <c r="BF124" s="204"/>
      <c r="BG124" s="204"/>
      <c r="BH124" s="204"/>
      <c r="BI124" s="204"/>
      <c r="BJ124" s="204"/>
      <c r="BK124" s="204"/>
      <c r="BL124" s="204"/>
      <c r="BM124" s="204"/>
      <c r="BN124" s="204"/>
      <c r="BO124" s="204"/>
      <c r="BP124" s="204"/>
    </row>
    <row r="125" spans="1:68" ht="12" customHeight="1" x14ac:dyDescent="0.2">
      <c r="A125" s="235"/>
      <c r="B125" s="204"/>
      <c r="C125" s="821"/>
      <c r="D125" s="204"/>
      <c r="E125" s="204"/>
      <c r="F125" s="204"/>
      <c r="G125" s="204"/>
      <c r="H125" s="204"/>
      <c r="I125" s="204"/>
      <c r="J125" s="204"/>
      <c r="K125" s="204"/>
      <c r="L125" s="204"/>
      <c r="M125"/>
      <c r="N125" s="440" t="s">
        <v>492</v>
      </c>
      <c r="P125" s="267"/>
      <c r="R125" s="828">
        <f>'Transport-OtherRev'!C31+'Transport-OtherRev'!C32</f>
        <v>0</v>
      </c>
      <c r="S125" s="828">
        <f>'Transport-OtherRev'!D31+'Transport-OtherRev'!D32</f>
        <v>0</v>
      </c>
      <c r="T125" s="828">
        <f>'Transport-OtherRev'!E31+'Transport-OtherRev'!E32</f>
        <v>0</v>
      </c>
      <c r="U125" s="828">
        <f>'Transport-OtherRev'!F31+'Transport-OtherRev'!F32</f>
        <v>0</v>
      </c>
      <c r="V125" s="828">
        <f>'Transport-OtherRev'!G31+'Transport-OtherRev'!G32</f>
        <v>0</v>
      </c>
      <c r="W125" s="828">
        <f>'Transport-OtherRev'!H31+'Transport-OtherRev'!H32</f>
        <v>0</v>
      </c>
      <c r="X125" s="828">
        <f>'Transport-OtherRev'!I31+'Transport-OtherRev'!I32</f>
        <v>0</v>
      </c>
      <c r="Y125" s="828">
        <f>'Transport-OtherRev'!J31+'Transport-OtherRev'!J32</f>
        <v>0</v>
      </c>
      <c r="Z125" s="828">
        <f>'Transport-OtherRev'!K31+'Transport-OtherRev'!K32</f>
        <v>0</v>
      </c>
      <c r="AA125" s="828">
        <f>'Transport-OtherRev'!L31+'Transport-OtherRev'!L32</f>
        <v>0</v>
      </c>
      <c r="AB125" s="828">
        <f>'Transport-OtherRev'!M31+'Transport-OtherRev'!M32</f>
        <v>0</v>
      </c>
      <c r="AC125" s="828">
        <f>'Transport-OtherRev'!N31+'Transport-OtherRev'!N32</f>
        <v>0</v>
      </c>
      <c r="AD125" s="215">
        <f t="shared" si="91"/>
        <v>0</v>
      </c>
      <c r="AI125" s="204"/>
      <c r="AJ125" s="204"/>
      <c r="AK125" s="821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4"/>
      <c r="AX125" s="204"/>
      <c r="AY125" s="204"/>
      <c r="AZ125" s="204"/>
      <c r="BA125" s="204"/>
      <c r="BB125" s="204"/>
      <c r="BC125" s="204"/>
      <c r="BD125" s="204"/>
      <c r="BE125" s="204"/>
      <c r="BF125" s="204"/>
      <c r="BG125" s="204"/>
      <c r="BH125" s="204"/>
      <c r="BI125" s="204"/>
      <c r="BJ125" s="204"/>
      <c r="BK125" s="204"/>
      <c r="BL125" s="204"/>
      <c r="BM125" s="204"/>
      <c r="BN125" s="204"/>
      <c r="BO125" s="204"/>
      <c r="BP125" s="204"/>
    </row>
    <row r="126" spans="1:68" ht="6" customHeight="1" x14ac:dyDescent="0.2">
      <c r="A126" s="235"/>
      <c r="B126" s="204"/>
      <c r="C126" s="821"/>
      <c r="D126" s="204"/>
      <c r="E126" s="204"/>
      <c r="F126" s="204"/>
      <c r="G126" s="204"/>
      <c r="H126" s="204"/>
      <c r="I126" s="204"/>
      <c r="J126" s="204"/>
      <c r="K126" s="204"/>
      <c r="L126" s="204"/>
      <c r="M126"/>
      <c r="N126" s="440"/>
      <c r="P126" s="267"/>
      <c r="R126" s="215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15"/>
      <c r="AI126" s="204"/>
      <c r="AJ126" s="204"/>
      <c r="AK126" s="821"/>
      <c r="AL126" s="204"/>
      <c r="AM126" s="204"/>
      <c r="AN126" s="204"/>
      <c r="AO126" s="204"/>
      <c r="AP126" s="204"/>
      <c r="AQ126" s="204"/>
      <c r="AR126" s="204"/>
      <c r="AS126" s="204"/>
      <c r="AT126" s="204"/>
      <c r="AU126" s="204"/>
      <c r="AV126" s="204"/>
      <c r="AW126" s="204"/>
      <c r="AX126" s="204"/>
      <c r="AY126" s="204"/>
      <c r="AZ126" s="204"/>
      <c r="BA126" s="204"/>
      <c r="BB126" s="204"/>
      <c r="BC126" s="204"/>
      <c r="BD126" s="204"/>
      <c r="BE126" s="204"/>
      <c r="BF126" s="204"/>
      <c r="BG126" s="204"/>
      <c r="BH126" s="204"/>
      <c r="BI126" s="204"/>
      <c r="BJ126" s="204"/>
      <c r="BK126" s="204"/>
      <c r="BL126" s="204"/>
      <c r="BM126" s="204"/>
      <c r="BN126" s="204"/>
      <c r="BO126" s="204"/>
      <c r="BP126" s="204"/>
    </row>
    <row r="127" spans="1:68" ht="12" customHeight="1" x14ac:dyDescent="0.2">
      <c r="A127" s="204"/>
      <c r="B127" s="204"/>
      <c r="C127" s="821"/>
      <c r="D127" s="204"/>
      <c r="E127" s="204"/>
      <c r="F127" s="204"/>
      <c r="G127" s="204"/>
      <c r="H127" s="204"/>
      <c r="I127" s="204"/>
      <c r="J127" s="204"/>
      <c r="K127" s="204"/>
      <c r="L127" s="204"/>
      <c r="M127"/>
      <c r="N127" s="440" t="s">
        <v>493</v>
      </c>
      <c r="R127" s="215">
        <f>-IntDeduct!C41</f>
        <v>0</v>
      </c>
      <c r="S127" s="215">
        <f>-IntDeduct!D41</f>
        <v>0</v>
      </c>
      <c r="T127" s="215">
        <f>-IntDeduct!E41</f>
        <v>0</v>
      </c>
      <c r="U127" s="215">
        <f>-IntDeduct!F41</f>
        <v>0</v>
      </c>
      <c r="V127" s="215">
        <f>-IntDeduct!G41</f>
        <v>0</v>
      </c>
      <c r="W127" s="215">
        <f>-IntDeduct!H41</f>
        <v>0</v>
      </c>
      <c r="X127" s="215">
        <f>-IntDeduct!I41</f>
        <v>0</v>
      </c>
      <c r="Y127" s="215">
        <f>-IntDeduct!J41</f>
        <v>0</v>
      </c>
      <c r="Z127" s="215">
        <f>-IntDeduct!K41</f>
        <v>0</v>
      </c>
      <c r="AA127" s="215">
        <f>-IntDeduct!L41</f>
        <v>0</v>
      </c>
      <c r="AB127" s="215">
        <f>-IntDeduct!M41</f>
        <v>0</v>
      </c>
      <c r="AC127" s="215">
        <f>-IntDeduct!N41</f>
        <v>0</v>
      </c>
      <c r="AD127" s="215">
        <f t="shared" si="91"/>
        <v>0</v>
      </c>
      <c r="AI127" s="204"/>
      <c r="AJ127" s="204"/>
      <c r="AK127" s="821"/>
      <c r="AL127" s="204"/>
      <c r="AM127" s="204"/>
      <c r="AN127" s="204"/>
      <c r="AO127" s="204"/>
      <c r="AP127" s="204"/>
      <c r="AQ127" s="204"/>
      <c r="AR127" s="204"/>
      <c r="AS127" s="204"/>
      <c r="AT127" s="204"/>
      <c r="AU127" s="204"/>
      <c r="AV127" s="204"/>
      <c r="AW127" s="204"/>
      <c r="AX127" s="204"/>
      <c r="AY127" s="204"/>
      <c r="AZ127" s="204"/>
      <c r="BA127" s="204"/>
      <c r="BB127" s="204"/>
      <c r="BC127" s="204"/>
      <c r="BD127" s="204"/>
      <c r="BE127" s="204"/>
      <c r="BF127" s="204"/>
      <c r="BG127" s="204"/>
      <c r="BH127" s="204"/>
      <c r="BI127" s="204"/>
      <c r="BJ127" s="204"/>
      <c r="BK127" s="204"/>
      <c r="BL127" s="204"/>
      <c r="BM127" s="204"/>
      <c r="BN127" s="204"/>
      <c r="BO127" s="204"/>
      <c r="BP127" s="204"/>
    </row>
    <row r="128" spans="1:68" ht="12" customHeight="1" x14ac:dyDescent="0.2">
      <c r="A128" s="235"/>
      <c r="B128" s="204"/>
      <c r="C128" s="821"/>
      <c r="D128" s="204"/>
      <c r="E128" s="204"/>
      <c r="F128" s="204"/>
      <c r="G128" s="204"/>
      <c r="H128" s="204"/>
      <c r="I128" s="204"/>
      <c r="J128" s="204"/>
      <c r="K128" s="204"/>
      <c r="L128" s="204"/>
      <c r="M128"/>
      <c r="N128" s="440" t="s">
        <v>1052</v>
      </c>
      <c r="R128" s="215">
        <f>-SUM(IntDeduct!C42:C43)</f>
        <v>0</v>
      </c>
      <c r="S128" s="215">
        <f>-SUM(IntDeduct!D42:D43)</f>
        <v>0</v>
      </c>
      <c r="T128" s="215">
        <f>-SUM(IntDeduct!E42:E43)</f>
        <v>0</v>
      </c>
      <c r="U128" s="215">
        <f>-SUM(IntDeduct!F42:F43)</f>
        <v>0</v>
      </c>
      <c r="V128" s="215">
        <f>-SUM(IntDeduct!G42:G43)</f>
        <v>0</v>
      </c>
      <c r="W128" s="215">
        <f>-SUM(IntDeduct!H42:H43)</f>
        <v>0</v>
      </c>
      <c r="X128" s="215">
        <f>-SUM(IntDeduct!I42:I43)</f>
        <v>0</v>
      </c>
      <c r="Y128" s="215">
        <f>-SUM(IntDeduct!J42:J43)</f>
        <v>0</v>
      </c>
      <c r="Z128" s="215">
        <f>-SUM(IntDeduct!K42:K43)</f>
        <v>0</v>
      </c>
      <c r="AA128" s="215">
        <f>-SUM(IntDeduct!L42:L43)</f>
        <v>0</v>
      </c>
      <c r="AB128" s="215">
        <f>-SUM(IntDeduct!M42:M43)</f>
        <v>0</v>
      </c>
      <c r="AC128" s="215">
        <f>-SUM(IntDeduct!N42:N43)</f>
        <v>0</v>
      </c>
      <c r="AD128" s="215">
        <f t="shared" si="91"/>
        <v>0</v>
      </c>
      <c r="AE128" s="215"/>
      <c r="AI128" s="204"/>
      <c r="AJ128" s="204"/>
      <c r="AK128" s="821"/>
      <c r="AL128" s="204"/>
      <c r="AM128" s="204"/>
      <c r="AN128" s="204"/>
      <c r="AO128" s="204"/>
      <c r="AP128" s="204"/>
      <c r="AQ128" s="204"/>
      <c r="AR128" s="204"/>
      <c r="AS128" s="204"/>
      <c r="AT128" s="204"/>
      <c r="AU128" s="204"/>
      <c r="AV128" s="204"/>
      <c r="AW128" s="204"/>
      <c r="AX128" s="204"/>
      <c r="AY128" s="204"/>
      <c r="AZ128" s="204"/>
      <c r="BA128" s="204"/>
      <c r="BB128" s="204"/>
      <c r="BC128" s="204"/>
      <c r="BD128" s="204"/>
      <c r="BE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</row>
    <row r="129" spans="1:68" ht="12" customHeight="1" x14ac:dyDescent="0.2">
      <c r="B129" s="204"/>
      <c r="C129" s="821"/>
      <c r="D129" s="204"/>
      <c r="E129" s="204"/>
      <c r="F129" s="204"/>
      <c r="G129" s="204"/>
      <c r="H129" s="204"/>
      <c r="I129" s="204"/>
      <c r="J129" s="204"/>
      <c r="K129" s="204"/>
      <c r="L129" s="204"/>
      <c r="M129"/>
      <c r="N129" s="440" t="s">
        <v>22</v>
      </c>
      <c r="P129" s="267" t="s">
        <v>491</v>
      </c>
      <c r="R129" s="214">
        <v>0</v>
      </c>
      <c r="S129" s="214">
        <v>0</v>
      </c>
      <c r="T129" s="214">
        <v>0</v>
      </c>
      <c r="U129" s="214">
        <v>0</v>
      </c>
      <c r="V129" s="214">
        <v>0</v>
      </c>
      <c r="W129" s="214">
        <v>0</v>
      </c>
      <c r="X129" s="214">
        <v>0</v>
      </c>
      <c r="Y129" s="214">
        <v>0</v>
      </c>
      <c r="Z129" s="214">
        <v>0</v>
      </c>
      <c r="AA129" s="214">
        <v>0</v>
      </c>
      <c r="AB129" s="214">
        <v>0</v>
      </c>
      <c r="AC129" s="214">
        <v>0</v>
      </c>
      <c r="AD129" s="215">
        <f t="shared" si="91"/>
        <v>0</v>
      </c>
      <c r="AI129" s="204"/>
      <c r="AJ129" s="204"/>
      <c r="AK129" s="821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204"/>
      <c r="BN129" s="204"/>
      <c r="BO129" s="204"/>
      <c r="BP129" s="204"/>
    </row>
    <row r="130" spans="1:68" ht="12" customHeight="1" x14ac:dyDescent="0.2">
      <c r="B130" s="204"/>
      <c r="C130" s="821"/>
      <c r="D130" s="204"/>
      <c r="E130" s="204"/>
      <c r="F130" s="204"/>
      <c r="G130" s="204"/>
      <c r="H130" s="204"/>
      <c r="I130" s="204"/>
      <c r="J130" s="204"/>
      <c r="K130" s="204"/>
      <c r="L130" s="204"/>
      <c r="M130"/>
      <c r="N130" s="428" t="s">
        <v>1054</v>
      </c>
      <c r="P130" s="267" t="s">
        <v>491</v>
      </c>
      <c r="R130" s="264">
        <v>0</v>
      </c>
      <c r="S130" s="264">
        <v>0</v>
      </c>
      <c r="T130" s="264">
        <v>0</v>
      </c>
      <c r="U130" s="264">
        <v>0</v>
      </c>
      <c r="V130" s="264">
        <v>0</v>
      </c>
      <c r="W130" s="264">
        <v>0</v>
      </c>
      <c r="X130" s="264">
        <v>0</v>
      </c>
      <c r="Y130" s="264">
        <v>0</v>
      </c>
      <c r="Z130" s="264">
        <v>0</v>
      </c>
      <c r="AA130" s="264">
        <v>0</v>
      </c>
      <c r="AB130" s="264">
        <v>0</v>
      </c>
      <c r="AC130" s="264">
        <v>0</v>
      </c>
      <c r="AD130" s="215">
        <f t="shared" si="91"/>
        <v>0</v>
      </c>
      <c r="AI130" s="204"/>
      <c r="AJ130" s="204"/>
      <c r="AK130" s="821"/>
      <c r="AL130" s="204"/>
      <c r="AM130" s="204"/>
      <c r="AN130" s="204"/>
      <c r="AO130" s="204"/>
      <c r="AP130" s="204"/>
      <c r="AQ130" s="204"/>
      <c r="AR130" s="204"/>
      <c r="AS130" s="204"/>
      <c r="AT130" s="204"/>
      <c r="AU130" s="204"/>
      <c r="AV130" s="204"/>
      <c r="AW130" s="204"/>
      <c r="AX130" s="204"/>
      <c r="AY130" s="204"/>
      <c r="AZ130" s="204"/>
      <c r="BA130" s="204"/>
      <c r="BB130" s="204"/>
      <c r="BC130" s="204"/>
      <c r="BD130" s="204"/>
      <c r="BE130" s="204"/>
      <c r="BF130" s="204"/>
      <c r="BG130" s="204"/>
      <c r="BH130" s="204"/>
      <c r="BI130" s="204"/>
      <c r="BJ130" s="204"/>
      <c r="BK130" s="204"/>
      <c r="BL130" s="204"/>
      <c r="BM130" s="204"/>
      <c r="BN130" s="204"/>
      <c r="BO130" s="204"/>
      <c r="BP130" s="204"/>
    </row>
    <row r="131" spans="1:68" ht="12" customHeight="1" x14ac:dyDescent="0.2">
      <c r="D131" s="204"/>
      <c r="E131" s="204"/>
      <c r="F131" s="204"/>
      <c r="G131" s="204"/>
      <c r="H131" s="204"/>
      <c r="I131" s="204"/>
      <c r="J131" s="204"/>
      <c r="K131" s="204"/>
      <c r="L131" s="204"/>
      <c r="M131"/>
      <c r="N131" s="428" t="s">
        <v>1055</v>
      </c>
      <c r="O131" s="212"/>
      <c r="P131" s="267" t="s">
        <v>491</v>
      </c>
      <c r="R131" s="265">
        <v>0</v>
      </c>
      <c r="S131" s="265">
        <v>0</v>
      </c>
      <c r="T131" s="265">
        <v>0</v>
      </c>
      <c r="U131" s="265">
        <v>0</v>
      </c>
      <c r="V131" s="265">
        <v>0</v>
      </c>
      <c r="W131" s="265">
        <v>0</v>
      </c>
      <c r="X131" s="265">
        <v>0</v>
      </c>
      <c r="Y131" s="265">
        <v>0</v>
      </c>
      <c r="Z131" s="265">
        <v>0</v>
      </c>
      <c r="AA131" s="265">
        <v>0</v>
      </c>
      <c r="AB131" s="265">
        <v>0</v>
      </c>
      <c r="AC131" s="265">
        <v>0</v>
      </c>
      <c r="AD131" s="223">
        <f t="shared" si="91"/>
        <v>0</v>
      </c>
      <c r="AI131" s="204"/>
      <c r="AJ131" s="204"/>
      <c r="AK131" s="821"/>
      <c r="AL131" s="204"/>
      <c r="AM131" s="204"/>
      <c r="AN131" s="204"/>
      <c r="AO131" s="204"/>
      <c r="AP131" s="204"/>
      <c r="AQ131" s="204"/>
      <c r="AR131" s="204"/>
      <c r="AS131" s="204"/>
      <c r="AT131" s="204"/>
      <c r="AU131" s="204"/>
      <c r="AV131" s="204"/>
      <c r="AW131" s="204"/>
      <c r="AX131" s="204"/>
      <c r="AY131" s="204"/>
      <c r="AZ131" s="204"/>
      <c r="BA131" s="204"/>
      <c r="BB131" s="204"/>
      <c r="BC131" s="204"/>
      <c r="BD131" s="204"/>
      <c r="BE131" s="204"/>
      <c r="BF131" s="204"/>
      <c r="BG131" s="204"/>
      <c r="BH131" s="204"/>
      <c r="BI131" s="204"/>
      <c r="BJ131" s="204"/>
      <c r="BK131" s="204"/>
      <c r="BL131" s="204"/>
      <c r="BM131" s="204"/>
      <c r="BN131" s="204"/>
      <c r="BO131" s="204"/>
      <c r="BP131" s="204"/>
    </row>
    <row r="132" spans="1:68" ht="12" customHeight="1" x14ac:dyDescent="0.2">
      <c r="A132" s="204"/>
      <c r="B132" s="204"/>
      <c r="C132" s="821"/>
      <c r="D132" s="204"/>
      <c r="E132" s="204"/>
      <c r="F132" s="204"/>
      <c r="G132" s="204"/>
      <c r="H132" s="204"/>
      <c r="I132" s="204"/>
      <c r="J132" s="204"/>
      <c r="K132" s="204"/>
      <c r="L132" s="204"/>
      <c r="M132"/>
      <c r="N132" s="419"/>
      <c r="R132" s="223">
        <f>SUM(R126:R131)</f>
        <v>0</v>
      </c>
      <c r="S132" s="223">
        <f t="shared" ref="S132:AD132" si="92">SUM(S126:S131)</f>
        <v>0</v>
      </c>
      <c r="T132" s="223">
        <f t="shared" si="92"/>
        <v>0</v>
      </c>
      <c r="U132" s="223">
        <f t="shared" si="92"/>
        <v>0</v>
      </c>
      <c r="V132" s="223">
        <f t="shared" si="92"/>
        <v>0</v>
      </c>
      <c r="W132" s="223">
        <f t="shared" si="92"/>
        <v>0</v>
      </c>
      <c r="X132" s="223">
        <f t="shared" si="92"/>
        <v>0</v>
      </c>
      <c r="Y132" s="223">
        <f t="shared" si="92"/>
        <v>0</v>
      </c>
      <c r="Z132" s="223">
        <f t="shared" si="92"/>
        <v>0</v>
      </c>
      <c r="AA132" s="223">
        <f t="shared" si="92"/>
        <v>0</v>
      </c>
      <c r="AB132" s="223">
        <f t="shared" si="92"/>
        <v>0</v>
      </c>
      <c r="AC132" s="223">
        <f t="shared" si="92"/>
        <v>0</v>
      </c>
      <c r="AD132" s="223">
        <f t="shared" si="92"/>
        <v>0</v>
      </c>
      <c r="AI132" s="204"/>
      <c r="AJ132" s="204"/>
      <c r="AK132" s="821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4"/>
      <c r="AX132" s="204"/>
      <c r="AY132" s="204"/>
      <c r="AZ132" s="204"/>
      <c r="BA132" s="204"/>
      <c r="BB132" s="204"/>
      <c r="BC132" s="204"/>
      <c r="BD132" s="204"/>
      <c r="BE132" s="204"/>
      <c r="BF132" s="204"/>
      <c r="BG132" s="204"/>
      <c r="BH132" s="204"/>
      <c r="BI132" s="204"/>
      <c r="BJ132" s="204"/>
      <c r="BK132" s="204"/>
      <c r="BL132" s="204"/>
      <c r="BM132" s="204"/>
      <c r="BN132" s="204"/>
      <c r="BO132" s="204"/>
      <c r="BP132" s="204"/>
    </row>
    <row r="133" spans="1:68" ht="6" customHeight="1" x14ac:dyDescent="0.2">
      <c r="A133" s="204"/>
      <c r="B133" s="204"/>
      <c r="C133" s="821"/>
      <c r="D133" s="204"/>
      <c r="E133" s="204"/>
      <c r="F133" s="204"/>
      <c r="G133" s="204"/>
      <c r="H133" s="204"/>
      <c r="I133" s="204"/>
      <c r="J133" s="204"/>
      <c r="K133" s="204"/>
      <c r="L133" s="204"/>
      <c r="M133"/>
      <c r="N133" s="419"/>
      <c r="AI133" s="204"/>
      <c r="AJ133" s="204"/>
      <c r="AK133" s="821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04"/>
      <c r="BN133" s="204"/>
      <c r="BO133" s="204"/>
      <c r="BP133" s="204"/>
    </row>
    <row r="134" spans="1:68" ht="12" customHeight="1" x14ac:dyDescent="0.2">
      <c r="A134" s="204"/>
      <c r="B134" s="204"/>
      <c r="C134" s="821"/>
      <c r="D134" s="204"/>
      <c r="E134" s="204"/>
      <c r="F134" s="204"/>
      <c r="G134" s="204"/>
      <c r="H134" s="204"/>
      <c r="I134" s="204"/>
      <c r="J134" s="204"/>
      <c r="K134" s="204"/>
      <c r="L134" s="204"/>
      <c r="M134" s="443" t="s">
        <v>494</v>
      </c>
      <c r="N134" s="200"/>
      <c r="O134" s="218"/>
      <c r="P134" s="200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G134" s="236"/>
      <c r="AI134" s="204"/>
      <c r="AJ134" s="233"/>
      <c r="AK134" s="822"/>
      <c r="AL134" s="233"/>
      <c r="AM134" s="233"/>
      <c r="AN134" s="233"/>
      <c r="AO134" s="233"/>
      <c r="AP134" s="233"/>
      <c r="AQ134" s="233"/>
      <c r="AR134" s="233"/>
      <c r="AS134" s="234"/>
      <c r="AT134" s="234"/>
      <c r="AU134" s="234"/>
      <c r="AV134" s="234"/>
      <c r="AW134" s="234"/>
      <c r="AX134" s="23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04"/>
      <c r="BN134" s="204"/>
      <c r="BO134" s="204"/>
      <c r="BP134" s="204"/>
    </row>
    <row r="135" spans="1:68" ht="12" customHeight="1" x14ac:dyDescent="0.2">
      <c r="A135" s="204"/>
      <c r="B135" s="204"/>
      <c r="C135" s="821"/>
      <c r="D135" s="204"/>
      <c r="E135" s="204"/>
      <c r="F135" s="204"/>
      <c r="G135" s="204"/>
      <c r="H135" s="204"/>
      <c r="I135" s="204"/>
      <c r="J135" s="204"/>
      <c r="K135" s="204"/>
      <c r="L135" s="204"/>
      <c r="M135"/>
      <c r="N135" s="440" t="s">
        <v>495</v>
      </c>
      <c r="O135" s="218"/>
      <c r="P135" s="267"/>
      <c r="R135" s="658">
        <f>-RegAmort!C32</f>
        <v>-10</v>
      </c>
      <c r="S135" s="658">
        <f>-RegAmort!D32</f>
        <v>-10</v>
      </c>
      <c r="T135" s="658">
        <f>-RegAmort!E32</f>
        <v>-10</v>
      </c>
      <c r="U135" s="658">
        <f>-RegAmort!F32</f>
        <v>-10</v>
      </c>
      <c r="V135" s="658">
        <f>-RegAmort!G32</f>
        <v>-10</v>
      </c>
      <c r="W135" s="658">
        <f>-RegAmort!H32</f>
        <v>-10</v>
      </c>
      <c r="X135" s="658">
        <f>-RegAmort!I32</f>
        <v>-10</v>
      </c>
      <c r="Y135" s="658">
        <f>-RegAmort!J32</f>
        <v>-10</v>
      </c>
      <c r="Z135" s="658">
        <f>-RegAmort!K32</f>
        <v>-10</v>
      </c>
      <c r="AA135" s="658">
        <f>-RegAmort!L32</f>
        <v>-10</v>
      </c>
      <c r="AB135" s="658">
        <f>-RegAmort!M32</f>
        <v>-10</v>
      </c>
      <c r="AC135" s="658">
        <f>-RegAmort!N32</f>
        <v>-10</v>
      </c>
      <c r="AD135" s="215">
        <f t="shared" ref="AD135:AD142" si="93">SUM(R135:AC135)</f>
        <v>-120</v>
      </c>
      <c r="AG135" s="236"/>
      <c r="AI135" s="204"/>
      <c r="AJ135" s="233"/>
      <c r="AK135" s="822"/>
      <c r="AL135" s="233"/>
      <c r="AM135" s="233"/>
      <c r="AN135" s="233"/>
      <c r="AO135" s="233"/>
      <c r="AP135" s="233"/>
      <c r="AQ135" s="233"/>
      <c r="AR135" s="233"/>
      <c r="AS135" s="234"/>
      <c r="AT135" s="234"/>
      <c r="AU135" s="234"/>
      <c r="AV135" s="234"/>
      <c r="AW135" s="234"/>
      <c r="AX135" s="23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4"/>
      <c r="BN135" s="204"/>
      <c r="BO135" s="204"/>
      <c r="BP135" s="204"/>
    </row>
    <row r="136" spans="1:68" ht="12" customHeight="1" x14ac:dyDescent="0.2">
      <c r="A136" s="204"/>
      <c r="B136" s="204"/>
      <c r="C136" s="821"/>
      <c r="D136" s="204"/>
      <c r="E136" s="204"/>
      <c r="F136" s="204"/>
      <c r="G136" s="204"/>
      <c r="H136" s="204"/>
      <c r="I136" s="204"/>
      <c r="J136" s="204"/>
      <c r="K136" s="204"/>
      <c r="L136" s="204"/>
      <c r="M136"/>
      <c r="N136" s="440" t="s">
        <v>496</v>
      </c>
      <c r="R136" s="215">
        <f>-RegAmort!C33</f>
        <v>-109</v>
      </c>
      <c r="S136" s="215">
        <f>-RegAmort!D33</f>
        <v>-109</v>
      </c>
      <c r="T136" s="215">
        <f>-RegAmort!E33</f>
        <v>-109</v>
      </c>
      <c r="U136" s="215">
        <f>-RegAmort!F33</f>
        <v>-109</v>
      </c>
      <c r="V136" s="215">
        <f>-RegAmort!G33</f>
        <v>-109</v>
      </c>
      <c r="W136" s="215">
        <f>-RegAmort!H33</f>
        <v>-109</v>
      </c>
      <c r="X136" s="215">
        <f>-RegAmort!I33</f>
        <v>-109</v>
      </c>
      <c r="Y136" s="215">
        <f>-RegAmort!J33</f>
        <v>-109</v>
      </c>
      <c r="Z136" s="215">
        <f>-RegAmort!K33</f>
        <v>-109</v>
      </c>
      <c r="AA136" s="215">
        <f>-RegAmort!L33</f>
        <v>-116</v>
      </c>
      <c r="AB136" s="215">
        <f>-RegAmort!M33</f>
        <v>-117</v>
      </c>
      <c r="AC136" s="215">
        <f>-RegAmort!N33</f>
        <v>-117</v>
      </c>
      <c r="AD136" s="215">
        <f t="shared" si="93"/>
        <v>-1331</v>
      </c>
      <c r="AI136" s="204"/>
      <c r="AJ136" s="204"/>
      <c r="AK136" s="821"/>
      <c r="AL136" s="204"/>
      <c r="AM136" s="204"/>
      <c r="AN136" s="204"/>
      <c r="AO136" s="204"/>
      <c r="AP136" s="204"/>
      <c r="AQ136" s="204"/>
      <c r="AR136" s="204"/>
      <c r="AS136" s="234"/>
      <c r="AT136" s="234"/>
      <c r="AU136" s="234"/>
      <c r="AV136" s="234"/>
      <c r="AW136" s="234"/>
      <c r="AX136" s="23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</row>
    <row r="137" spans="1:68" ht="12" customHeight="1" x14ac:dyDescent="0.2">
      <c r="A137" s="204"/>
      <c r="B137" s="204"/>
      <c r="C137" s="821"/>
      <c r="D137" s="204"/>
      <c r="E137" s="204"/>
      <c r="F137" s="204"/>
      <c r="G137" s="204"/>
      <c r="H137" s="204"/>
      <c r="I137" s="204"/>
      <c r="J137" s="204"/>
      <c r="K137" s="204"/>
      <c r="L137" s="204"/>
      <c r="M137"/>
      <c r="N137" s="440" t="s">
        <v>536</v>
      </c>
      <c r="P137" s="267"/>
      <c r="R137" s="215">
        <f>-RegAmort!C38</f>
        <v>-107</v>
      </c>
      <c r="S137" s="215">
        <f>-RegAmort!D38</f>
        <v>-108</v>
      </c>
      <c r="T137" s="215">
        <f>-RegAmort!E38</f>
        <v>-107</v>
      </c>
      <c r="U137" s="215">
        <f>-RegAmort!F38</f>
        <v>-107</v>
      </c>
      <c r="V137" s="215">
        <f>-RegAmort!G38</f>
        <v>-107</v>
      </c>
      <c r="W137" s="215">
        <f>-RegAmort!H38</f>
        <v>-107</v>
      </c>
      <c r="X137" s="215">
        <f>-RegAmort!I38</f>
        <v>-107</v>
      </c>
      <c r="Y137" s="494">
        <f>-RegAmort!J38</f>
        <v>-107</v>
      </c>
      <c r="Z137" s="215">
        <f>-RegAmort!K38</f>
        <v>-107</v>
      </c>
      <c r="AA137" s="215">
        <f>-RegAmort!L38</f>
        <v>-107</v>
      </c>
      <c r="AB137" s="215">
        <f>-RegAmort!M38</f>
        <v>-107</v>
      </c>
      <c r="AC137" s="215">
        <f>-RegAmort!N38</f>
        <v>-107</v>
      </c>
      <c r="AD137" s="215">
        <f t="shared" si="93"/>
        <v>-1285</v>
      </c>
      <c r="AG137" s="217"/>
      <c r="AI137" s="204"/>
      <c r="AJ137" s="204"/>
      <c r="AK137" s="821"/>
      <c r="AL137" s="204"/>
      <c r="AM137" s="204"/>
      <c r="AN137" s="204"/>
      <c r="AO137" s="204"/>
      <c r="AP137" s="204"/>
      <c r="AQ137" s="204"/>
      <c r="AR137" s="204"/>
      <c r="AS137" s="237"/>
      <c r="AT137" s="234"/>
      <c r="AU137" s="237"/>
      <c r="AV137" s="237"/>
      <c r="AW137" s="234"/>
      <c r="AX137" s="23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04"/>
      <c r="BN137" s="204"/>
      <c r="BO137" s="204"/>
      <c r="BP137" s="204"/>
    </row>
    <row r="138" spans="1:68" ht="12" customHeight="1" x14ac:dyDescent="0.2">
      <c r="A138" s="204"/>
      <c r="B138" s="204"/>
      <c r="C138" s="821"/>
      <c r="D138" s="204"/>
      <c r="E138" s="204"/>
      <c r="F138" s="204"/>
      <c r="G138" s="204"/>
      <c r="H138" s="204"/>
      <c r="I138" s="204"/>
      <c r="J138" s="204"/>
      <c r="K138" s="204"/>
      <c r="L138" s="204"/>
      <c r="M138"/>
      <c r="N138" s="440" t="s">
        <v>497</v>
      </c>
      <c r="R138" s="215">
        <f>-RegAmort!C39</f>
        <v>-4</v>
      </c>
      <c r="S138" s="215">
        <f>-RegAmort!D39</f>
        <v>-4</v>
      </c>
      <c r="T138" s="215">
        <f>-RegAmort!E39</f>
        <v>-4</v>
      </c>
      <c r="U138" s="215">
        <f>-RegAmort!F39</f>
        <v>-4</v>
      </c>
      <c r="V138" s="215">
        <f>-RegAmort!G39</f>
        <v>-4</v>
      </c>
      <c r="W138" s="215">
        <f>-RegAmort!H39</f>
        <v>-4</v>
      </c>
      <c r="X138" s="215">
        <f>-RegAmort!I39</f>
        <v>-4</v>
      </c>
      <c r="Y138" s="215">
        <f>-RegAmort!J39</f>
        <v>-4</v>
      </c>
      <c r="Z138" s="215">
        <f>-RegAmort!K39</f>
        <v>-4</v>
      </c>
      <c r="AA138" s="215">
        <f>-RegAmort!L39</f>
        <v>-4</v>
      </c>
      <c r="AB138" s="215">
        <f>-RegAmort!M39</f>
        <v>-4</v>
      </c>
      <c r="AC138" s="215">
        <f>-RegAmort!N39</f>
        <v>-4</v>
      </c>
      <c r="AD138" s="215">
        <f t="shared" si="93"/>
        <v>-48</v>
      </c>
      <c r="AI138" s="204"/>
      <c r="AJ138" s="204"/>
      <c r="AK138" s="821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204"/>
      <c r="BN138" s="204"/>
      <c r="BO138" s="204"/>
      <c r="BP138" s="204"/>
    </row>
    <row r="139" spans="1:68" ht="12" customHeight="1" x14ac:dyDescent="0.2">
      <c r="A139" s="204"/>
      <c r="B139" s="204"/>
      <c r="C139" s="821"/>
      <c r="D139" s="204"/>
      <c r="E139" s="204"/>
      <c r="F139" s="204"/>
      <c r="G139" s="204"/>
      <c r="H139" s="204"/>
      <c r="I139" s="204"/>
      <c r="J139" s="204"/>
      <c r="K139" s="204"/>
      <c r="L139" s="204"/>
      <c r="M139"/>
      <c r="N139" s="440" t="s">
        <v>498</v>
      </c>
      <c r="P139" s="267"/>
      <c r="Q139" s="202"/>
      <c r="R139" s="494">
        <f>-RegAmort!C49</f>
        <v>-7</v>
      </c>
      <c r="S139" s="494">
        <f>-RegAmort!D49</f>
        <v>-7</v>
      </c>
      <c r="T139" s="494">
        <f>-RegAmort!E49</f>
        <v>-7</v>
      </c>
      <c r="U139" s="494">
        <f>-RegAmort!F49</f>
        <v>-7</v>
      </c>
      <c r="V139" s="494">
        <f>-RegAmort!G49</f>
        <v>-7</v>
      </c>
      <c r="W139" s="494">
        <f>-RegAmort!H49</f>
        <v>-7</v>
      </c>
      <c r="X139" s="494">
        <f>-RegAmort!I49</f>
        <v>-7</v>
      </c>
      <c r="Y139" s="494">
        <f>-RegAmort!J49</f>
        <v>-8</v>
      </c>
      <c r="Z139" s="494">
        <f>-RegAmort!K49</f>
        <v>-7</v>
      </c>
      <c r="AA139" s="494">
        <f>-RegAmort!L49</f>
        <v>-8</v>
      </c>
      <c r="AB139" s="494">
        <f>-RegAmort!M49</f>
        <v>-7</v>
      </c>
      <c r="AC139" s="494">
        <f>-RegAmort!N49</f>
        <v>-8</v>
      </c>
      <c r="AD139" s="215">
        <f t="shared" si="93"/>
        <v>-87</v>
      </c>
      <c r="AI139" s="204"/>
      <c r="AJ139" s="204"/>
      <c r="AK139" s="821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204"/>
      <c r="BN139" s="204"/>
      <c r="BO139" s="204"/>
      <c r="BP139" s="204"/>
    </row>
    <row r="140" spans="1:68" ht="12" customHeight="1" x14ac:dyDescent="0.2">
      <c r="A140" s="204"/>
      <c r="B140" s="204"/>
      <c r="C140" s="821"/>
      <c r="D140" s="204"/>
      <c r="E140" s="204"/>
      <c r="F140" s="204"/>
      <c r="G140" s="204"/>
      <c r="H140" s="204"/>
      <c r="I140" s="204"/>
      <c r="J140" s="204"/>
      <c r="K140" s="204"/>
      <c r="L140" s="204"/>
      <c r="M140"/>
      <c r="N140" s="440" t="s">
        <v>499</v>
      </c>
      <c r="P140" s="267"/>
      <c r="Q140" s="202"/>
      <c r="R140" s="494">
        <f>-RegAmort!C50</f>
        <v>-38</v>
      </c>
      <c r="S140" s="494">
        <f>-RegAmort!D50</f>
        <v>-38</v>
      </c>
      <c r="T140" s="494">
        <f>-RegAmort!E50</f>
        <v>-38</v>
      </c>
      <c r="U140" s="494">
        <f>-RegAmort!F50</f>
        <v>-38</v>
      </c>
      <c r="V140" s="494">
        <f>-RegAmort!G50</f>
        <v>-38</v>
      </c>
      <c r="W140" s="494">
        <f>-RegAmort!H50</f>
        <v>-38</v>
      </c>
      <c r="X140" s="494">
        <f>-RegAmort!I50</f>
        <v>-38</v>
      </c>
      <c r="Y140" s="494">
        <f>-RegAmort!J50</f>
        <v>-38</v>
      </c>
      <c r="Z140" s="494">
        <f>-RegAmort!K50</f>
        <v>-38</v>
      </c>
      <c r="AA140" s="494">
        <f>-RegAmort!L50</f>
        <v>-38</v>
      </c>
      <c r="AB140" s="494">
        <f>-RegAmort!M50</f>
        <v>-38</v>
      </c>
      <c r="AC140" s="494">
        <f>-RegAmort!N50</f>
        <v>-37</v>
      </c>
      <c r="AD140" s="215">
        <f t="shared" si="93"/>
        <v>-455</v>
      </c>
      <c r="AI140" s="204"/>
      <c r="AJ140" s="204"/>
      <c r="AK140" s="821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204"/>
      <c r="BN140" s="204"/>
      <c r="BO140" s="204"/>
      <c r="BP140" s="204"/>
    </row>
    <row r="141" spans="1:68" ht="12" customHeight="1" x14ac:dyDescent="0.2">
      <c r="A141" s="204"/>
      <c r="B141" s="204"/>
      <c r="C141" s="821"/>
      <c r="D141" s="204"/>
      <c r="E141" s="204"/>
      <c r="F141" s="204"/>
      <c r="G141" s="204"/>
      <c r="H141" s="204"/>
      <c r="I141" s="204"/>
      <c r="J141" s="204"/>
      <c r="K141" s="204"/>
      <c r="L141" s="204"/>
      <c r="M141"/>
      <c r="N141" s="440" t="s">
        <v>500</v>
      </c>
      <c r="P141" s="267"/>
      <c r="R141" s="494">
        <f>-'O&amp;M'!C17</f>
        <v>0</v>
      </c>
      <c r="S141" s="494">
        <f>-'O&amp;M'!D17</f>
        <v>0</v>
      </c>
      <c r="T141" s="494">
        <f>-'O&amp;M'!E17</f>
        <v>0</v>
      </c>
      <c r="U141" s="494">
        <f>-'O&amp;M'!F17</f>
        <v>0</v>
      </c>
      <c r="V141" s="494">
        <f>-'O&amp;M'!G17</f>
        <v>0</v>
      </c>
      <c r="W141" s="494">
        <f>-'O&amp;M'!H17</f>
        <v>0</v>
      </c>
      <c r="X141" s="494">
        <f>-'O&amp;M'!I17</f>
        <v>0</v>
      </c>
      <c r="Y141" s="494">
        <f>-'O&amp;M'!J17</f>
        <v>0</v>
      </c>
      <c r="Z141" s="494">
        <f>-'O&amp;M'!K17</f>
        <v>0</v>
      </c>
      <c r="AA141" s="494">
        <f>-'O&amp;M'!L17</f>
        <v>0</v>
      </c>
      <c r="AB141" s="494">
        <f>-'O&amp;M'!M17</f>
        <v>0</v>
      </c>
      <c r="AC141" s="494">
        <f>-'O&amp;M'!N17</f>
        <v>0</v>
      </c>
      <c r="AD141" s="215">
        <f t="shared" si="93"/>
        <v>0</v>
      </c>
      <c r="AE141" s="215"/>
      <c r="AF141" s="215"/>
      <c r="AG141" s="215"/>
      <c r="AH141" s="215"/>
      <c r="AI141" s="234"/>
      <c r="AJ141" s="234"/>
      <c r="AK141" s="823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  <c r="AX141" s="234"/>
      <c r="AY141" s="234"/>
      <c r="AZ141" s="234"/>
      <c r="BA141" s="234"/>
      <c r="BB141" s="234"/>
      <c r="BC141" s="234"/>
      <c r="BD141" s="234"/>
      <c r="BE141" s="234"/>
      <c r="BF141" s="234"/>
      <c r="BG141" s="234"/>
      <c r="BH141" s="234"/>
      <c r="BI141" s="204"/>
      <c r="BJ141" s="204"/>
      <c r="BK141" s="204"/>
      <c r="BL141" s="204"/>
      <c r="BM141" s="204"/>
      <c r="BN141" s="204"/>
      <c r="BO141" s="204"/>
      <c r="BP141" s="204"/>
    </row>
    <row r="142" spans="1:68" ht="12" customHeight="1" x14ac:dyDescent="0.2">
      <c r="A142" s="204"/>
      <c r="B142" s="204"/>
      <c r="C142" s="821"/>
      <c r="D142" s="204"/>
      <c r="E142" s="204"/>
      <c r="F142" s="204"/>
      <c r="G142" s="204"/>
      <c r="H142" s="204"/>
      <c r="I142" s="204"/>
      <c r="J142" s="204"/>
      <c r="K142" s="204"/>
      <c r="L142" s="204"/>
      <c r="M142"/>
      <c r="N142" s="321" t="s">
        <v>501</v>
      </c>
      <c r="O142" s="759"/>
      <c r="P142" s="267" t="s">
        <v>491</v>
      </c>
      <c r="Q142"/>
      <c r="R142" s="264">
        <v>0</v>
      </c>
      <c r="S142" s="264">
        <v>0</v>
      </c>
      <c r="T142" s="264">
        <v>0</v>
      </c>
      <c r="U142" s="264">
        <v>0</v>
      </c>
      <c r="V142" s="264">
        <v>0</v>
      </c>
      <c r="W142" s="264">
        <v>0</v>
      </c>
      <c r="X142" s="264">
        <v>0</v>
      </c>
      <c r="Y142" s="264">
        <v>0</v>
      </c>
      <c r="Z142" s="264">
        <v>0</v>
      </c>
      <c r="AA142" s="264">
        <v>0</v>
      </c>
      <c r="AB142" s="264">
        <v>0</v>
      </c>
      <c r="AC142" s="264">
        <v>0</v>
      </c>
      <c r="AD142" s="215">
        <f t="shared" si="93"/>
        <v>0</v>
      </c>
      <c r="AI142" s="204"/>
      <c r="AJ142" s="204"/>
      <c r="AK142" s="821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204"/>
      <c r="BN142" s="204"/>
      <c r="BO142" s="204"/>
      <c r="BP142" s="204"/>
    </row>
    <row r="143" spans="1:68" ht="6" customHeight="1" x14ac:dyDescent="0.2">
      <c r="A143" s="204"/>
      <c r="B143" s="204"/>
      <c r="C143" s="821"/>
      <c r="D143" s="204"/>
      <c r="E143" s="204"/>
      <c r="F143" s="204"/>
      <c r="G143" s="204"/>
      <c r="H143" s="204"/>
      <c r="I143" s="204"/>
      <c r="J143" s="204"/>
      <c r="K143" s="204"/>
      <c r="L143" s="204"/>
      <c r="M143" s="419"/>
      <c r="N143" s="419"/>
      <c r="AI143" s="204"/>
      <c r="AJ143" s="204"/>
      <c r="AK143" s="821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  <c r="AX143" s="204"/>
      <c r="AY143" s="204"/>
      <c r="AZ143" s="204"/>
      <c r="BA143" s="204"/>
      <c r="BB143" s="204"/>
      <c r="BC143" s="204"/>
      <c r="BD143" s="204"/>
      <c r="BE143" s="204"/>
      <c r="BF143" s="204"/>
      <c r="BG143" s="204"/>
      <c r="BH143" s="204"/>
      <c r="BI143" s="204"/>
      <c r="BJ143" s="204"/>
      <c r="BK143" s="204"/>
      <c r="BL143" s="204"/>
      <c r="BM143" s="204"/>
      <c r="BN143" s="204"/>
      <c r="BO143" s="204"/>
      <c r="BP143" s="204"/>
    </row>
    <row r="144" spans="1:68" ht="12" customHeight="1" x14ac:dyDescent="0.2">
      <c r="A144" s="204"/>
      <c r="B144" s="204"/>
      <c r="C144" s="821"/>
      <c r="D144" s="204"/>
      <c r="E144" s="204"/>
      <c r="F144" s="204"/>
      <c r="G144" s="204"/>
      <c r="H144" s="204"/>
      <c r="I144" s="204"/>
      <c r="J144" s="204"/>
      <c r="K144" s="204"/>
      <c r="L144" s="204"/>
      <c r="M144" s="443" t="s">
        <v>502</v>
      </c>
      <c r="N144" s="419"/>
      <c r="AI144" s="204"/>
      <c r="AJ144" s="204"/>
      <c r="AK144" s="821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</row>
    <row r="145" spans="1:68" ht="12" customHeight="1" x14ac:dyDescent="0.2">
      <c r="A145" s="204"/>
      <c r="B145" s="204"/>
      <c r="C145" s="821"/>
      <c r="D145" s="204"/>
      <c r="E145" s="204"/>
      <c r="F145" s="204"/>
      <c r="G145" s="204"/>
      <c r="H145" s="204"/>
      <c r="I145" s="204"/>
      <c r="J145" s="204"/>
      <c r="K145" s="204"/>
      <c r="L145" s="204"/>
      <c r="M145"/>
      <c r="N145" s="440" t="s">
        <v>503</v>
      </c>
      <c r="R145" s="215">
        <f>(-IntDeduct!C38)</f>
        <v>0</v>
      </c>
      <c r="S145" s="215">
        <f>(-IntDeduct!D38)</f>
        <v>0</v>
      </c>
      <c r="T145" s="215">
        <f>(-IntDeduct!E38)</f>
        <v>0</v>
      </c>
      <c r="U145" s="215">
        <f>(-IntDeduct!F38)</f>
        <v>0</v>
      </c>
      <c r="V145" s="215">
        <f>(-IntDeduct!G38)</f>
        <v>0</v>
      </c>
      <c r="W145" s="215">
        <f>(-IntDeduct!H38)</f>
        <v>0</v>
      </c>
      <c r="X145" s="215">
        <f>(-IntDeduct!I38)</f>
        <v>0</v>
      </c>
      <c r="Y145" s="215">
        <f>(-IntDeduct!J38)</f>
        <v>0</v>
      </c>
      <c r="Z145" s="215">
        <f>(-IntDeduct!K38)</f>
        <v>0</v>
      </c>
      <c r="AA145" s="215">
        <f>(-IntDeduct!L38)</f>
        <v>0</v>
      </c>
      <c r="AB145" s="215">
        <f>(-IntDeduct!M38)</f>
        <v>0</v>
      </c>
      <c r="AC145" s="215">
        <f>(-IntDeduct!N38)</f>
        <v>0</v>
      </c>
      <c r="AD145" s="215">
        <f>SUM(R145:AC145)</f>
        <v>0</v>
      </c>
      <c r="AI145" s="204"/>
      <c r="AJ145" s="204"/>
      <c r="AK145" s="821"/>
      <c r="AL145" s="204"/>
      <c r="AM145" s="204"/>
      <c r="AN145" s="204"/>
      <c r="AO145" s="204"/>
      <c r="AP145" s="204"/>
      <c r="AQ145" s="204"/>
      <c r="AR145" s="204"/>
      <c r="AS145" s="204"/>
      <c r="AT145" s="204"/>
      <c r="AU145" s="204"/>
      <c r="AV145" s="204"/>
      <c r="AW145" s="204"/>
      <c r="AX145" s="204"/>
      <c r="AY145" s="204"/>
      <c r="AZ145" s="204"/>
      <c r="BA145" s="204"/>
      <c r="BB145" s="204"/>
      <c r="BC145" s="204"/>
      <c r="BD145" s="204"/>
      <c r="BE145" s="204"/>
      <c r="BF145" s="204"/>
      <c r="BG145" s="204"/>
      <c r="BH145" s="204"/>
      <c r="BI145" s="204"/>
      <c r="BJ145" s="204"/>
      <c r="BK145" s="204"/>
      <c r="BL145" s="204"/>
      <c r="BM145" s="204"/>
      <c r="BN145" s="204"/>
      <c r="BO145" s="204"/>
      <c r="BP145" s="204"/>
    </row>
    <row r="146" spans="1:68" ht="12" customHeight="1" x14ac:dyDescent="0.2">
      <c r="A146" s="204"/>
      <c r="B146" s="204"/>
      <c r="C146" s="821"/>
      <c r="D146" s="204"/>
      <c r="E146" s="204"/>
      <c r="F146" s="204"/>
      <c r="G146" s="204"/>
      <c r="H146" s="204"/>
      <c r="I146" s="204"/>
      <c r="J146" s="204"/>
      <c r="K146" s="204"/>
      <c r="L146" s="204"/>
      <c r="M146"/>
      <c r="N146" s="440" t="s">
        <v>504</v>
      </c>
      <c r="R146" s="215">
        <f>(-IntDeduct!C39)</f>
        <v>0</v>
      </c>
      <c r="S146" s="215">
        <f>(-IntDeduct!D39)</f>
        <v>0</v>
      </c>
      <c r="T146" s="215">
        <f>(-IntDeduct!E39)</f>
        <v>0</v>
      </c>
      <c r="U146" s="215">
        <f>(-IntDeduct!F39)</f>
        <v>0</v>
      </c>
      <c r="V146" s="215">
        <f>(-IntDeduct!G39)</f>
        <v>0</v>
      </c>
      <c r="W146" s="215">
        <f>(-IntDeduct!H39)</f>
        <v>0</v>
      </c>
      <c r="X146" s="215">
        <f>(-IntDeduct!I39)</f>
        <v>0</v>
      </c>
      <c r="Y146" s="215">
        <f>(-IntDeduct!J39)</f>
        <v>0</v>
      </c>
      <c r="Z146" s="215">
        <f>(-IntDeduct!K39)</f>
        <v>0</v>
      </c>
      <c r="AA146" s="215">
        <f>(-IntDeduct!L39)</f>
        <v>0</v>
      </c>
      <c r="AB146" s="215">
        <f>(-IntDeduct!M39)</f>
        <v>0</v>
      </c>
      <c r="AC146" s="215">
        <f>(-IntDeduct!N39)</f>
        <v>0</v>
      </c>
      <c r="AD146" s="215">
        <f>SUM(R146:AC146)</f>
        <v>0</v>
      </c>
      <c r="AI146" s="204"/>
      <c r="AJ146" s="204"/>
      <c r="AK146" s="821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4"/>
      <c r="BN146" s="204"/>
      <c r="BO146" s="204"/>
      <c r="BP146" s="204"/>
    </row>
    <row r="147" spans="1:68" ht="12" customHeight="1" x14ac:dyDescent="0.2">
      <c r="A147" s="204"/>
      <c r="B147" s="204"/>
      <c r="C147" s="821"/>
      <c r="D147" s="204"/>
      <c r="E147" s="204"/>
      <c r="F147" s="204"/>
      <c r="G147" s="204"/>
      <c r="H147" s="204"/>
      <c r="I147" s="204"/>
      <c r="J147" s="204"/>
      <c r="K147" s="204"/>
      <c r="L147" s="204"/>
      <c r="M147" s="221"/>
      <c r="N147" s="428" t="s">
        <v>915</v>
      </c>
      <c r="O147" s="212"/>
      <c r="R147" s="265">
        <v>0</v>
      </c>
      <c r="S147" s="265">
        <v>0</v>
      </c>
      <c r="T147" s="265">
        <v>0</v>
      </c>
      <c r="U147" s="265">
        <v>0</v>
      </c>
      <c r="V147" s="265">
        <v>0</v>
      </c>
      <c r="W147" s="265">
        <v>0</v>
      </c>
      <c r="X147" s="265">
        <v>0</v>
      </c>
      <c r="Y147" s="265">
        <v>0</v>
      </c>
      <c r="Z147" s="265">
        <v>0</v>
      </c>
      <c r="AA147" s="265">
        <v>0</v>
      </c>
      <c r="AB147" s="265">
        <v>0</v>
      </c>
      <c r="AC147" s="265">
        <v>0</v>
      </c>
      <c r="AD147" s="223">
        <f>SUM(R147:AC147)</f>
        <v>0</v>
      </c>
      <c r="AI147" s="204"/>
      <c r="AJ147" s="204"/>
      <c r="AK147" s="821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  <c r="AX147" s="204"/>
      <c r="AY147" s="204"/>
      <c r="AZ147" s="204"/>
      <c r="BA147" s="204"/>
      <c r="BB147" s="204"/>
      <c r="BC147" s="204"/>
      <c r="BD147" s="204"/>
      <c r="BE147" s="204"/>
      <c r="BF147" s="204"/>
      <c r="BG147" s="204"/>
      <c r="BH147" s="204"/>
      <c r="BI147" s="204"/>
      <c r="BJ147" s="204"/>
      <c r="BK147" s="204"/>
      <c r="BL147" s="204"/>
      <c r="BM147" s="204"/>
      <c r="BN147" s="204"/>
      <c r="BO147" s="204"/>
      <c r="BP147" s="204"/>
    </row>
    <row r="148" spans="1:68" ht="12" customHeight="1" x14ac:dyDescent="0.2">
      <c r="A148" s="204"/>
      <c r="B148" s="204"/>
      <c r="C148" s="821"/>
      <c r="D148" s="204"/>
      <c r="E148" s="204"/>
      <c r="F148" s="204"/>
      <c r="G148" s="204"/>
      <c r="H148" s="204"/>
      <c r="I148" s="204"/>
      <c r="J148" s="204"/>
      <c r="K148" s="204"/>
      <c r="L148" s="204"/>
      <c r="M148" s="419"/>
      <c r="N148" s="440" t="s">
        <v>505</v>
      </c>
      <c r="R148" s="223">
        <f t="shared" ref="R148:AD148" si="94">SUM(R145:R147)</f>
        <v>0</v>
      </c>
      <c r="S148" s="223">
        <f t="shared" si="94"/>
        <v>0</v>
      </c>
      <c r="T148" s="223">
        <f t="shared" si="94"/>
        <v>0</v>
      </c>
      <c r="U148" s="223">
        <f t="shared" si="94"/>
        <v>0</v>
      </c>
      <c r="V148" s="223">
        <f t="shared" si="94"/>
        <v>0</v>
      </c>
      <c r="W148" s="223">
        <f t="shared" si="94"/>
        <v>0</v>
      </c>
      <c r="X148" s="223">
        <f t="shared" si="94"/>
        <v>0</v>
      </c>
      <c r="Y148" s="223">
        <f t="shared" si="94"/>
        <v>0</v>
      </c>
      <c r="Z148" s="223">
        <f t="shared" si="94"/>
        <v>0</v>
      </c>
      <c r="AA148" s="223">
        <f t="shared" si="94"/>
        <v>0</v>
      </c>
      <c r="AB148" s="223">
        <f t="shared" si="94"/>
        <v>0</v>
      </c>
      <c r="AC148" s="223">
        <f t="shared" si="94"/>
        <v>0</v>
      </c>
      <c r="AD148" s="223">
        <f t="shared" si="94"/>
        <v>0</v>
      </c>
      <c r="AI148" s="204"/>
      <c r="AJ148" s="204"/>
      <c r="AK148" s="821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04"/>
      <c r="BN148" s="204"/>
      <c r="BO148" s="204"/>
      <c r="BP148" s="204"/>
    </row>
    <row r="149" spans="1:68" ht="6" customHeight="1" x14ac:dyDescent="0.2">
      <c r="A149" s="204"/>
      <c r="B149" s="204"/>
      <c r="C149" s="821"/>
      <c r="D149" s="204"/>
      <c r="E149" s="204"/>
      <c r="F149" s="204"/>
      <c r="G149" s="204"/>
      <c r="H149" s="204"/>
      <c r="I149" s="204"/>
      <c r="J149" s="204"/>
      <c r="K149" s="204"/>
      <c r="L149" s="204"/>
      <c r="M149" s="419"/>
      <c r="N149" s="419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I149" s="204"/>
      <c r="AJ149" s="204"/>
      <c r="AK149" s="821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  <c r="AX149" s="204"/>
      <c r="AY149" s="204"/>
      <c r="AZ149" s="204"/>
      <c r="BA149" s="204"/>
      <c r="BB149" s="204"/>
      <c r="BC149" s="204"/>
      <c r="BD149" s="204"/>
      <c r="BE149" s="204"/>
      <c r="BF149" s="204"/>
      <c r="BG149" s="204"/>
      <c r="BH149" s="204"/>
      <c r="BI149" s="204"/>
      <c r="BJ149" s="204"/>
      <c r="BK149" s="204"/>
      <c r="BL149" s="204"/>
      <c r="BM149" s="204"/>
      <c r="BN149" s="204"/>
      <c r="BO149" s="204"/>
      <c r="BP149" s="204"/>
    </row>
    <row r="150" spans="1:68" ht="12" customHeight="1" x14ac:dyDescent="0.2">
      <c r="A150" s="204"/>
      <c r="B150" s="204"/>
      <c r="C150" s="821"/>
      <c r="D150" s="204"/>
      <c r="E150" s="204"/>
      <c r="F150" s="204"/>
      <c r="G150" s="204"/>
      <c r="H150" s="204"/>
      <c r="I150" s="204"/>
      <c r="J150" s="204"/>
      <c r="K150" s="204"/>
      <c r="L150" s="204"/>
      <c r="M150" s="419"/>
      <c r="N150" s="419"/>
      <c r="AI150" s="204"/>
      <c r="AJ150" s="204"/>
      <c r="AK150" s="821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04"/>
      <c r="BN150" s="204"/>
      <c r="BO150" s="204"/>
      <c r="BP150" s="204"/>
    </row>
    <row r="151" spans="1:68" ht="12" customHeight="1" x14ac:dyDescent="0.2">
      <c r="A151" s="204"/>
      <c r="B151" s="204"/>
      <c r="C151" s="821"/>
      <c r="D151" s="204"/>
      <c r="E151" s="204"/>
      <c r="F151" s="204"/>
      <c r="G151" s="204"/>
      <c r="H151" s="204"/>
      <c r="I151" s="204"/>
      <c r="J151" s="204"/>
      <c r="K151" s="204"/>
      <c r="L151" s="204"/>
      <c r="M151" s="419"/>
      <c r="N151" s="437" t="s">
        <v>331</v>
      </c>
      <c r="O151" s="203"/>
      <c r="R151" s="215">
        <f>IncomeState!C49</f>
        <v>9671</v>
      </c>
      <c r="S151" s="215">
        <f>IncomeState!D49</f>
        <v>7869</v>
      </c>
      <c r="T151" s="215">
        <f>IncomeState!E49</f>
        <v>9270</v>
      </c>
      <c r="U151" s="215">
        <f>IncomeState!F49</f>
        <v>8919</v>
      </c>
      <c r="V151" s="215">
        <f>IncomeState!G49</f>
        <v>9558</v>
      </c>
      <c r="W151" s="215">
        <f>IncomeState!H49</f>
        <v>10126</v>
      </c>
      <c r="X151" s="215">
        <f>IncomeState!I49</f>
        <v>10930</v>
      </c>
      <c r="Y151" s="215">
        <f>IncomeState!J49</f>
        <v>10834</v>
      </c>
      <c r="Z151" s="215">
        <f>IncomeState!K49</f>
        <v>10203</v>
      </c>
      <c r="AA151" s="215">
        <f>IncomeState!L49</f>
        <v>10791</v>
      </c>
      <c r="AB151" s="215">
        <f>IncomeState!M49</f>
        <v>10766</v>
      </c>
      <c r="AC151" s="215">
        <f>IncomeState!N49</f>
        <v>10964</v>
      </c>
      <c r="AD151" s="215">
        <f>SUM(R151:AC151)</f>
        <v>119901</v>
      </c>
      <c r="AE151" s="214">
        <f>SUM(R151:S151)</f>
        <v>17540</v>
      </c>
      <c r="AF151" s="215">
        <f>AD151-AE151</f>
        <v>102361</v>
      </c>
      <c r="AI151" s="204"/>
      <c r="AJ151" s="204"/>
      <c r="AK151" s="821"/>
      <c r="AL151" s="204"/>
      <c r="AM151" s="204"/>
      <c r="AN151" s="204"/>
      <c r="AO151" s="204"/>
      <c r="AP151" s="204"/>
      <c r="AQ151" s="204"/>
      <c r="AR151" s="204"/>
      <c r="AS151" s="204"/>
      <c r="AT151" s="204"/>
      <c r="AU151" s="204"/>
      <c r="AV151" s="204"/>
      <c r="AW151" s="204"/>
      <c r="AX151" s="204"/>
      <c r="AY151" s="204"/>
      <c r="AZ151" s="204"/>
      <c r="BA151" s="204"/>
      <c r="BB151" s="204"/>
      <c r="BC151" s="204"/>
      <c r="BD151" s="204"/>
      <c r="BE151" s="204"/>
      <c r="BF151" s="204"/>
      <c r="BG151" s="204"/>
      <c r="BH151" s="204"/>
      <c r="BI151" s="204"/>
      <c r="BJ151" s="204"/>
      <c r="BK151" s="204"/>
      <c r="BL151" s="204"/>
      <c r="BM151" s="204"/>
      <c r="BN151" s="204"/>
      <c r="BO151" s="204"/>
      <c r="BP151" s="204"/>
    </row>
    <row r="152" spans="1:68" ht="6" customHeight="1" x14ac:dyDescent="0.2">
      <c r="A152" s="204"/>
      <c r="B152" s="204"/>
      <c r="C152" s="821"/>
      <c r="D152" s="204"/>
      <c r="E152" s="204"/>
      <c r="F152" s="204"/>
      <c r="G152" s="204"/>
      <c r="H152" s="204"/>
      <c r="I152" s="204"/>
      <c r="J152" s="204"/>
      <c r="K152" s="204"/>
      <c r="L152" s="204"/>
      <c r="M152" s="419"/>
      <c r="N152" s="420"/>
      <c r="O152" s="203"/>
      <c r="U152" s="196" t="s">
        <v>667</v>
      </c>
      <c r="AI152" s="204"/>
      <c r="AJ152" s="204"/>
      <c r="AK152" s="821"/>
      <c r="AL152" s="204"/>
      <c r="AM152" s="204"/>
      <c r="AN152" s="204"/>
      <c r="AO152" s="204"/>
      <c r="AP152" s="204"/>
      <c r="AQ152" s="204"/>
      <c r="AR152" s="204"/>
      <c r="AS152" s="204"/>
      <c r="AT152" s="204"/>
      <c r="AU152" s="204"/>
      <c r="AV152" s="204"/>
      <c r="AW152" s="204"/>
      <c r="AX152" s="204"/>
      <c r="AY152" s="204"/>
      <c r="AZ152" s="204"/>
      <c r="BA152" s="204"/>
      <c r="BB152" s="204"/>
      <c r="BC152" s="204"/>
      <c r="BD152" s="204"/>
      <c r="BE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</row>
    <row r="153" spans="1:68" ht="12" customHeight="1" x14ac:dyDescent="0.2">
      <c r="A153" s="204"/>
      <c r="B153" s="204"/>
      <c r="C153" s="821"/>
      <c r="D153" s="204"/>
      <c r="E153" s="204"/>
      <c r="F153" s="204"/>
      <c r="G153" s="204"/>
      <c r="H153" s="204"/>
      <c r="I153" s="204"/>
      <c r="J153" s="204"/>
      <c r="K153" s="204"/>
      <c r="L153" s="204"/>
      <c r="M153" s="419"/>
      <c r="N153" s="437" t="s">
        <v>506</v>
      </c>
      <c r="O153" s="203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G153" s="217"/>
      <c r="AH153" s="217"/>
      <c r="AI153" s="204"/>
      <c r="AJ153" s="204"/>
      <c r="AK153" s="821"/>
      <c r="AL153" s="204"/>
      <c r="AM153" s="204"/>
      <c r="AN153" s="204"/>
      <c r="AO153" s="204"/>
      <c r="AP153" s="204"/>
      <c r="AQ153" s="204"/>
      <c r="AR153" s="204"/>
      <c r="AS153" s="238"/>
      <c r="AT153" s="234"/>
      <c r="AU153" s="238"/>
      <c r="AV153" s="238"/>
      <c r="AW153" s="234"/>
      <c r="AX153" s="234"/>
      <c r="AY153" s="204"/>
      <c r="AZ153" s="204"/>
      <c r="BA153" s="204"/>
      <c r="BB153" s="204"/>
      <c r="BC153" s="204"/>
      <c r="BD153" s="204"/>
      <c r="BE153" s="204"/>
      <c r="BF153" s="204"/>
      <c r="BG153" s="204"/>
      <c r="BH153" s="204"/>
      <c r="BI153" s="204"/>
      <c r="BJ153" s="204"/>
      <c r="BK153" s="204"/>
      <c r="BL153" s="204"/>
      <c r="BM153" s="204"/>
      <c r="BN153" s="204"/>
      <c r="BO153" s="204"/>
      <c r="BP153" s="204"/>
    </row>
    <row r="154" spans="1:68" ht="12" customHeight="1" x14ac:dyDescent="0.2">
      <c r="A154" s="204"/>
      <c r="B154" s="204"/>
      <c r="C154" s="821"/>
      <c r="D154" s="204"/>
      <c r="E154" s="204"/>
      <c r="F154" s="204"/>
      <c r="G154" s="204"/>
      <c r="H154" s="204"/>
      <c r="I154" s="204"/>
      <c r="J154" s="204"/>
      <c r="K154" s="204"/>
      <c r="L154" s="204"/>
      <c r="M154" s="419"/>
      <c r="N154" s="440" t="s">
        <v>507</v>
      </c>
      <c r="R154" s="215">
        <f t="shared" ref="R154:AD154" si="95">ROUND((+R157-R155),0)</f>
        <v>3478</v>
      </c>
      <c r="S154" s="215">
        <f t="shared" si="95"/>
        <v>2752</v>
      </c>
      <c r="T154" s="215">
        <f t="shared" si="95"/>
        <v>3308</v>
      </c>
      <c r="U154" s="215">
        <f t="shared" si="95"/>
        <v>3124</v>
      </c>
      <c r="V154" s="215">
        <f t="shared" si="95"/>
        <v>3318</v>
      </c>
      <c r="W154" s="215">
        <f t="shared" si="95"/>
        <v>3511</v>
      </c>
      <c r="X154" s="215">
        <f t="shared" si="95"/>
        <v>3819</v>
      </c>
      <c r="Y154" s="215">
        <f t="shared" si="95"/>
        <v>3782</v>
      </c>
      <c r="Z154" s="215">
        <f t="shared" si="95"/>
        <v>3009</v>
      </c>
      <c r="AA154" s="215">
        <f t="shared" si="95"/>
        <v>3795</v>
      </c>
      <c r="AB154" s="215">
        <f t="shared" si="95"/>
        <v>4350</v>
      </c>
      <c r="AC154" s="215">
        <f t="shared" si="95"/>
        <v>3846</v>
      </c>
      <c r="AD154" s="215">
        <f t="shared" si="95"/>
        <v>42092</v>
      </c>
      <c r="AE154" s="215">
        <f>AE157-AE155</f>
        <v>6230</v>
      </c>
      <c r="AF154" s="215">
        <f>AD154-AE154</f>
        <v>35862</v>
      </c>
      <c r="AI154" s="204"/>
      <c r="AJ154" s="204"/>
      <c r="AK154" s="821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04"/>
      <c r="AY154" s="204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204"/>
      <c r="BM154" s="204"/>
      <c r="BN154" s="204"/>
      <c r="BO154" s="204"/>
      <c r="BP154" s="204"/>
    </row>
    <row r="155" spans="1:68" ht="12" customHeight="1" x14ac:dyDescent="0.2">
      <c r="A155" s="204"/>
      <c r="B155" s="204"/>
      <c r="C155" s="821"/>
      <c r="D155" s="204"/>
      <c r="E155" s="204"/>
      <c r="F155" s="204"/>
      <c r="G155" s="204"/>
      <c r="H155" s="204"/>
      <c r="I155" s="204"/>
      <c r="J155" s="204"/>
      <c r="K155" s="204"/>
      <c r="L155" s="204"/>
      <c r="M155" s="419"/>
      <c r="N155" s="440" t="s">
        <v>508</v>
      </c>
      <c r="R155" s="223">
        <f t="shared" ref="R155:AE155" si="96">R81</f>
        <v>304</v>
      </c>
      <c r="S155" s="223">
        <f t="shared" si="96"/>
        <v>329</v>
      </c>
      <c r="T155" s="223">
        <f t="shared" si="96"/>
        <v>318</v>
      </c>
      <c r="U155" s="223">
        <f t="shared" si="96"/>
        <v>366</v>
      </c>
      <c r="V155" s="223">
        <f t="shared" si="96"/>
        <v>420</v>
      </c>
      <c r="W155" s="223">
        <f t="shared" si="96"/>
        <v>448</v>
      </c>
      <c r="X155" s="223">
        <f t="shared" si="96"/>
        <v>453</v>
      </c>
      <c r="Y155" s="223">
        <f t="shared" si="96"/>
        <v>452</v>
      </c>
      <c r="Z155" s="223">
        <f t="shared" si="96"/>
        <v>980</v>
      </c>
      <c r="AA155" s="223">
        <f t="shared" si="96"/>
        <v>423</v>
      </c>
      <c r="AB155" s="223">
        <f t="shared" si="96"/>
        <v>-142</v>
      </c>
      <c r="AC155" s="223">
        <f t="shared" si="96"/>
        <v>439</v>
      </c>
      <c r="AD155" s="223">
        <f t="shared" si="96"/>
        <v>4790</v>
      </c>
      <c r="AE155" s="223">
        <f t="shared" si="96"/>
        <v>633</v>
      </c>
      <c r="AF155" s="223">
        <f>AD155-AE155</f>
        <v>4157</v>
      </c>
      <c r="AI155" s="204"/>
      <c r="AJ155" s="204"/>
      <c r="AK155" s="821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04"/>
      <c r="AY155" s="204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204"/>
      <c r="BM155" s="204"/>
      <c r="BN155" s="204"/>
      <c r="BO155" s="204"/>
      <c r="BP155" s="204"/>
    </row>
    <row r="156" spans="1:68" ht="3.95" customHeight="1" x14ac:dyDescent="0.2">
      <c r="A156" s="204"/>
      <c r="B156" s="204"/>
      <c r="C156" s="821"/>
      <c r="D156" s="204"/>
      <c r="E156" s="204"/>
      <c r="F156" s="204"/>
      <c r="G156" s="204"/>
      <c r="H156" s="204"/>
      <c r="I156" s="204"/>
      <c r="J156" s="204"/>
      <c r="K156" s="204"/>
      <c r="L156" s="204"/>
      <c r="M156" s="419"/>
      <c r="N156" s="419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I156" s="204"/>
      <c r="AJ156" s="204"/>
      <c r="AK156" s="821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04"/>
      <c r="BN156" s="204"/>
      <c r="BO156" s="204"/>
      <c r="BP156" s="204"/>
    </row>
    <row r="157" spans="1:68" ht="12" customHeight="1" x14ac:dyDescent="0.2">
      <c r="A157" s="204"/>
      <c r="B157" s="204"/>
      <c r="C157" s="821"/>
      <c r="D157" s="204"/>
      <c r="E157" s="204"/>
      <c r="F157" s="204"/>
      <c r="G157" s="204"/>
      <c r="H157" s="204"/>
      <c r="I157" s="204"/>
      <c r="J157" s="204"/>
      <c r="K157" s="204"/>
      <c r="L157" s="204"/>
      <c r="M157" s="419"/>
      <c r="N157" s="437" t="s">
        <v>509</v>
      </c>
      <c r="O157" s="203"/>
      <c r="R157" s="223">
        <f>IncomeState!C54</f>
        <v>3782</v>
      </c>
      <c r="S157" s="223">
        <f>IncomeState!D54</f>
        <v>3081</v>
      </c>
      <c r="T157" s="223">
        <f>IncomeState!E54</f>
        <v>3626</v>
      </c>
      <c r="U157" s="223">
        <f>IncomeState!F54</f>
        <v>3490</v>
      </c>
      <c r="V157" s="223">
        <f>IncomeState!G54</f>
        <v>3738</v>
      </c>
      <c r="W157" s="223">
        <f>IncomeState!H54</f>
        <v>3959</v>
      </c>
      <c r="X157" s="223">
        <f>IncomeState!I54</f>
        <v>4272</v>
      </c>
      <c r="Y157" s="223">
        <f>IncomeState!J54</f>
        <v>4234</v>
      </c>
      <c r="Z157" s="223">
        <f>IncomeState!K54</f>
        <v>3989</v>
      </c>
      <c r="AA157" s="223">
        <f>IncomeState!L54</f>
        <v>4218</v>
      </c>
      <c r="AB157" s="223">
        <f>IncomeState!M54</f>
        <v>4208</v>
      </c>
      <c r="AC157" s="223">
        <f>IncomeState!N54</f>
        <v>4285</v>
      </c>
      <c r="AD157" s="223">
        <f>SUM(R157:AC157)</f>
        <v>46882</v>
      </c>
      <c r="AE157" s="265">
        <f>SUM(R157:S157)</f>
        <v>6863</v>
      </c>
      <c r="AF157" s="462">
        <f>SUM(AF154:AF155)</f>
        <v>40019</v>
      </c>
      <c r="AI157" s="204"/>
      <c r="AJ157" s="204"/>
      <c r="AK157" s="821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04"/>
      <c r="BN157" s="204"/>
      <c r="BO157" s="204"/>
      <c r="BP157" s="204"/>
    </row>
    <row r="158" spans="1:68" ht="6" customHeight="1" x14ac:dyDescent="0.2">
      <c r="A158" s="204"/>
      <c r="B158" s="204"/>
      <c r="C158" s="821"/>
      <c r="D158" s="204"/>
      <c r="E158" s="204"/>
      <c r="F158" s="204"/>
      <c r="G158" s="204"/>
      <c r="H158" s="204"/>
      <c r="I158" s="204"/>
      <c r="J158" s="204"/>
      <c r="K158" s="204"/>
      <c r="L158" s="204"/>
      <c r="AI158" s="204"/>
      <c r="AJ158" s="204"/>
      <c r="AK158" s="821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204"/>
      <c r="BN158" s="204"/>
      <c r="BO158" s="204"/>
      <c r="BP158" s="204"/>
    </row>
    <row r="159" spans="1:68" ht="15" x14ac:dyDescent="0.2">
      <c r="A159" s="204"/>
      <c r="B159" s="204"/>
      <c r="C159" s="821"/>
      <c r="D159" s="204"/>
      <c r="E159" s="204"/>
      <c r="F159" s="204"/>
      <c r="G159" s="204"/>
      <c r="H159" s="204"/>
      <c r="I159" s="204"/>
      <c r="J159" s="204"/>
      <c r="K159" s="204"/>
      <c r="L159" s="204"/>
      <c r="N159" s="438" t="s">
        <v>510</v>
      </c>
      <c r="R159" s="463">
        <f>R151-R157</f>
        <v>5889</v>
      </c>
      <c r="S159" s="463">
        <f t="shared" ref="S159:AF159" si="97">S151-S157</f>
        <v>4788</v>
      </c>
      <c r="T159" s="463">
        <f t="shared" si="97"/>
        <v>5644</v>
      </c>
      <c r="U159" s="463">
        <f t="shared" si="97"/>
        <v>5429</v>
      </c>
      <c r="V159" s="463">
        <f t="shared" si="97"/>
        <v>5820</v>
      </c>
      <c r="W159" s="463">
        <f t="shared" si="97"/>
        <v>6167</v>
      </c>
      <c r="X159" s="463">
        <f t="shared" si="97"/>
        <v>6658</v>
      </c>
      <c r="Y159" s="463">
        <f t="shared" si="97"/>
        <v>6600</v>
      </c>
      <c r="Z159" s="463">
        <f t="shared" si="97"/>
        <v>6214</v>
      </c>
      <c r="AA159" s="463">
        <f t="shared" si="97"/>
        <v>6573</v>
      </c>
      <c r="AB159" s="463">
        <f t="shared" si="97"/>
        <v>6558</v>
      </c>
      <c r="AC159" s="463">
        <f t="shared" si="97"/>
        <v>6679</v>
      </c>
      <c r="AD159" s="463">
        <f t="shared" si="97"/>
        <v>73019</v>
      </c>
      <c r="AE159" s="463">
        <f t="shared" si="97"/>
        <v>10677</v>
      </c>
      <c r="AF159" s="463">
        <f t="shared" si="97"/>
        <v>62342</v>
      </c>
      <c r="AI159" s="204"/>
      <c r="AJ159" s="204"/>
      <c r="AK159" s="821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204"/>
      <c r="BN159" s="204"/>
      <c r="BO159" s="204"/>
      <c r="BP159" s="204"/>
    </row>
    <row r="160" spans="1:68" ht="8.1" customHeight="1" x14ac:dyDescent="0.2">
      <c r="A160" s="204"/>
      <c r="B160" s="204"/>
      <c r="C160" s="821"/>
      <c r="D160" s="204"/>
      <c r="E160" s="204"/>
      <c r="F160" s="204"/>
      <c r="G160" s="204"/>
      <c r="H160" s="204"/>
      <c r="I160" s="204"/>
      <c r="J160" s="204"/>
      <c r="K160" s="204"/>
      <c r="L160" s="204"/>
      <c r="AI160" s="204"/>
      <c r="AJ160" s="204"/>
      <c r="AK160" s="821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</row>
    <row r="161" spans="1:68" ht="15" x14ac:dyDescent="0.2">
      <c r="A161" s="204"/>
      <c r="B161" s="204"/>
      <c r="C161" s="821"/>
      <c r="D161" s="204"/>
      <c r="E161" s="204"/>
      <c r="F161" s="204"/>
      <c r="G161" s="204"/>
      <c r="H161" s="204"/>
      <c r="I161" s="204"/>
      <c r="J161" s="204"/>
      <c r="K161" s="204"/>
      <c r="L161" s="204"/>
      <c r="AI161" s="204"/>
      <c r="AJ161" s="204"/>
      <c r="AK161" s="821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204"/>
      <c r="BN161" s="204"/>
      <c r="BO161" s="204"/>
      <c r="BP161" s="204"/>
    </row>
    <row r="162" spans="1:68" ht="15" x14ac:dyDescent="0.2">
      <c r="A162" s="204"/>
      <c r="B162" s="204"/>
      <c r="C162" s="821"/>
      <c r="D162" s="204"/>
      <c r="E162" s="204"/>
      <c r="F162" s="204"/>
      <c r="G162" s="204"/>
      <c r="H162" s="204"/>
      <c r="I162" s="204"/>
      <c r="J162" s="204"/>
      <c r="K162" s="204"/>
      <c r="L162" s="204"/>
      <c r="AI162" s="204"/>
      <c r="AJ162" s="204"/>
      <c r="AK162" s="821"/>
      <c r="AL162" s="204"/>
      <c r="AM162" s="204"/>
      <c r="AN162" s="204"/>
      <c r="AO162" s="204"/>
      <c r="AP162" s="204"/>
      <c r="AQ162" s="204"/>
      <c r="AR162" s="204"/>
      <c r="AS162" s="204"/>
      <c r="AT162" s="204"/>
      <c r="AU162" s="204"/>
      <c r="AV162" s="204"/>
      <c r="AW162" s="204"/>
      <c r="AX162" s="204"/>
      <c r="AY162" s="204"/>
      <c r="AZ162" s="204"/>
      <c r="BA162" s="204"/>
      <c r="BB162" s="204"/>
      <c r="BC162" s="204"/>
      <c r="BD162" s="204"/>
      <c r="BE162" s="204"/>
      <c r="BF162" s="204"/>
      <c r="BG162" s="204"/>
      <c r="BH162" s="204"/>
      <c r="BI162" s="204"/>
      <c r="BJ162" s="204"/>
      <c r="BK162" s="204"/>
      <c r="BL162" s="204"/>
      <c r="BM162" s="204"/>
      <c r="BN162" s="204"/>
      <c r="BO162" s="204"/>
      <c r="BP162" s="204"/>
    </row>
    <row r="163" spans="1:68" ht="15" x14ac:dyDescent="0.2">
      <c r="A163" s="204"/>
      <c r="B163" s="204"/>
      <c r="C163" s="821"/>
      <c r="D163" s="204"/>
      <c r="E163" s="204"/>
      <c r="F163" s="204"/>
      <c r="G163" s="204"/>
      <c r="H163" s="204"/>
      <c r="I163" s="204"/>
      <c r="J163" s="204"/>
      <c r="K163" s="204"/>
      <c r="L163" s="204"/>
      <c r="AI163" s="204"/>
      <c r="AJ163" s="204"/>
      <c r="AK163" s="821"/>
      <c r="AL163" s="204"/>
      <c r="AM163" s="204"/>
      <c r="AN163" s="204"/>
      <c r="AO163" s="204"/>
      <c r="AP163" s="204"/>
      <c r="AQ163" s="204"/>
      <c r="AR163" s="204"/>
      <c r="AS163" s="204"/>
      <c r="AT163" s="204"/>
      <c r="AU163" s="204"/>
      <c r="AV163" s="204"/>
      <c r="AW163" s="204"/>
      <c r="AX163" s="204"/>
      <c r="AY163" s="204"/>
      <c r="AZ163" s="204"/>
      <c r="BA163" s="204"/>
      <c r="BB163" s="204"/>
      <c r="BC163" s="204"/>
      <c r="BD163" s="204"/>
      <c r="BE163" s="204"/>
      <c r="BF163" s="204"/>
      <c r="BG163" s="204"/>
      <c r="BH163" s="204"/>
      <c r="BI163" s="204"/>
      <c r="BJ163" s="204"/>
      <c r="BK163" s="204"/>
      <c r="BL163" s="204"/>
      <c r="BM163" s="204"/>
      <c r="BN163" s="204"/>
      <c r="BO163" s="204"/>
      <c r="BP163" s="204"/>
    </row>
    <row r="164" spans="1:68" ht="15" x14ac:dyDescent="0.2">
      <c r="A164" s="204"/>
      <c r="B164" s="204"/>
      <c r="C164" s="821"/>
      <c r="D164" s="204"/>
      <c r="E164" s="204"/>
      <c r="F164" s="204"/>
      <c r="G164" s="204"/>
      <c r="H164" s="204"/>
      <c r="I164" s="204"/>
      <c r="J164" s="204"/>
      <c r="K164" s="204"/>
      <c r="L164" s="204"/>
      <c r="AI164" s="204"/>
      <c r="AJ164" s="204"/>
      <c r="AK164" s="821"/>
      <c r="AL164" s="204"/>
      <c r="AM164" s="204"/>
      <c r="AN164" s="204"/>
      <c r="AO164" s="204"/>
      <c r="AP164" s="204"/>
      <c r="AQ164" s="204"/>
      <c r="AR164" s="204"/>
      <c r="AS164" s="204"/>
      <c r="AT164" s="204"/>
      <c r="AU164" s="204"/>
      <c r="AV164" s="204"/>
      <c r="AW164" s="204"/>
      <c r="AX164" s="204"/>
      <c r="AY164" s="204"/>
      <c r="AZ164" s="204"/>
      <c r="BA164" s="204"/>
      <c r="BB164" s="204"/>
      <c r="BC164" s="204"/>
      <c r="BD164" s="204"/>
      <c r="BE164" s="204"/>
      <c r="BF164" s="204"/>
      <c r="BG164" s="204"/>
      <c r="BH164" s="204"/>
      <c r="BI164" s="204"/>
      <c r="BJ164" s="204"/>
      <c r="BK164" s="204"/>
      <c r="BL164" s="204"/>
      <c r="BM164" s="204"/>
      <c r="BN164" s="204"/>
      <c r="BO164" s="204"/>
      <c r="BP164" s="204"/>
    </row>
    <row r="165" spans="1:68" ht="15" x14ac:dyDescent="0.2">
      <c r="A165" s="204"/>
      <c r="B165" s="204"/>
      <c r="C165" s="821"/>
      <c r="D165" s="204"/>
      <c r="E165" s="204"/>
      <c r="F165" s="204"/>
      <c r="G165" s="204"/>
      <c r="H165" s="204"/>
      <c r="I165" s="204"/>
      <c r="J165" s="204"/>
      <c r="K165" s="204"/>
      <c r="L165" s="204"/>
      <c r="AI165" s="204"/>
      <c r="AJ165" s="204"/>
      <c r="AK165" s="821"/>
      <c r="AL165" s="204"/>
      <c r="AM165" s="204"/>
      <c r="AN165" s="204"/>
      <c r="AO165" s="204"/>
      <c r="AP165" s="204"/>
      <c r="AQ165" s="204"/>
      <c r="AR165" s="204"/>
      <c r="AS165" s="204"/>
      <c r="AT165" s="204"/>
      <c r="AU165" s="204"/>
      <c r="AV165" s="204"/>
      <c r="AW165" s="204"/>
      <c r="AX165" s="204"/>
      <c r="AY165" s="204"/>
      <c r="AZ165" s="204"/>
      <c r="BA165" s="204"/>
      <c r="BB165" s="204"/>
      <c r="BC165" s="204"/>
      <c r="BD165" s="204"/>
      <c r="BE165" s="204"/>
      <c r="BF165" s="204"/>
      <c r="BG165" s="204"/>
      <c r="BH165" s="204"/>
      <c r="BI165" s="204"/>
      <c r="BJ165" s="204"/>
      <c r="BK165" s="204"/>
      <c r="BL165" s="204"/>
      <c r="BM165" s="204"/>
      <c r="BN165" s="204"/>
      <c r="BO165" s="204"/>
      <c r="BP165" s="204"/>
    </row>
    <row r="166" spans="1:68" ht="15" x14ac:dyDescent="0.2">
      <c r="A166" s="204"/>
      <c r="B166" s="204"/>
      <c r="C166" s="821"/>
      <c r="D166" s="204"/>
      <c r="E166" s="204"/>
      <c r="F166" s="204"/>
      <c r="G166" s="204"/>
      <c r="H166" s="204"/>
      <c r="I166" s="204"/>
      <c r="J166" s="204"/>
      <c r="K166" s="204"/>
      <c r="L166" s="204"/>
      <c r="AI166" s="204"/>
      <c r="AJ166" s="204"/>
      <c r="AK166" s="821"/>
      <c r="AL166" s="204"/>
      <c r="AM166" s="204"/>
      <c r="AN166" s="204"/>
      <c r="AO166" s="204"/>
      <c r="AP166" s="204"/>
      <c r="AQ166" s="204"/>
      <c r="AR166" s="204"/>
      <c r="AS166" s="204"/>
      <c r="AT166" s="204"/>
      <c r="AU166" s="204"/>
      <c r="AV166" s="204"/>
      <c r="AW166" s="204"/>
      <c r="AX166" s="204"/>
      <c r="AY166" s="204"/>
      <c r="AZ166" s="204"/>
      <c r="BA166" s="204"/>
      <c r="BB166" s="204"/>
      <c r="BC166" s="204"/>
      <c r="BD166" s="204"/>
      <c r="BE166" s="204"/>
      <c r="BF166" s="204"/>
      <c r="BG166" s="204"/>
      <c r="BH166" s="204"/>
      <c r="BI166" s="204"/>
      <c r="BJ166" s="204"/>
      <c r="BK166" s="204"/>
      <c r="BL166" s="204"/>
      <c r="BM166" s="204"/>
      <c r="BN166" s="204"/>
      <c r="BO166" s="204"/>
      <c r="BP166" s="204"/>
    </row>
    <row r="167" spans="1:68" ht="15" x14ac:dyDescent="0.2">
      <c r="A167" s="204"/>
      <c r="B167" s="204"/>
      <c r="C167" s="821"/>
      <c r="D167" s="204"/>
      <c r="E167" s="204"/>
      <c r="F167" s="204"/>
      <c r="G167" s="204"/>
      <c r="H167" s="204"/>
      <c r="I167" s="204"/>
      <c r="J167" s="204"/>
      <c r="K167" s="204"/>
      <c r="L167" s="204"/>
      <c r="AI167" s="204"/>
      <c r="AJ167" s="204"/>
      <c r="AK167" s="821"/>
      <c r="AL167" s="204"/>
      <c r="AM167" s="204"/>
      <c r="AN167" s="204"/>
      <c r="AO167" s="204"/>
      <c r="AP167" s="204"/>
      <c r="AQ167" s="204"/>
      <c r="AR167" s="204"/>
      <c r="AS167" s="204"/>
      <c r="AT167" s="204"/>
      <c r="AU167" s="204"/>
      <c r="AV167" s="204"/>
      <c r="AW167" s="204"/>
      <c r="AX167" s="204"/>
      <c r="AY167" s="204"/>
      <c r="AZ167" s="204"/>
      <c r="BA167" s="204"/>
      <c r="BB167" s="204"/>
      <c r="BC167" s="204"/>
      <c r="BD167" s="204"/>
      <c r="BE167" s="204"/>
      <c r="BF167" s="204"/>
      <c r="BG167" s="204"/>
      <c r="BH167" s="204"/>
      <c r="BI167" s="204"/>
      <c r="BJ167" s="204"/>
      <c r="BK167" s="204"/>
      <c r="BL167" s="204"/>
      <c r="BM167" s="204"/>
      <c r="BN167" s="204"/>
      <c r="BO167" s="204"/>
      <c r="BP167" s="204"/>
    </row>
    <row r="168" spans="1:68" ht="15" x14ac:dyDescent="0.2">
      <c r="A168" s="204"/>
      <c r="B168" s="204"/>
      <c r="C168" s="821"/>
      <c r="D168" s="204"/>
      <c r="E168" s="204"/>
      <c r="F168" s="204"/>
      <c r="G168" s="204"/>
      <c r="H168" s="204"/>
      <c r="I168" s="204"/>
      <c r="J168" s="204"/>
      <c r="K168" s="204"/>
      <c r="L168" s="204"/>
      <c r="AI168" s="204"/>
      <c r="AJ168" s="204"/>
      <c r="AK168" s="821"/>
      <c r="AL168" s="204"/>
      <c r="AM168" s="204"/>
      <c r="AN168" s="204"/>
      <c r="AO168" s="204"/>
      <c r="AP168" s="204"/>
      <c r="AQ168" s="204"/>
      <c r="AR168" s="204"/>
      <c r="AS168" s="204"/>
      <c r="AT168" s="204"/>
      <c r="AU168" s="204"/>
      <c r="AV168" s="204"/>
      <c r="AW168" s="204"/>
      <c r="AX168" s="204"/>
      <c r="AY168" s="204"/>
      <c r="AZ168" s="204"/>
      <c r="BA168" s="204"/>
      <c r="BB168" s="204"/>
      <c r="BC168" s="204"/>
      <c r="BD168" s="204"/>
      <c r="BE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</row>
    <row r="169" spans="1:68" ht="15" x14ac:dyDescent="0.2">
      <c r="A169" s="204"/>
      <c r="B169" s="204"/>
      <c r="C169" s="821"/>
      <c r="D169" s="204"/>
      <c r="E169" s="204"/>
      <c r="F169" s="204"/>
      <c r="G169" s="204"/>
      <c r="H169" s="204"/>
      <c r="I169" s="204"/>
      <c r="J169" s="204"/>
      <c r="K169" s="204"/>
      <c r="L169" s="204"/>
      <c r="AI169" s="204"/>
      <c r="AJ169" s="204"/>
      <c r="AK169" s="821"/>
      <c r="AL169" s="204"/>
      <c r="AM169" s="204"/>
      <c r="AN169" s="204"/>
      <c r="AO169" s="204"/>
      <c r="AP169" s="204"/>
      <c r="AQ169" s="204"/>
      <c r="AR169" s="204"/>
      <c r="AS169" s="204"/>
      <c r="AT169" s="204"/>
      <c r="AU169" s="204"/>
      <c r="AV169" s="204"/>
      <c r="AW169" s="204"/>
      <c r="AX169" s="204"/>
      <c r="AY169" s="204"/>
      <c r="AZ169" s="204"/>
      <c r="BA169" s="204"/>
      <c r="BB169" s="204"/>
      <c r="BC169" s="204"/>
      <c r="BD169" s="204"/>
      <c r="BE169" s="204"/>
      <c r="BF169" s="204"/>
      <c r="BG169" s="204"/>
      <c r="BH169" s="204"/>
      <c r="BI169" s="204"/>
      <c r="BJ169" s="204"/>
      <c r="BK169" s="204"/>
      <c r="BL169" s="204"/>
      <c r="BM169" s="204"/>
      <c r="BN169" s="204"/>
      <c r="BO169" s="204"/>
      <c r="BP169" s="204"/>
    </row>
    <row r="170" spans="1:68" ht="15" x14ac:dyDescent="0.2">
      <c r="A170" s="204"/>
      <c r="B170" s="204"/>
      <c r="C170" s="821"/>
      <c r="D170" s="204"/>
      <c r="E170" s="204"/>
      <c r="F170" s="204"/>
      <c r="G170" s="204"/>
      <c r="H170" s="204"/>
      <c r="I170" s="204"/>
      <c r="J170" s="204"/>
      <c r="K170" s="204"/>
      <c r="L170" s="204"/>
      <c r="AI170" s="204"/>
      <c r="AJ170" s="204"/>
      <c r="AK170" s="821"/>
      <c r="AL170" s="204"/>
      <c r="AM170" s="204"/>
      <c r="AN170" s="204"/>
      <c r="AO170" s="204"/>
      <c r="AP170" s="204"/>
      <c r="AQ170" s="204"/>
      <c r="AR170" s="204"/>
      <c r="AS170" s="204"/>
      <c r="AT170" s="204"/>
      <c r="AU170" s="204"/>
      <c r="AV170" s="204"/>
      <c r="AW170" s="204"/>
      <c r="AX170" s="204"/>
      <c r="AY170" s="204"/>
      <c r="AZ170" s="204"/>
      <c r="BA170" s="204"/>
      <c r="BB170" s="204"/>
      <c r="BC170" s="204"/>
      <c r="BD170" s="204"/>
      <c r="BE170" s="204"/>
      <c r="BF170" s="204"/>
      <c r="BG170" s="204"/>
      <c r="BH170" s="204"/>
      <c r="BI170" s="204"/>
      <c r="BJ170" s="204"/>
      <c r="BK170" s="204"/>
      <c r="BL170" s="204"/>
      <c r="BM170" s="204"/>
      <c r="BN170" s="204"/>
      <c r="BO170" s="204"/>
      <c r="BP170" s="204"/>
    </row>
    <row r="171" spans="1:68" ht="15" x14ac:dyDescent="0.2">
      <c r="A171" s="204"/>
      <c r="B171" s="204"/>
      <c r="C171" s="821"/>
      <c r="D171" s="204"/>
      <c r="E171" s="204"/>
      <c r="F171" s="204"/>
      <c r="G171" s="204"/>
      <c r="H171" s="204"/>
      <c r="I171" s="204"/>
      <c r="J171" s="204"/>
      <c r="K171" s="204"/>
      <c r="L171" s="204"/>
      <c r="AI171" s="204"/>
      <c r="AJ171" s="204"/>
      <c r="AK171" s="821"/>
      <c r="AL171" s="204"/>
      <c r="AM171" s="204"/>
      <c r="AN171" s="204"/>
      <c r="AO171" s="204"/>
      <c r="AP171" s="204"/>
      <c r="AQ171" s="204"/>
      <c r="AR171" s="204"/>
      <c r="AS171" s="204"/>
      <c r="AT171" s="204"/>
      <c r="AU171" s="204"/>
      <c r="AV171" s="204"/>
      <c r="AW171" s="204"/>
      <c r="AX171" s="204"/>
      <c r="AY171" s="204"/>
      <c r="AZ171" s="204"/>
      <c r="BA171" s="204"/>
      <c r="BB171" s="204"/>
      <c r="BC171" s="204"/>
      <c r="BD171" s="204"/>
      <c r="BE171" s="204"/>
      <c r="BF171" s="204"/>
      <c r="BG171" s="204"/>
      <c r="BH171" s="204"/>
      <c r="BI171" s="204"/>
      <c r="BJ171" s="204"/>
      <c r="BK171" s="204"/>
      <c r="BL171" s="204"/>
      <c r="BM171" s="204"/>
      <c r="BN171" s="204"/>
      <c r="BO171" s="204"/>
      <c r="BP171" s="204"/>
    </row>
    <row r="172" spans="1:68" ht="15" x14ac:dyDescent="0.2">
      <c r="A172" s="204"/>
      <c r="B172" s="204"/>
      <c r="C172" s="821"/>
      <c r="D172" s="204"/>
      <c r="E172" s="204"/>
      <c r="F172" s="204"/>
      <c r="G172" s="204"/>
      <c r="H172" s="204"/>
      <c r="I172" s="204"/>
      <c r="J172" s="204"/>
      <c r="K172" s="204"/>
      <c r="L172" s="204"/>
      <c r="AI172" s="204"/>
      <c r="AJ172" s="204"/>
      <c r="AK172" s="821"/>
      <c r="AL172" s="204"/>
      <c r="AM172" s="204"/>
      <c r="AN172" s="204"/>
      <c r="AO172" s="204"/>
      <c r="AP172" s="204"/>
      <c r="AQ172" s="204"/>
      <c r="AR172" s="204"/>
      <c r="AS172" s="204"/>
      <c r="AT172" s="204"/>
      <c r="AU172" s="204"/>
      <c r="AV172" s="204"/>
      <c r="AW172" s="204"/>
      <c r="AX172" s="204"/>
      <c r="AY172" s="204"/>
      <c r="AZ172" s="204"/>
      <c r="BA172" s="204"/>
      <c r="BB172" s="204"/>
      <c r="BC172" s="204"/>
      <c r="BD172" s="204"/>
      <c r="BE172" s="204"/>
      <c r="BF172" s="204"/>
      <c r="BG172" s="204"/>
      <c r="BH172" s="204"/>
      <c r="BI172" s="204"/>
      <c r="BJ172" s="204"/>
      <c r="BK172" s="204"/>
      <c r="BL172" s="204"/>
      <c r="BM172" s="204"/>
      <c r="BN172" s="204"/>
      <c r="BO172" s="204"/>
      <c r="BP172" s="204"/>
    </row>
    <row r="173" spans="1:68" ht="15" x14ac:dyDescent="0.2">
      <c r="A173" s="204"/>
      <c r="B173" s="204"/>
      <c r="C173" s="821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821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821"/>
      <c r="AL173" s="204"/>
      <c r="AM173" s="204"/>
      <c r="AN173" s="204"/>
      <c r="AO173" s="204"/>
      <c r="AP173" s="204"/>
      <c r="AQ173" s="204"/>
      <c r="AR173" s="204"/>
      <c r="AS173" s="204"/>
      <c r="AT173" s="204"/>
      <c r="AU173" s="204"/>
      <c r="AV173" s="204"/>
      <c r="AW173" s="204"/>
      <c r="AX173" s="204"/>
      <c r="AY173" s="204"/>
      <c r="AZ173" s="204"/>
      <c r="BA173" s="204"/>
      <c r="BB173" s="204"/>
      <c r="BC173" s="204"/>
      <c r="BD173" s="204"/>
      <c r="BE173" s="204"/>
      <c r="BF173" s="204"/>
      <c r="BG173" s="204"/>
      <c r="BH173" s="204"/>
      <c r="BI173" s="204"/>
      <c r="BJ173" s="204"/>
      <c r="BK173" s="204"/>
      <c r="BL173" s="204"/>
      <c r="BM173" s="204"/>
      <c r="BN173" s="204"/>
      <c r="BO173" s="204"/>
      <c r="BP173" s="204"/>
    </row>
    <row r="174" spans="1:68" ht="15" x14ac:dyDescent="0.2">
      <c r="A174" s="204"/>
      <c r="B174" s="204"/>
      <c r="C174" s="821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821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821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204"/>
      <c r="BN174" s="204"/>
      <c r="BO174" s="204"/>
      <c r="BP174" s="204"/>
    </row>
    <row r="175" spans="1:68" ht="15" x14ac:dyDescent="0.2">
      <c r="A175" s="204"/>
      <c r="B175" s="204"/>
      <c r="C175" s="821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821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821"/>
      <c r="AL175" s="204"/>
      <c r="AM175" s="204"/>
      <c r="AN175" s="204"/>
      <c r="AO175" s="204"/>
      <c r="AP175" s="204"/>
      <c r="AQ175" s="204"/>
      <c r="AR175" s="204"/>
      <c r="AS175" s="204"/>
      <c r="AT175" s="204"/>
      <c r="AU175" s="204"/>
      <c r="AV175" s="204"/>
      <c r="AW175" s="204"/>
      <c r="AX175" s="204"/>
      <c r="AY175" s="204"/>
      <c r="AZ175" s="204"/>
      <c r="BA175" s="204"/>
      <c r="BB175" s="204"/>
      <c r="BC175" s="204"/>
      <c r="BD175" s="204"/>
      <c r="BE175" s="204"/>
      <c r="BF175" s="204"/>
      <c r="BG175" s="204"/>
      <c r="BH175" s="204"/>
      <c r="BI175" s="204"/>
      <c r="BJ175" s="204"/>
      <c r="BK175" s="204"/>
      <c r="BL175" s="204"/>
      <c r="BM175" s="204"/>
      <c r="BN175" s="204"/>
      <c r="BO175" s="204"/>
      <c r="BP175" s="204"/>
    </row>
    <row r="176" spans="1:68" ht="15" x14ac:dyDescent="0.2">
      <c r="A176" s="204"/>
      <c r="B176" s="204"/>
      <c r="C176" s="821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821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821"/>
      <c r="AL176" s="204"/>
      <c r="AM176" s="204"/>
      <c r="AN176" s="204"/>
      <c r="AO176" s="204"/>
      <c r="AP176" s="204"/>
      <c r="AQ176" s="204"/>
      <c r="AR176" s="204"/>
      <c r="AS176" s="204"/>
      <c r="AT176" s="204"/>
      <c r="AU176" s="204"/>
      <c r="AV176" s="204"/>
      <c r="AW176" s="204"/>
      <c r="AX176" s="204"/>
      <c r="AY176" s="204"/>
      <c r="AZ176" s="204"/>
      <c r="BA176" s="204"/>
      <c r="BB176" s="204"/>
      <c r="BC176" s="204"/>
      <c r="BD176" s="204"/>
      <c r="BE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</row>
    <row r="177" spans="1:68" ht="15" x14ac:dyDescent="0.2">
      <c r="A177" s="204"/>
      <c r="B177" s="204"/>
      <c r="C177" s="821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821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821"/>
      <c r="AL177" s="204"/>
      <c r="AM177" s="204"/>
      <c r="AN177" s="204"/>
      <c r="AO177" s="204"/>
      <c r="AP177" s="204"/>
      <c r="AQ177" s="204"/>
      <c r="AR177" s="204"/>
      <c r="AS177" s="204"/>
      <c r="AT177" s="204"/>
      <c r="AU177" s="204"/>
      <c r="AV177" s="204"/>
      <c r="AW177" s="204"/>
      <c r="AX177" s="204"/>
      <c r="AY177" s="204"/>
      <c r="AZ177" s="204"/>
      <c r="BA177" s="204"/>
      <c r="BB177" s="204"/>
      <c r="BC177" s="204"/>
      <c r="BD177" s="204"/>
      <c r="BE177" s="204"/>
      <c r="BF177" s="204"/>
      <c r="BG177" s="204"/>
      <c r="BH177" s="204"/>
      <c r="BI177" s="204"/>
      <c r="BJ177" s="204"/>
      <c r="BK177" s="204"/>
      <c r="BL177" s="204"/>
      <c r="BM177" s="204"/>
      <c r="BN177" s="204"/>
      <c r="BO177" s="204"/>
      <c r="BP177" s="204"/>
    </row>
    <row r="178" spans="1:68" ht="15" x14ac:dyDescent="0.2">
      <c r="A178" s="204"/>
      <c r="B178" s="204"/>
      <c r="C178" s="821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821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04"/>
      <c r="AF178" s="204"/>
      <c r="AG178" s="204"/>
      <c r="AH178" s="204"/>
      <c r="AI178" s="204"/>
      <c r="AJ178" s="204"/>
      <c r="AK178" s="821"/>
      <c r="AL178" s="204"/>
      <c r="AM178" s="204"/>
      <c r="AN178" s="204"/>
      <c r="AO178" s="204"/>
      <c r="AP178" s="204"/>
      <c r="AQ178" s="204"/>
      <c r="AR178" s="204"/>
      <c r="AS178" s="204"/>
      <c r="AT178" s="204"/>
      <c r="AU178" s="204"/>
      <c r="AV178" s="204"/>
      <c r="AW178" s="204"/>
      <c r="AX178" s="204"/>
      <c r="AY178" s="204"/>
      <c r="AZ178" s="204"/>
      <c r="BA178" s="204"/>
      <c r="BB178" s="204"/>
      <c r="BC178" s="204"/>
      <c r="BD178" s="204"/>
      <c r="BE178" s="204"/>
      <c r="BF178" s="204"/>
      <c r="BG178" s="204"/>
      <c r="BH178" s="204"/>
      <c r="BI178" s="204"/>
      <c r="BJ178" s="204"/>
      <c r="BK178" s="204"/>
      <c r="BL178" s="204"/>
      <c r="BM178" s="204"/>
      <c r="BN178" s="204"/>
      <c r="BO178" s="204"/>
      <c r="BP178" s="204"/>
    </row>
    <row r="179" spans="1:68" ht="15" x14ac:dyDescent="0.2">
      <c r="A179" s="204"/>
      <c r="B179" s="204"/>
      <c r="C179" s="821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821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821"/>
      <c r="AL179" s="204"/>
      <c r="AM179" s="204"/>
      <c r="AN179" s="204"/>
      <c r="AO179" s="204"/>
      <c r="AP179" s="204"/>
      <c r="AQ179" s="204"/>
      <c r="AR179" s="204"/>
      <c r="AS179" s="204"/>
      <c r="AT179" s="204"/>
      <c r="AU179" s="204"/>
      <c r="AV179" s="204"/>
      <c r="AW179" s="204"/>
      <c r="AX179" s="204"/>
      <c r="AY179" s="204"/>
      <c r="AZ179" s="204"/>
      <c r="BA179" s="204"/>
      <c r="BB179" s="204"/>
      <c r="BC179" s="204"/>
      <c r="BD179" s="204"/>
      <c r="BE179" s="204"/>
      <c r="BF179" s="204"/>
      <c r="BG179" s="204"/>
      <c r="BH179" s="204"/>
      <c r="BI179" s="204"/>
      <c r="BJ179" s="204"/>
      <c r="BK179" s="204"/>
      <c r="BL179" s="204"/>
      <c r="BM179" s="204"/>
      <c r="BN179" s="204"/>
      <c r="BO179" s="204"/>
      <c r="BP179" s="204"/>
    </row>
    <row r="180" spans="1:68" ht="15" x14ac:dyDescent="0.2">
      <c r="A180" s="204"/>
      <c r="B180" s="204"/>
      <c r="C180" s="821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821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204"/>
      <c r="AG180" s="204"/>
      <c r="AH180" s="204"/>
      <c r="AI180" s="204"/>
      <c r="AJ180" s="204"/>
      <c r="AK180" s="821"/>
      <c r="AL180" s="204"/>
      <c r="AM180" s="204"/>
      <c r="AN180" s="204"/>
      <c r="AO180" s="204"/>
      <c r="AP180" s="204"/>
      <c r="AQ180" s="204"/>
      <c r="AR180" s="204"/>
      <c r="AS180" s="204"/>
      <c r="AT180" s="204"/>
      <c r="AU180" s="204"/>
      <c r="AV180" s="204"/>
      <c r="AW180" s="204"/>
      <c r="AX180" s="204"/>
      <c r="AY180" s="204"/>
      <c r="AZ180" s="204"/>
      <c r="BA180" s="204"/>
      <c r="BB180" s="204"/>
      <c r="BC180" s="204"/>
      <c r="BD180" s="204"/>
      <c r="BE180" s="204"/>
      <c r="BF180" s="204"/>
      <c r="BG180" s="204"/>
      <c r="BH180" s="204"/>
      <c r="BI180" s="204"/>
      <c r="BJ180" s="204"/>
      <c r="BK180" s="204"/>
      <c r="BL180" s="204"/>
      <c r="BM180" s="204"/>
      <c r="BN180" s="204"/>
      <c r="BO180" s="204"/>
      <c r="BP180" s="204"/>
    </row>
    <row r="181" spans="1:68" ht="15" x14ac:dyDescent="0.2">
      <c r="A181" s="204"/>
      <c r="B181" s="204"/>
      <c r="C181" s="821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821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204"/>
      <c r="AC181" s="204"/>
      <c r="AD181" s="204"/>
      <c r="AE181" s="204"/>
      <c r="AF181" s="204"/>
      <c r="AG181" s="204"/>
      <c r="AH181" s="204"/>
      <c r="AI181" s="204"/>
      <c r="AJ181" s="204"/>
      <c r="AK181" s="821"/>
      <c r="AL181" s="204"/>
      <c r="AM181" s="204"/>
      <c r="AN181" s="204"/>
      <c r="AO181" s="204"/>
      <c r="AP181" s="204"/>
      <c r="AQ181" s="204"/>
      <c r="AR181" s="204"/>
      <c r="AS181" s="204"/>
      <c r="AT181" s="204"/>
      <c r="AU181" s="204"/>
      <c r="AV181" s="204"/>
      <c r="AW181" s="204"/>
      <c r="AX181" s="204"/>
      <c r="AY181" s="204"/>
      <c r="AZ181" s="204"/>
      <c r="BA181" s="204"/>
      <c r="BB181" s="204"/>
      <c r="BC181" s="204"/>
      <c r="BD181" s="204"/>
      <c r="BE181" s="204"/>
      <c r="BF181" s="204"/>
      <c r="BG181" s="204"/>
      <c r="BH181" s="204"/>
      <c r="BI181" s="204"/>
      <c r="BJ181" s="204"/>
      <c r="BK181" s="204"/>
      <c r="BL181" s="204"/>
      <c r="BM181" s="204"/>
      <c r="BN181" s="204"/>
      <c r="BO181" s="204"/>
      <c r="BP181" s="204"/>
    </row>
    <row r="182" spans="1:68" ht="15" x14ac:dyDescent="0.2">
      <c r="A182" s="204"/>
      <c r="B182" s="204"/>
      <c r="C182" s="821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821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204"/>
      <c r="AC182" s="204"/>
      <c r="AD182" s="204"/>
      <c r="AE182" s="204"/>
      <c r="AF182" s="204"/>
      <c r="AG182" s="204"/>
      <c r="AH182" s="204"/>
      <c r="AI182" s="204"/>
      <c r="AJ182" s="204"/>
      <c r="AK182" s="821"/>
      <c r="AL182" s="204"/>
      <c r="AM182" s="204"/>
      <c r="AN182" s="204"/>
      <c r="AO182" s="204"/>
      <c r="AP182" s="204"/>
      <c r="AQ182" s="204"/>
      <c r="AR182" s="204"/>
      <c r="AS182" s="204"/>
      <c r="AT182" s="204"/>
      <c r="AU182" s="204"/>
      <c r="AV182" s="204"/>
      <c r="AW182" s="204"/>
      <c r="AX182" s="204"/>
      <c r="AY182" s="204"/>
      <c r="AZ182" s="204"/>
      <c r="BA182" s="204"/>
      <c r="BB182" s="204"/>
      <c r="BC182" s="204"/>
      <c r="BD182" s="204"/>
      <c r="BE182" s="204"/>
      <c r="BF182" s="204"/>
      <c r="BG182" s="204"/>
      <c r="BH182" s="204"/>
      <c r="BI182" s="204"/>
      <c r="BJ182" s="204"/>
      <c r="BK182" s="204"/>
      <c r="BL182" s="204"/>
      <c r="BM182" s="204"/>
      <c r="BN182" s="204"/>
      <c r="BO182" s="204"/>
      <c r="BP182" s="204"/>
    </row>
    <row r="183" spans="1:68" ht="15" x14ac:dyDescent="0.2">
      <c r="A183" s="204"/>
      <c r="B183" s="204"/>
      <c r="C183" s="821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821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204"/>
      <c r="AC183" s="204"/>
      <c r="AD183" s="204"/>
      <c r="AE183" s="204"/>
      <c r="AF183" s="204"/>
      <c r="AG183" s="204"/>
      <c r="AH183" s="204"/>
      <c r="AI183" s="204"/>
      <c r="AJ183" s="204"/>
      <c r="AK183" s="821"/>
      <c r="AL183" s="204"/>
      <c r="AM183" s="204"/>
      <c r="AN183" s="204"/>
      <c r="AO183" s="204"/>
      <c r="AP183" s="204"/>
      <c r="AQ183" s="204"/>
      <c r="AR183" s="204"/>
      <c r="AS183" s="204"/>
      <c r="AT183" s="204"/>
      <c r="AU183" s="204"/>
      <c r="AV183" s="204"/>
      <c r="AW183" s="204"/>
      <c r="AX183" s="204"/>
      <c r="AY183" s="204"/>
      <c r="AZ183" s="204"/>
      <c r="BA183" s="204"/>
      <c r="BB183" s="204"/>
      <c r="BC183" s="204"/>
      <c r="BD183" s="204"/>
      <c r="BE183" s="204"/>
      <c r="BF183" s="204"/>
      <c r="BG183" s="204"/>
      <c r="BH183" s="204"/>
      <c r="BI183" s="204"/>
      <c r="BJ183" s="204"/>
      <c r="BK183" s="204"/>
      <c r="BL183" s="204"/>
      <c r="BM183" s="204"/>
      <c r="BN183" s="204"/>
      <c r="BO183" s="204"/>
      <c r="BP183" s="204"/>
    </row>
    <row r="184" spans="1:68" ht="15" x14ac:dyDescent="0.2">
      <c r="A184" s="204"/>
      <c r="B184" s="204"/>
      <c r="C184" s="821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821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821"/>
      <c r="AL184" s="204"/>
      <c r="AM184" s="204"/>
      <c r="AN184" s="204"/>
      <c r="AO184" s="204"/>
      <c r="AP184" s="204"/>
      <c r="AQ184" s="204"/>
      <c r="AR184" s="204"/>
      <c r="AS184" s="204"/>
      <c r="AT184" s="204"/>
      <c r="AU184" s="204"/>
      <c r="AV184" s="204"/>
      <c r="AW184" s="204"/>
      <c r="AX184" s="204"/>
      <c r="AY184" s="204"/>
      <c r="AZ184" s="204"/>
      <c r="BA184" s="204"/>
      <c r="BB184" s="204"/>
      <c r="BC184" s="204"/>
      <c r="BD184" s="204"/>
      <c r="BE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</row>
    <row r="185" spans="1:68" ht="15" x14ac:dyDescent="0.2">
      <c r="A185" s="204"/>
      <c r="B185" s="204"/>
      <c r="C185" s="821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821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204"/>
      <c r="AC185" s="204"/>
      <c r="AD185" s="204"/>
      <c r="AE185" s="204"/>
      <c r="AF185" s="204"/>
      <c r="AG185" s="204"/>
      <c r="AH185" s="204"/>
      <c r="AI185" s="204"/>
      <c r="AJ185" s="204"/>
      <c r="AK185" s="821"/>
      <c r="AL185" s="204"/>
      <c r="AM185" s="204"/>
      <c r="AN185" s="204"/>
      <c r="AO185" s="204"/>
      <c r="AP185" s="204"/>
      <c r="AQ185" s="204"/>
      <c r="AR185" s="204"/>
      <c r="AS185" s="204"/>
      <c r="AT185" s="204"/>
      <c r="AU185" s="204"/>
      <c r="AV185" s="204"/>
      <c r="AW185" s="204"/>
      <c r="AX185" s="204"/>
      <c r="AY185" s="204"/>
      <c r="AZ185" s="204"/>
      <c r="BA185" s="204"/>
      <c r="BB185" s="204"/>
      <c r="BC185" s="204"/>
      <c r="BD185" s="204"/>
      <c r="BE185" s="204"/>
      <c r="BF185" s="204"/>
      <c r="BG185" s="204"/>
      <c r="BH185" s="204"/>
      <c r="BI185" s="204"/>
      <c r="BJ185" s="204"/>
      <c r="BK185" s="204"/>
      <c r="BL185" s="204"/>
      <c r="BM185" s="204"/>
      <c r="BN185" s="204"/>
      <c r="BO185" s="204"/>
      <c r="BP185" s="204"/>
    </row>
    <row r="186" spans="1:68" ht="15" x14ac:dyDescent="0.2">
      <c r="A186" s="204"/>
      <c r="B186" s="204"/>
      <c r="C186" s="821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821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821"/>
      <c r="AL186" s="204"/>
      <c r="AM186" s="204"/>
      <c r="AN186" s="204"/>
      <c r="AO186" s="204"/>
      <c r="AP186" s="204"/>
      <c r="AQ186" s="204"/>
      <c r="AR186" s="204"/>
      <c r="AS186" s="204"/>
      <c r="AT186" s="204"/>
      <c r="AU186" s="204"/>
      <c r="AV186" s="204"/>
      <c r="AW186" s="204"/>
      <c r="AX186" s="204"/>
      <c r="AY186" s="204"/>
      <c r="AZ186" s="204"/>
      <c r="BA186" s="204"/>
      <c r="BB186" s="204"/>
      <c r="BC186" s="204"/>
      <c r="BD186" s="204"/>
      <c r="BE186" s="204"/>
      <c r="BF186" s="204"/>
      <c r="BG186" s="204"/>
      <c r="BH186" s="204"/>
      <c r="BI186" s="204"/>
      <c r="BJ186" s="204"/>
      <c r="BK186" s="204"/>
      <c r="BL186" s="204"/>
      <c r="BM186" s="204"/>
      <c r="BN186" s="204"/>
      <c r="BO186" s="204"/>
      <c r="BP186" s="204"/>
    </row>
    <row r="187" spans="1:68" ht="15" x14ac:dyDescent="0.2">
      <c r="A187" s="204"/>
      <c r="B187" s="204"/>
      <c r="C187" s="821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821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821"/>
      <c r="AL187" s="204"/>
      <c r="AM187" s="204"/>
      <c r="AN187" s="204"/>
      <c r="AO187" s="204"/>
      <c r="AP187" s="204"/>
      <c r="AQ187" s="204"/>
      <c r="AR187" s="204"/>
      <c r="AS187" s="204"/>
      <c r="AT187" s="204"/>
      <c r="AU187" s="204"/>
      <c r="AV187" s="204"/>
      <c r="AW187" s="204"/>
      <c r="AX187" s="204"/>
      <c r="AY187" s="204"/>
      <c r="AZ187" s="204"/>
      <c r="BA187" s="204"/>
      <c r="BB187" s="204"/>
      <c r="BC187" s="204"/>
      <c r="BD187" s="204"/>
      <c r="BE187" s="204"/>
      <c r="BF187" s="204"/>
      <c r="BG187" s="204"/>
      <c r="BH187" s="204"/>
      <c r="BI187" s="204"/>
      <c r="BJ187" s="204"/>
      <c r="BK187" s="204"/>
      <c r="BL187" s="204"/>
      <c r="BM187" s="204"/>
      <c r="BN187" s="204"/>
      <c r="BO187" s="204"/>
      <c r="BP187" s="204"/>
    </row>
    <row r="188" spans="1:68" ht="15" x14ac:dyDescent="0.2">
      <c r="A188" s="204"/>
      <c r="B188" s="204"/>
      <c r="C188" s="821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821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821"/>
      <c r="AL188" s="204"/>
      <c r="AM188" s="204"/>
      <c r="AN188" s="204"/>
      <c r="AO188" s="204"/>
      <c r="AP188" s="204"/>
      <c r="AQ188" s="204"/>
      <c r="AR188" s="204"/>
      <c r="AS188" s="204"/>
      <c r="AT188" s="204"/>
      <c r="AU188" s="204"/>
      <c r="AV188" s="204"/>
      <c r="AW188" s="204"/>
      <c r="AX188" s="204"/>
      <c r="AY188" s="204"/>
      <c r="AZ188" s="204"/>
      <c r="BA188" s="204"/>
      <c r="BB188" s="204"/>
      <c r="BC188" s="204"/>
      <c r="BD188" s="204"/>
      <c r="BE188" s="204"/>
      <c r="BF188" s="204"/>
      <c r="BG188" s="204"/>
      <c r="BH188" s="204"/>
      <c r="BI188" s="204"/>
      <c r="BJ188" s="204"/>
      <c r="BK188" s="204"/>
      <c r="BL188" s="204"/>
      <c r="BM188" s="204"/>
      <c r="BN188" s="204"/>
      <c r="BO188" s="204"/>
      <c r="BP188" s="204"/>
    </row>
    <row r="189" spans="1:68" ht="15" x14ac:dyDescent="0.2">
      <c r="A189" s="204"/>
      <c r="B189" s="204"/>
      <c r="C189" s="821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821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821"/>
      <c r="AL189" s="204"/>
      <c r="AM189" s="204"/>
      <c r="AN189" s="204"/>
      <c r="AO189" s="204"/>
      <c r="AP189" s="204"/>
      <c r="AQ189" s="204"/>
      <c r="AR189" s="204"/>
      <c r="AS189" s="204"/>
      <c r="AT189" s="204"/>
      <c r="AU189" s="204"/>
      <c r="AV189" s="204"/>
      <c r="AW189" s="204"/>
      <c r="AX189" s="204"/>
      <c r="AY189" s="204"/>
      <c r="AZ189" s="204"/>
      <c r="BA189" s="204"/>
      <c r="BB189" s="204"/>
      <c r="BC189" s="204"/>
      <c r="BD189" s="204"/>
      <c r="BE189" s="204"/>
      <c r="BF189" s="204"/>
      <c r="BG189" s="204"/>
      <c r="BH189" s="204"/>
      <c r="BI189" s="204"/>
      <c r="BJ189" s="204"/>
      <c r="BK189" s="204"/>
      <c r="BL189" s="204"/>
      <c r="BM189" s="204"/>
      <c r="BN189" s="204"/>
      <c r="BO189" s="204"/>
      <c r="BP189" s="204"/>
    </row>
    <row r="190" spans="1:68" ht="15" x14ac:dyDescent="0.2">
      <c r="A190" s="204"/>
      <c r="B190" s="204"/>
      <c r="C190" s="821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821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821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04"/>
      <c r="BN190" s="204"/>
      <c r="BO190" s="204"/>
      <c r="BP190" s="204"/>
    </row>
    <row r="191" spans="1:68" ht="15" x14ac:dyDescent="0.2">
      <c r="A191" s="204"/>
      <c r="B191" s="204"/>
      <c r="C191" s="821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821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821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04"/>
      <c r="BN191" s="204"/>
      <c r="BO191" s="204"/>
      <c r="BP191" s="204"/>
    </row>
    <row r="192" spans="1:68" ht="15" x14ac:dyDescent="0.2">
      <c r="A192" s="204"/>
      <c r="B192" s="204"/>
      <c r="C192" s="821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821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821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</row>
    <row r="193" spans="1:68" ht="15" x14ac:dyDescent="0.2">
      <c r="A193" s="204"/>
      <c r="B193" s="204"/>
      <c r="C193" s="821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821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821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04"/>
      <c r="BN193" s="204"/>
      <c r="BO193" s="204"/>
      <c r="BP193" s="204"/>
    </row>
    <row r="194" spans="1:68" ht="15" x14ac:dyDescent="0.2">
      <c r="A194" s="204"/>
      <c r="B194" s="204"/>
      <c r="C194" s="821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821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821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4"/>
      <c r="BN194" s="204"/>
      <c r="BO194" s="204"/>
      <c r="BP194" s="204"/>
    </row>
    <row r="195" spans="1:68" ht="15" x14ac:dyDescent="0.2">
      <c r="A195" s="204"/>
      <c r="B195" s="204"/>
      <c r="C195" s="821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821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821"/>
      <c r="AL195" s="204"/>
      <c r="AM195" s="204"/>
      <c r="AN195" s="204"/>
      <c r="AO195" s="204"/>
      <c r="AP195" s="204"/>
      <c r="AQ195" s="204"/>
      <c r="AR195" s="204"/>
      <c r="AS195" s="204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4"/>
      <c r="BN195" s="204"/>
      <c r="BO195" s="204"/>
      <c r="BP195" s="204"/>
    </row>
    <row r="196" spans="1:68" ht="15" x14ac:dyDescent="0.2">
      <c r="A196" s="204"/>
      <c r="B196" s="204"/>
      <c r="C196" s="821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821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821"/>
      <c r="AL196" s="204"/>
      <c r="AM196" s="204"/>
      <c r="AN196" s="204"/>
      <c r="AO196" s="204"/>
      <c r="AP196" s="204"/>
      <c r="AQ196" s="204"/>
      <c r="AR196" s="204"/>
      <c r="AS196" s="204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4"/>
      <c r="BN196" s="204"/>
      <c r="BO196" s="204"/>
      <c r="BP196" s="204"/>
    </row>
    <row r="197" spans="1:68" ht="15" x14ac:dyDescent="0.2">
      <c r="A197" s="204"/>
      <c r="B197" s="204"/>
      <c r="C197" s="821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821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821"/>
      <c r="AL197" s="204"/>
      <c r="AM197" s="204"/>
      <c r="AN197" s="204"/>
      <c r="AO197" s="204"/>
      <c r="AP197" s="204"/>
      <c r="AQ197" s="204"/>
      <c r="AR197" s="204"/>
      <c r="AS197" s="204"/>
      <c r="AT197" s="204"/>
      <c r="AU197" s="204"/>
      <c r="AV197" s="204"/>
      <c r="AW197" s="204"/>
      <c r="AX197" s="204"/>
      <c r="AY197" s="204"/>
      <c r="AZ197" s="204"/>
      <c r="BA197" s="204"/>
      <c r="BB197" s="204"/>
      <c r="BC197" s="204"/>
      <c r="BD197" s="204"/>
      <c r="BE197" s="204"/>
      <c r="BF197" s="204"/>
      <c r="BG197" s="204"/>
      <c r="BH197" s="204"/>
      <c r="BI197" s="204"/>
      <c r="BJ197" s="204"/>
      <c r="BK197" s="204"/>
      <c r="BL197" s="204"/>
      <c r="BM197" s="204"/>
      <c r="BN197" s="204"/>
      <c r="BO197" s="204"/>
      <c r="BP197" s="204"/>
    </row>
    <row r="198" spans="1:68" ht="15" x14ac:dyDescent="0.2">
      <c r="A198" s="204"/>
      <c r="B198" s="204"/>
      <c r="C198" s="821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821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821"/>
      <c r="AL198" s="204"/>
      <c r="AM198" s="204"/>
      <c r="AN198" s="204"/>
      <c r="AO198" s="204"/>
      <c r="AP198" s="204"/>
      <c r="AQ198" s="204"/>
      <c r="AR198" s="204"/>
      <c r="AS198" s="204"/>
      <c r="AT198" s="204"/>
      <c r="AU198" s="204"/>
      <c r="AV198" s="204"/>
      <c r="AW198" s="204"/>
      <c r="AX198" s="204"/>
      <c r="AY198" s="204"/>
      <c r="AZ198" s="204"/>
      <c r="BA198" s="204"/>
      <c r="BB198" s="204"/>
      <c r="BC198" s="204"/>
      <c r="BD198" s="204"/>
      <c r="BE198" s="204"/>
      <c r="BF198" s="204"/>
      <c r="BG198" s="204"/>
      <c r="BH198" s="204"/>
      <c r="BI198" s="204"/>
      <c r="BJ198" s="204"/>
      <c r="BK198" s="204"/>
      <c r="BL198" s="204"/>
      <c r="BM198" s="204"/>
      <c r="BN198" s="204"/>
      <c r="BO198" s="204"/>
      <c r="BP198" s="204"/>
    </row>
    <row r="199" spans="1:68" ht="15" x14ac:dyDescent="0.2">
      <c r="A199" s="204"/>
      <c r="B199" s="204"/>
      <c r="C199" s="821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821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204"/>
      <c r="AJ199" s="204"/>
      <c r="AK199" s="821"/>
      <c r="AL199" s="204"/>
      <c r="AM199" s="204"/>
      <c r="AN199" s="204"/>
      <c r="AO199" s="204"/>
      <c r="AP199" s="204"/>
      <c r="AQ199" s="204"/>
      <c r="AR199" s="204"/>
      <c r="AS199" s="204"/>
      <c r="AT199" s="204"/>
      <c r="AU199" s="204"/>
      <c r="AV199" s="204"/>
      <c r="AW199" s="204"/>
      <c r="AX199" s="204"/>
      <c r="AY199" s="204"/>
      <c r="AZ199" s="204"/>
      <c r="BA199" s="204"/>
      <c r="BB199" s="204"/>
      <c r="BC199" s="204"/>
      <c r="BD199" s="204"/>
      <c r="BE199" s="204"/>
      <c r="BF199" s="204"/>
      <c r="BG199" s="204"/>
      <c r="BH199" s="204"/>
      <c r="BI199" s="204"/>
      <c r="BJ199" s="204"/>
      <c r="BK199" s="204"/>
      <c r="BL199" s="204"/>
      <c r="BM199" s="204"/>
      <c r="BN199" s="204"/>
      <c r="BO199" s="204"/>
      <c r="BP199" s="204"/>
    </row>
    <row r="200" spans="1:68" ht="15" x14ac:dyDescent="0.2">
      <c r="A200" s="204"/>
      <c r="B200" s="204"/>
      <c r="C200" s="821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821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821"/>
      <c r="AL200" s="204"/>
      <c r="AM200" s="204"/>
      <c r="AN200" s="204"/>
      <c r="AO200" s="204"/>
      <c r="AP200" s="204"/>
      <c r="AQ200" s="204"/>
      <c r="AR200" s="204"/>
      <c r="AS200" s="204"/>
      <c r="AT200" s="204"/>
      <c r="AU200" s="204"/>
      <c r="AV200" s="204"/>
      <c r="AW200" s="204"/>
      <c r="AX200" s="204"/>
      <c r="AY200" s="204"/>
      <c r="AZ200" s="204"/>
      <c r="BA200" s="204"/>
      <c r="BB200" s="204"/>
      <c r="BC200" s="204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</row>
    <row r="201" spans="1:68" ht="15" x14ac:dyDescent="0.2">
      <c r="A201" s="204"/>
      <c r="B201" s="204"/>
      <c r="C201" s="821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821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821"/>
      <c r="AL201" s="204"/>
      <c r="AM201" s="204"/>
      <c r="AN201" s="204"/>
      <c r="AO201" s="204"/>
      <c r="AP201" s="204"/>
      <c r="AQ201" s="204"/>
      <c r="AR201" s="204"/>
      <c r="AS201" s="204"/>
      <c r="AT201" s="204"/>
      <c r="AU201" s="204"/>
      <c r="AV201" s="204"/>
      <c r="AW201" s="204"/>
      <c r="AX201" s="204"/>
      <c r="AY201" s="204"/>
      <c r="AZ201" s="204"/>
      <c r="BA201" s="204"/>
      <c r="BB201" s="204"/>
      <c r="BC201" s="204"/>
      <c r="BD201" s="204"/>
      <c r="BE201" s="204"/>
      <c r="BF201" s="204"/>
      <c r="BG201" s="204"/>
      <c r="BH201" s="204"/>
      <c r="BI201" s="204"/>
      <c r="BJ201" s="204"/>
      <c r="BK201" s="204"/>
      <c r="BL201" s="204"/>
      <c r="BM201" s="204"/>
      <c r="BN201" s="204"/>
      <c r="BO201" s="204"/>
      <c r="BP201" s="204"/>
    </row>
    <row r="202" spans="1:68" ht="15" x14ac:dyDescent="0.2">
      <c r="A202" s="204"/>
      <c r="B202" s="204"/>
      <c r="C202" s="821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821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821"/>
      <c r="AL202" s="204"/>
      <c r="AM202" s="204"/>
      <c r="AN202" s="204"/>
      <c r="AO202" s="204"/>
      <c r="AP202" s="204"/>
      <c r="AQ202" s="204"/>
      <c r="AR202" s="204"/>
      <c r="AS202" s="204"/>
      <c r="AT202" s="204"/>
      <c r="AU202" s="204"/>
      <c r="AV202" s="204"/>
      <c r="AW202" s="204"/>
      <c r="AX202" s="204"/>
      <c r="AY202" s="204"/>
      <c r="AZ202" s="204"/>
      <c r="BA202" s="204"/>
      <c r="BB202" s="204"/>
      <c r="BC202" s="204"/>
      <c r="BD202" s="204"/>
      <c r="BE202" s="204"/>
      <c r="BF202" s="204"/>
      <c r="BG202" s="204"/>
      <c r="BH202" s="204"/>
      <c r="BI202" s="204"/>
      <c r="BJ202" s="204"/>
      <c r="BK202" s="204"/>
      <c r="BL202" s="204"/>
      <c r="BM202" s="204"/>
      <c r="BN202" s="204"/>
      <c r="BO202" s="204"/>
      <c r="BP202" s="204"/>
    </row>
    <row r="203" spans="1:68" ht="15" x14ac:dyDescent="0.2">
      <c r="A203" s="204"/>
      <c r="B203" s="204"/>
      <c r="C203" s="821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821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821"/>
      <c r="AL203" s="204"/>
      <c r="AM203" s="204"/>
      <c r="AN203" s="204"/>
      <c r="AO203" s="204"/>
      <c r="AP203" s="204"/>
      <c r="AQ203" s="204"/>
      <c r="AR203" s="204"/>
      <c r="AS203" s="204"/>
      <c r="AT203" s="204"/>
      <c r="AU203" s="204"/>
      <c r="AV203" s="204"/>
      <c r="AW203" s="204"/>
      <c r="AX203" s="204"/>
      <c r="AY203" s="204"/>
      <c r="AZ203" s="204"/>
      <c r="BA203" s="204"/>
      <c r="BB203" s="204"/>
      <c r="BC203" s="204"/>
      <c r="BD203" s="204"/>
      <c r="BE203" s="204"/>
      <c r="BF203" s="204"/>
      <c r="BG203" s="204"/>
      <c r="BH203" s="204"/>
      <c r="BI203" s="204"/>
      <c r="BJ203" s="204"/>
      <c r="BK203" s="204"/>
      <c r="BL203" s="204"/>
      <c r="BM203" s="204"/>
      <c r="BN203" s="204"/>
      <c r="BO203" s="204"/>
      <c r="BP203" s="204"/>
    </row>
    <row r="204" spans="1:68" ht="15" x14ac:dyDescent="0.2">
      <c r="A204" s="204"/>
      <c r="B204" s="204"/>
      <c r="C204" s="821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821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821"/>
      <c r="AL204" s="204"/>
      <c r="AM204" s="204"/>
      <c r="AN204" s="204"/>
      <c r="AO204" s="204"/>
      <c r="AP204" s="204"/>
      <c r="AQ204" s="204"/>
      <c r="AR204" s="204"/>
      <c r="AS204" s="204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204"/>
      <c r="BG204" s="204"/>
      <c r="BH204" s="204"/>
      <c r="BI204" s="204"/>
      <c r="BJ204" s="204"/>
      <c r="BK204" s="204"/>
      <c r="BL204" s="204"/>
      <c r="BM204" s="204"/>
      <c r="BN204" s="204"/>
      <c r="BO204" s="204"/>
      <c r="BP204" s="204"/>
    </row>
    <row r="205" spans="1:68" ht="15" x14ac:dyDescent="0.2">
      <c r="A205" s="204"/>
      <c r="B205" s="204"/>
      <c r="C205" s="821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821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821"/>
      <c r="AL205" s="204"/>
      <c r="AM205" s="204"/>
      <c r="AN205" s="204"/>
      <c r="AO205" s="204"/>
      <c r="AP205" s="204"/>
      <c r="AQ205" s="204"/>
      <c r="AR205" s="204"/>
      <c r="AS205" s="204"/>
      <c r="AT205" s="204"/>
      <c r="AU205" s="204"/>
      <c r="AV205" s="204"/>
      <c r="AW205" s="204"/>
      <c r="AX205" s="204"/>
      <c r="AY205" s="204"/>
      <c r="AZ205" s="204"/>
      <c r="BA205" s="204"/>
      <c r="BB205" s="204"/>
      <c r="BC205" s="204"/>
      <c r="BD205" s="204"/>
      <c r="BE205" s="204"/>
      <c r="BF205" s="204"/>
      <c r="BG205" s="204"/>
      <c r="BH205" s="204"/>
      <c r="BI205" s="204"/>
      <c r="BJ205" s="204"/>
      <c r="BK205" s="204"/>
      <c r="BL205" s="204"/>
      <c r="BM205" s="204"/>
      <c r="BN205" s="204"/>
      <c r="BO205" s="204"/>
      <c r="BP205" s="204"/>
    </row>
    <row r="206" spans="1:68" ht="15" x14ac:dyDescent="0.2">
      <c r="A206" s="204"/>
      <c r="B206" s="204"/>
      <c r="C206" s="821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821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821"/>
      <c r="AL206" s="204"/>
      <c r="AM206" s="204"/>
      <c r="AN206" s="204"/>
      <c r="AO206" s="204"/>
      <c r="AP206" s="204"/>
      <c r="AQ206" s="204"/>
      <c r="AR206" s="204"/>
      <c r="AS206" s="204"/>
      <c r="AT206" s="204"/>
      <c r="AU206" s="204"/>
      <c r="AV206" s="204"/>
      <c r="AW206" s="204"/>
      <c r="AX206" s="204"/>
      <c r="AY206" s="204"/>
      <c r="AZ206" s="204"/>
      <c r="BA206" s="204"/>
      <c r="BB206" s="204"/>
      <c r="BC206" s="204"/>
      <c r="BD206" s="204"/>
      <c r="BE206" s="204"/>
      <c r="BF206" s="204"/>
      <c r="BG206" s="204"/>
      <c r="BH206" s="204"/>
      <c r="BI206" s="204"/>
      <c r="BJ206" s="204"/>
      <c r="BK206" s="204"/>
      <c r="BL206" s="204"/>
      <c r="BM206" s="204"/>
      <c r="BN206" s="204"/>
      <c r="BO206" s="204"/>
      <c r="BP206" s="204"/>
    </row>
    <row r="207" spans="1:68" ht="15" x14ac:dyDescent="0.2">
      <c r="A207" s="204"/>
      <c r="B207" s="204"/>
      <c r="C207" s="821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821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821"/>
      <c r="AL207" s="204"/>
      <c r="AM207" s="204"/>
      <c r="AN207" s="204"/>
      <c r="AO207" s="204"/>
      <c r="AP207" s="204"/>
      <c r="AQ207" s="204"/>
      <c r="AR207" s="204"/>
      <c r="AS207" s="204"/>
      <c r="AT207" s="204"/>
      <c r="AU207" s="204"/>
      <c r="AV207" s="204"/>
      <c r="AW207" s="204"/>
      <c r="AX207" s="204"/>
      <c r="AY207" s="204"/>
      <c r="AZ207" s="204"/>
      <c r="BA207" s="204"/>
      <c r="BB207" s="204"/>
      <c r="BC207" s="204"/>
      <c r="BD207" s="204"/>
      <c r="BE207" s="204"/>
      <c r="BF207" s="204"/>
      <c r="BG207" s="204"/>
      <c r="BH207" s="204"/>
      <c r="BI207" s="204"/>
      <c r="BJ207" s="204"/>
      <c r="BK207" s="204"/>
      <c r="BL207" s="204"/>
      <c r="BM207" s="204"/>
      <c r="BN207" s="204"/>
      <c r="BO207" s="204"/>
      <c r="BP207" s="204"/>
    </row>
    <row r="208" spans="1:68" ht="15" x14ac:dyDescent="0.2">
      <c r="A208" s="204"/>
      <c r="B208" s="204"/>
      <c r="C208" s="821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821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821"/>
      <c r="AL208" s="204"/>
      <c r="AM208" s="204"/>
      <c r="AN208" s="204"/>
      <c r="AO208" s="204"/>
      <c r="AP208" s="204"/>
      <c r="AQ208" s="204"/>
      <c r="AR208" s="204"/>
      <c r="AS208" s="204"/>
      <c r="AT208" s="204"/>
      <c r="AU208" s="204"/>
      <c r="AV208" s="204"/>
      <c r="AW208" s="204"/>
      <c r="AX208" s="204"/>
      <c r="AY208" s="204"/>
      <c r="AZ208" s="204"/>
      <c r="BA208" s="204"/>
      <c r="BB208" s="204"/>
      <c r="BC208" s="204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</row>
    <row r="209" spans="1:68" ht="15" x14ac:dyDescent="0.2">
      <c r="A209" s="204"/>
      <c r="B209" s="204"/>
      <c r="C209" s="821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821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821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204"/>
      <c r="BN209" s="204"/>
      <c r="BO209" s="204"/>
      <c r="BP209" s="204"/>
    </row>
    <row r="210" spans="1:68" ht="15" x14ac:dyDescent="0.2">
      <c r="A210" s="204"/>
      <c r="B210" s="204"/>
      <c r="C210" s="821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821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821"/>
      <c r="AL210" s="204"/>
      <c r="AM210" s="204"/>
      <c r="AN210" s="204"/>
      <c r="AO210" s="204"/>
      <c r="AP210" s="204"/>
      <c r="AQ210" s="204"/>
      <c r="AR210" s="204"/>
      <c r="AS210" s="204"/>
      <c r="AT210" s="204"/>
      <c r="AU210" s="204"/>
      <c r="AV210" s="204"/>
      <c r="AW210" s="204"/>
      <c r="AX210" s="204"/>
      <c r="AY210" s="204"/>
      <c r="AZ210" s="204"/>
      <c r="BA210" s="204"/>
      <c r="BB210" s="204"/>
      <c r="BC210" s="204"/>
      <c r="BD210" s="204"/>
      <c r="BE210" s="204"/>
      <c r="BF210" s="204"/>
      <c r="BG210" s="204"/>
      <c r="BH210" s="204"/>
      <c r="BI210" s="204"/>
      <c r="BJ210" s="204"/>
      <c r="BK210" s="204"/>
      <c r="BL210" s="204"/>
      <c r="BM210" s="204"/>
      <c r="BN210" s="204"/>
      <c r="BO210" s="204"/>
      <c r="BP210" s="204"/>
    </row>
    <row r="211" spans="1:68" ht="15" x14ac:dyDescent="0.2">
      <c r="A211" s="204"/>
      <c r="B211" s="204"/>
      <c r="C211" s="821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821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821"/>
      <c r="AL211" s="204"/>
      <c r="AM211" s="204"/>
      <c r="AN211" s="204"/>
      <c r="AO211" s="204"/>
      <c r="AP211" s="204"/>
      <c r="AQ211" s="204"/>
      <c r="AR211" s="204"/>
      <c r="AS211" s="204"/>
      <c r="AT211" s="204"/>
      <c r="AU211" s="204"/>
      <c r="AV211" s="204"/>
      <c r="AW211" s="204"/>
      <c r="AX211" s="204"/>
      <c r="AY211" s="204"/>
      <c r="AZ211" s="204"/>
      <c r="BA211" s="204"/>
      <c r="BB211" s="204"/>
      <c r="BC211" s="204"/>
      <c r="BD211" s="204"/>
      <c r="BE211" s="204"/>
      <c r="BF211" s="204"/>
      <c r="BG211" s="204"/>
      <c r="BH211" s="204"/>
      <c r="BI211" s="204"/>
      <c r="BJ211" s="204"/>
      <c r="BK211" s="204"/>
      <c r="BL211" s="204"/>
      <c r="BM211" s="204"/>
      <c r="BN211" s="204"/>
      <c r="BO211" s="204"/>
      <c r="BP211" s="204"/>
    </row>
    <row r="212" spans="1:68" ht="15" x14ac:dyDescent="0.2">
      <c r="A212" s="204"/>
      <c r="B212" s="204"/>
      <c r="C212" s="821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821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821"/>
      <c r="AL212" s="204"/>
      <c r="AM212" s="204"/>
      <c r="AN212" s="204"/>
      <c r="AO212" s="204"/>
      <c r="AP212" s="204"/>
      <c r="AQ212" s="204"/>
      <c r="AR212" s="204"/>
      <c r="AS212" s="204"/>
      <c r="AT212" s="204"/>
      <c r="AU212" s="204"/>
      <c r="AV212" s="204"/>
      <c r="AW212" s="204"/>
      <c r="AX212" s="204"/>
      <c r="AY212" s="204"/>
      <c r="AZ212" s="204"/>
      <c r="BA212" s="204"/>
      <c r="BB212" s="204"/>
      <c r="BC212" s="204"/>
      <c r="BD212" s="204"/>
      <c r="BE212" s="204"/>
      <c r="BF212" s="204"/>
      <c r="BG212" s="204"/>
      <c r="BH212" s="204"/>
      <c r="BI212" s="204"/>
      <c r="BJ212" s="204"/>
      <c r="BK212" s="204"/>
      <c r="BL212" s="204"/>
      <c r="BM212" s="204"/>
      <c r="BN212" s="204"/>
      <c r="BO212" s="204"/>
      <c r="BP212" s="204"/>
    </row>
    <row r="213" spans="1:68" ht="15" x14ac:dyDescent="0.2">
      <c r="A213" s="204"/>
      <c r="B213" s="204"/>
      <c r="C213" s="821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821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204"/>
      <c r="AJ213" s="204"/>
      <c r="AK213" s="821"/>
      <c r="AL213" s="204"/>
      <c r="AM213" s="204"/>
      <c r="AN213" s="204"/>
      <c r="AO213" s="204"/>
      <c r="AP213" s="204"/>
      <c r="AQ213" s="204"/>
      <c r="AR213" s="204"/>
      <c r="AS213" s="204"/>
      <c r="AT213" s="204"/>
      <c r="AU213" s="204"/>
      <c r="AV213" s="204"/>
      <c r="AW213" s="204"/>
      <c r="AX213" s="204"/>
      <c r="AY213" s="204"/>
      <c r="AZ213" s="204"/>
      <c r="BA213" s="204"/>
      <c r="BB213" s="204"/>
      <c r="BC213" s="204"/>
      <c r="BD213" s="204"/>
      <c r="BE213" s="204"/>
      <c r="BF213" s="204"/>
      <c r="BG213" s="204"/>
      <c r="BH213" s="204"/>
      <c r="BI213" s="204"/>
      <c r="BJ213" s="204"/>
      <c r="BK213" s="204"/>
      <c r="BL213" s="204"/>
      <c r="BM213" s="204"/>
      <c r="BN213" s="204"/>
      <c r="BO213" s="204"/>
      <c r="BP213" s="204"/>
    </row>
    <row r="214" spans="1:68" ht="15" x14ac:dyDescent="0.2">
      <c r="A214" s="204"/>
      <c r="B214" s="204"/>
      <c r="C214" s="821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821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4"/>
      <c r="AK214" s="821"/>
      <c r="AL214" s="204"/>
      <c r="AM214" s="204"/>
      <c r="AN214" s="204"/>
      <c r="AO214" s="204"/>
      <c r="AP214" s="204"/>
      <c r="AQ214" s="204"/>
      <c r="AR214" s="204"/>
      <c r="AS214" s="204"/>
      <c r="AT214" s="204"/>
      <c r="AU214" s="204"/>
      <c r="AV214" s="204"/>
      <c r="AW214" s="204"/>
      <c r="AX214" s="204"/>
      <c r="AY214" s="204"/>
      <c r="AZ214" s="204"/>
      <c r="BA214" s="204"/>
      <c r="BB214" s="204"/>
      <c r="BC214" s="204"/>
      <c r="BD214" s="204"/>
      <c r="BE214" s="204"/>
      <c r="BF214" s="204"/>
      <c r="BG214" s="204"/>
      <c r="BH214" s="204"/>
      <c r="BI214" s="204"/>
      <c r="BJ214" s="204"/>
      <c r="BK214" s="204"/>
      <c r="BL214" s="204"/>
      <c r="BM214" s="204"/>
      <c r="BN214" s="204"/>
      <c r="BO214" s="204"/>
      <c r="BP214" s="204"/>
    </row>
    <row r="215" spans="1:68" ht="15" x14ac:dyDescent="0.2">
      <c r="A215" s="204"/>
      <c r="B215" s="204"/>
      <c r="C215" s="821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821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  <c r="AD215" s="204"/>
      <c r="AE215" s="204"/>
      <c r="AF215" s="204"/>
      <c r="AG215" s="204"/>
      <c r="AH215" s="204"/>
      <c r="AI215" s="204"/>
      <c r="AJ215" s="204"/>
      <c r="AK215" s="821"/>
      <c r="AL215" s="204"/>
      <c r="AM215" s="204"/>
      <c r="AN215" s="204"/>
      <c r="AO215" s="204"/>
      <c r="AP215" s="204"/>
      <c r="AQ215" s="204"/>
      <c r="AR215" s="204"/>
      <c r="AS215" s="204"/>
      <c r="AT215" s="204"/>
      <c r="AU215" s="204"/>
      <c r="AV215" s="204"/>
      <c r="AW215" s="204"/>
      <c r="AX215" s="204"/>
      <c r="AY215" s="204"/>
      <c r="AZ215" s="204"/>
      <c r="BA215" s="204"/>
      <c r="BB215" s="204"/>
      <c r="BC215" s="204"/>
      <c r="BD215" s="204"/>
      <c r="BE215" s="204"/>
      <c r="BF215" s="204"/>
      <c r="BG215" s="204"/>
      <c r="BH215" s="204"/>
      <c r="BI215" s="204"/>
      <c r="BJ215" s="204"/>
      <c r="BK215" s="204"/>
      <c r="BL215" s="204"/>
      <c r="BM215" s="204"/>
      <c r="BN215" s="204"/>
      <c r="BO215" s="204"/>
      <c r="BP215" s="204"/>
    </row>
    <row r="216" spans="1:68" ht="15" x14ac:dyDescent="0.2">
      <c r="A216" s="204"/>
      <c r="B216" s="204"/>
      <c r="C216" s="821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821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04"/>
      <c r="AK216" s="821"/>
      <c r="AL216" s="204"/>
      <c r="AM216" s="204"/>
      <c r="AN216" s="204"/>
      <c r="AO216" s="204"/>
      <c r="AP216" s="204"/>
      <c r="AQ216" s="204"/>
      <c r="AR216" s="204"/>
      <c r="AS216" s="204"/>
      <c r="AT216" s="204"/>
      <c r="AU216" s="204"/>
      <c r="AV216" s="204"/>
      <c r="AW216" s="204"/>
      <c r="AX216" s="204"/>
      <c r="AY216" s="204"/>
      <c r="AZ216" s="204"/>
      <c r="BA216" s="204"/>
      <c r="BB216" s="204"/>
      <c r="BC216" s="204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</row>
    <row r="217" spans="1:68" ht="15" x14ac:dyDescent="0.2">
      <c r="A217" s="204"/>
      <c r="B217" s="204"/>
      <c r="C217" s="821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821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821"/>
      <c r="AL217" s="204"/>
      <c r="AM217" s="204"/>
      <c r="AN217" s="204"/>
      <c r="AO217" s="204"/>
      <c r="AP217" s="204"/>
      <c r="AQ217" s="204"/>
      <c r="AR217" s="204"/>
      <c r="AS217" s="204"/>
      <c r="AT217" s="204"/>
      <c r="AU217" s="204"/>
      <c r="AV217" s="204"/>
      <c r="AW217" s="204"/>
      <c r="AX217" s="204"/>
      <c r="AY217" s="204"/>
      <c r="AZ217" s="204"/>
      <c r="BA217" s="204"/>
      <c r="BB217" s="204"/>
      <c r="BC217" s="204"/>
      <c r="BD217" s="204"/>
      <c r="BE217" s="204"/>
      <c r="BF217" s="204"/>
      <c r="BG217" s="204"/>
      <c r="BH217" s="204"/>
      <c r="BI217" s="204"/>
      <c r="BJ217" s="204"/>
      <c r="BK217" s="204"/>
      <c r="BL217" s="204"/>
      <c r="BM217" s="204"/>
      <c r="BN217" s="204"/>
      <c r="BO217" s="204"/>
      <c r="BP217" s="204"/>
    </row>
    <row r="218" spans="1:68" ht="15" x14ac:dyDescent="0.2">
      <c r="A218" s="204"/>
      <c r="B218" s="204"/>
      <c r="C218" s="821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821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821"/>
      <c r="AL218" s="204"/>
      <c r="AM218" s="204"/>
      <c r="AN218" s="204"/>
      <c r="AO218" s="204"/>
      <c r="AP218" s="204"/>
      <c r="AQ218" s="204"/>
      <c r="AR218" s="204"/>
      <c r="AS218" s="204"/>
      <c r="AT218" s="204"/>
      <c r="AU218" s="204"/>
      <c r="AV218" s="204"/>
      <c r="AW218" s="204"/>
      <c r="AX218" s="204"/>
      <c r="AY218" s="204"/>
      <c r="AZ218" s="204"/>
      <c r="BA218" s="204"/>
      <c r="BB218" s="204"/>
      <c r="BC218" s="204"/>
      <c r="BD218" s="204"/>
      <c r="BE218" s="204"/>
      <c r="BF218" s="204"/>
      <c r="BG218" s="204"/>
      <c r="BH218" s="204"/>
      <c r="BI218" s="204"/>
      <c r="BJ218" s="204"/>
      <c r="BK218" s="204"/>
      <c r="BL218" s="204"/>
      <c r="BM218" s="204"/>
      <c r="BN218" s="204"/>
      <c r="BO218" s="204"/>
      <c r="BP218" s="204"/>
    </row>
    <row r="219" spans="1:68" ht="15" x14ac:dyDescent="0.2">
      <c r="A219" s="204"/>
      <c r="B219" s="204"/>
      <c r="C219" s="821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821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821"/>
      <c r="AL219" s="204"/>
      <c r="AM219" s="204"/>
      <c r="AN219" s="204"/>
      <c r="AO219" s="204"/>
      <c r="AP219" s="204"/>
      <c r="AQ219" s="204"/>
      <c r="AR219" s="204"/>
      <c r="AS219" s="204"/>
      <c r="AT219" s="204"/>
      <c r="AU219" s="204"/>
      <c r="AV219" s="204"/>
      <c r="AW219" s="204"/>
      <c r="AX219" s="204"/>
      <c r="AY219" s="204"/>
      <c r="AZ219" s="204"/>
      <c r="BA219" s="204"/>
      <c r="BB219" s="204"/>
      <c r="BC219" s="204"/>
      <c r="BD219" s="204"/>
      <c r="BE219" s="204"/>
      <c r="BF219" s="204"/>
      <c r="BG219" s="204"/>
      <c r="BH219" s="204"/>
      <c r="BI219" s="204"/>
      <c r="BJ219" s="204"/>
      <c r="BK219" s="204"/>
      <c r="BL219" s="204"/>
      <c r="BM219" s="204"/>
      <c r="BN219" s="204"/>
      <c r="BO219" s="204"/>
      <c r="BP219" s="204"/>
    </row>
    <row r="220" spans="1:68" ht="15" x14ac:dyDescent="0.2">
      <c r="A220" s="204"/>
      <c r="B220" s="204"/>
      <c r="C220" s="821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821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821"/>
      <c r="AL220" s="204"/>
      <c r="AM220" s="204"/>
      <c r="AN220" s="204"/>
      <c r="AO220" s="204"/>
      <c r="AP220" s="204"/>
      <c r="AQ220" s="204"/>
      <c r="AR220" s="204"/>
      <c r="AS220" s="204"/>
      <c r="AT220" s="204"/>
      <c r="AU220" s="204"/>
      <c r="AV220" s="204"/>
      <c r="AW220" s="204"/>
      <c r="AX220" s="204"/>
      <c r="AY220" s="204"/>
      <c r="AZ220" s="204"/>
      <c r="BA220" s="204"/>
      <c r="BB220" s="204"/>
      <c r="BC220" s="204"/>
      <c r="BD220" s="204"/>
      <c r="BE220" s="204"/>
      <c r="BF220" s="204"/>
      <c r="BG220" s="204"/>
      <c r="BH220" s="204"/>
      <c r="BI220" s="204"/>
      <c r="BJ220" s="204"/>
      <c r="BK220" s="204"/>
      <c r="BL220" s="204"/>
      <c r="BM220" s="204"/>
      <c r="BN220" s="204"/>
      <c r="BO220" s="204"/>
      <c r="BP220" s="204"/>
    </row>
    <row r="221" spans="1:68" ht="15" x14ac:dyDescent="0.2">
      <c r="A221" s="204"/>
      <c r="B221" s="204"/>
      <c r="C221" s="821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821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821"/>
      <c r="AL221" s="204"/>
      <c r="AM221" s="204"/>
      <c r="AN221" s="204"/>
      <c r="AO221" s="204"/>
      <c r="AP221" s="204"/>
      <c r="AQ221" s="204"/>
      <c r="AR221" s="204"/>
      <c r="AS221" s="204"/>
      <c r="AT221" s="204"/>
      <c r="AU221" s="204"/>
      <c r="AV221" s="204"/>
      <c r="AW221" s="204"/>
      <c r="AX221" s="204"/>
      <c r="AY221" s="204"/>
      <c r="AZ221" s="204"/>
      <c r="BA221" s="204"/>
      <c r="BB221" s="204"/>
      <c r="BC221" s="204"/>
      <c r="BD221" s="204"/>
      <c r="BE221" s="204"/>
      <c r="BF221" s="204"/>
      <c r="BG221" s="204"/>
      <c r="BH221" s="204"/>
      <c r="BI221" s="204"/>
      <c r="BJ221" s="204"/>
      <c r="BK221" s="204"/>
      <c r="BL221" s="204"/>
      <c r="BM221" s="204"/>
      <c r="BN221" s="204"/>
      <c r="BO221" s="204"/>
      <c r="BP221" s="204"/>
    </row>
    <row r="222" spans="1:68" ht="15" x14ac:dyDescent="0.2">
      <c r="A222" s="204"/>
      <c r="B222" s="204"/>
      <c r="C222" s="821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821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821"/>
      <c r="AL222" s="204"/>
      <c r="AM222" s="204"/>
      <c r="AN222" s="204"/>
      <c r="AO222" s="204"/>
      <c r="AP222" s="204"/>
      <c r="AQ222" s="204"/>
      <c r="AR222" s="204"/>
      <c r="AS222" s="204"/>
      <c r="AT222" s="204"/>
      <c r="AU222" s="204"/>
      <c r="AV222" s="204"/>
      <c r="AW222" s="204"/>
      <c r="AX222" s="204"/>
      <c r="AY222" s="204"/>
      <c r="AZ222" s="204"/>
      <c r="BA222" s="204"/>
      <c r="BB222" s="204"/>
      <c r="BC222" s="204"/>
      <c r="BD222" s="204"/>
      <c r="BE222" s="204"/>
      <c r="BF222" s="204"/>
      <c r="BG222" s="204"/>
      <c r="BH222" s="204"/>
      <c r="BI222" s="204"/>
      <c r="BJ222" s="204"/>
      <c r="BK222" s="204"/>
      <c r="BL222" s="204"/>
      <c r="BM222" s="204"/>
      <c r="BN222" s="204"/>
      <c r="BO222" s="204"/>
      <c r="BP222" s="204"/>
    </row>
    <row r="223" spans="1:68" ht="15" x14ac:dyDescent="0.2">
      <c r="A223" s="204"/>
      <c r="B223" s="204"/>
      <c r="C223" s="821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821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821"/>
      <c r="AL223" s="204"/>
      <c r="AM223" s="204"/>
      <c r="AN223" s="204"/>
      <c r="AO223" s="204"/>
      <c r="AP223" s="204"/>
      <c r="AQ223" s="204"/>
      <c r="AR223" s="204"/>
      <c r="AS223" s="204"/>
      <c r="AT223" s="204"/>
      <c r="AU223" s="204"/>
      <c r="AV223" s="204"/>
      <c r="AW223" s="204"/>
      <c r="AX223" s="204"/>
      <c r="AY223" s="204"/>
      <c r="AZ223" s="204"/>
      <c r="BA223" s="204"/>
      <c r="BB223" s="204"/>
      <c r="BC223" s="204"/>
      <c r="BD223" s="204"/>
      <c r="BE223" s="204"/>
      <c r="BF223" s="204"/>
      <c r="BG223" s="204"/>
      <c r="BH223" s="204"/>
      <c r="BI223" s="204"/>
      <c r="BJ223" s="204"/>
      <c r="BK223" s="204"/>
      <c r="BL223" s="204"/>
      <c r="BM223" s="204"/>
      <c r="BN223" s="204"/>
      <c r="BO223" s="204"/>
      <c r="BP223" s="204"/>
    </row>
    <row r="224" spans="1:68" ht="15" x14ac:dyDescent="0.2">
      <c r="A224" s="204"/>
      <c r="B224" s="204"/>
      <c r="C224" s="821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821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821"/>
      <c r="AL224" s="204"/>
      <c r="AM224" s="204"/>
      <c r="AN224" s="204"/>
      <c r="AO224" s="204"/>
      <c r="AP224" s="204"/>
      <c r="AQ224" s="204"/>
      <c r="AR224" s="204"/>
      <c r="AS224" s="204"/>
      <c r="AT224" s="204"/>
      <c r="AU224" s="204"/>
      <c r="AV224" s="204"/>
      <c r="AW224" s="204"/>
      <c r="AX224" s="204"/>
      <c r="AY224" s="204"/>
      <c r="AZ224" s="204"/>
      <c r="BA224" s="204"/>
      <c r="BB224" s="204"/>
      <c r="BC224" s="204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</row>
    <row r="225" spans="1:68" ht="15" x14ac:dyDescent="0.2">
      <c r="A225" s="204"/>
      <c r="B225" s="204"/>
      <c r="C225" s="821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821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821"/>
      <c r="AL225" s="204"/>
      <c r="AM225" s="204"/>
      <c r="AN225" s="204"/>
      <c r="AO225" s="204"/>
      <c r="AP225" s="204"/>
      <c r="AQ225" s="204"/>
      <c r="AR225" s="204"/>
      <c r="AS225" s="204"/>
      <c r="AT225" s="204"/>
      <c r="AU225" s="204"/>
      <c r="AV225" s="204"/>
      <c r="AW225" s="204"/>
      <c r="AX225" s="204"/>
      <c r="AY225" s="204"/>
      <c r="AZ225" s="204"/>
      <c r="BA225" s="204"/>
      <c r="BB225" s="204"/>
      <c r="BC225" s="204"/>
      <c r="BD225" s="204"/>
      <c r="BE225" s="204"/>
      <c r="BF225" s="204"/>
      <c r="BG225" s="204"/>
      <c r="BH225" s="204"/>
      <c r="BI225" s="204"/>
      <c r="BJ225" s="204"/>
      <c r="BK225" s="204"/>
      <c r="BL225" s="204"/>
      <c r="BM225" s="204"/>
      <c r="BN225" s="204"/>
      <c r="BO225" s="204"/>
      <c r="BP225" s="204"/>
    </row>
    <row r="226" spans="1:68" ht="15" x14ac:dyDescent="0.2">
      <c r="A226" s="204"/>
      <c r="B226" s="204"/>
      <c r="C226" s="821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821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821"/>
      <c r="AL226" s="204"/>
      <c r="AM226" s="204"/>
      <c r="AN226" s="204"/>
      <c r="AO226" s="204"/>
      <c r="AP226" s="204"/>
      <c r="AQ226" s="204"/>
      <c r="AR226" s="204"/>
      <c r="AS226" s="204"/>
      <c r="AT226" s="204"/>
      <c r="AU226" s="204"/>
      <c r="AV226" s="204"/>
      <c r="AW226" s="204"/>
      <c r="AX226" s="204"/>
      <c r="AY226" s="204"/>
      <c r="AZ226" s="204"/>
      <c r="BA226" s="204"/>
      <c r="BB226" s="204"/>
      <c r="BC226" s="204"/>
      <c r="BD226" s="204"/>
      <c r="BE226" s="204"/>
      <c r="BF226" s="204"/>
      <c r="BG226" s="204"/>
      <c r="BH226" s="204"/>
      <c r="BI226" s="204"/>
      <c r="BJ226" s="204"/>
      <c r="BK226" s="204"/>
      <c r="BL226" s="204"/>
      <c r="BM226" s="204"/>
      <c r="BN226" s="204"/>
      <c r="BO226" s="204"/>
      <c r="BP226" s="204"/>
    </row>
    <row r="227" spans="1:68" ht="15" x14ac:dyDescent="0.2">
      <c r="A227" s="204"/>
      <c r="B227" s="204"/>
      <c r="C227" s="821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821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821"/>
      <c r="AL227" s="204"/>
      <c r="AM227" s="204"/>
      <c r="AN227" s="204"/>
      <c r="AO227" s="204"/>
      <c r="AP227" s="204"/>
      <c r="AQ227" s="204"/>
      <c r="AR227" s="204"/>
      <c r="AS227" s="204"/>
      <c r="AT227" s="204"/>
      <c r="AU227" s="204"/>
      <c r="AV227" s="204"/>
      <c r="AW227" s="204"/>
      <c r="AX227" s="204"/>
      <c r="AY227" s="204"/>
      <c r="AZ227" s="204"/>
      <c r="BA227" s="204"/>
      <c r="BB227" s="204"/>
      <c r="BC227" s="204"/>
      <c r="BD227" s="204"/>
      <c r="BE227" s="204"/>
      <c r="BF227" s="204"/>
      <c r="BG227" s="204"/>
      <c r="BH227" s="204"/>
      <c r="BI227" s="204"/>
      <c r="BJ227" s="204"/>
      <c r="BK227" s="204"/>
      <c r="BL227" s="204"/>
      <c r="BM227" s="204"/>
      <c r="BN227" s="204"/>
      <c r="BO227" s="204"/>
      <c r="BP227" s="204"/>
    </row>
    <row r="228" spans="1:68" ht="15" x14ac:dyDescent="0.2">
      <c r="A228" s="204"/>
      <c r="B228" s="204"/>
      <c r="C228" s="821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821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821"/>
      <c r="AL228" s="204"/>
      <c r="AM228" s="204"/>
      <c r="AN228" s="204"/>
      <c r="AO228" s="204"/>
      <c r="AP228" s="204"/>
      <c r="AQ228" s="204"/>
      <c r="AR228" s="204"/>
      <c r="AS228" s="204"/>
      <c r="AT228" s="204"/>
      <c r="AU228" s="204"/>
      <c r="AV228" s="204"/>
      <c r="AW228" s="204"/>
      <c r="AX228" s="204"/>
      <c r="AY228" s="204"/>
      <c r="AZ228" s="204"/>
      <c r="BA228" s="204"/>
      <c r="BB228" s="204"/>
      <c r="BC228" s="204"/>
      <c r="BD228" s="204"/>
      <c r="BE228" s="204"/>
      <c r="BF228" s="204"/>
      <c r="BG228" s="204"/>
      <c r="BH228" s="204"/>
      <c r="BI228" s="204"/>
      <c r="BJ228" s="204"/>
      <c r="BK228" s="204"/>
      <c r="BL228" s="204"/>
      <c r="BM228" s="204"/>
      <c r="BN228" s="204"/>
      <c r="BO228" s="204"/>
      <c r="BP228" s="204"/>
    </row>
    <row r="229" spans="1:68" ht="15" x14ac:dyDescent="0.2">
      <c r="A229" s="204"/>
      <c r="B229" s="204"/>
      <c r="C229" s="821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821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821"/>
      <c r="AL229" s="204"/>
      <c r="AM229" s="204"/>
      <c r="AN229" s="204"/>
      <c r="AO229" s="204"/>
      <c r="AP229" s="204"/>
      <c r="AQ229" s="204"/>
      <c r="AR229" s="204"/>
      <c r="AS229" s="204"/>
      <c r="AT229" s="204"/>
      <c r="AU229" s="204"/>
      <c r="AV229" s="204"/>
      <c r="AW229" s="204"/>
      <c r="AX229" s="204"/>
      <c r="AY229" s="204"/>
      <c r="AZ229" s="204"/>
      <c r="BA229" s="204"/>
      <c r="BB229" s="204"/>
      <c r="BC229" s="204"/>
      <c r="BD229" s="204"/>
      <c r="BE229" s="204"/>
      <c r="BF229" s="204"/>
      <c r="BG229" s="204"/>
      <c r="BH229" s="204"/>
      <c r="BI229" s="204"/>
      <c r="BJ229" s="204"/>
      <c r="BK229" s="204"/>
      <c r="BL229" s="204"/>
      <c r="BM229" s="204"/>
      <c r="BN229" s="204"/>
      <c r="BO229" s="204"/>
      <c r="BP229" s="204"/>
    </row>
    <row r="230" spans="1:68" ht="15" x14ac:dyDescent="0.2">
      <c r="A230" s="204"/>
      <c r="B230" s="204"/>
      <c r="C230" s="821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821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821"/>
      <c r="AL230" s="204"/>
      <c r="AM230" s="204"/>
      <c r="AN230" s="204"/>
      <c r="AO230" s="204"/>
      <c r="AP230" s="204"/>
      <c r="AQ230" s="204"/>
      <c r="AR230" s="204"/>
      <c r="AS230" s="204"/>
      <c r="AT230" s="204"/>
      <c r="AU230" s="204"/>
      <c r="AV230" s="204"/>
      <c r="AW230" s="204"/>
      <c r="AX230" s="204"/>
      <c r="AY230" s="204"/>
      <c r="AZ230" s="204"/>
      <c r="BA230" s="204"/>
      <c r="BB230" s="204"/>
      <c r="BC230" s="204"/>
      <c r="BD230" s="204"/>
      <c r="BE230" s="204"/>
      <c r="BF230" s="204"/>
      <c r="BG230" s="204"/>
      <c r="BH230" s="204"/>
      <c r="BI230" s="204"/>
      <c r="BJ230" s="204"/>
      <c r="BK230" s="204"/>
      <c r="BL230" s="204"/>
      <c r="BM230" s="204"/>
      <c r="BN230" s="204"/>
      <c r="BO230" s="204"/>
      <c r="BP230" s="204"/>
    </row>
    <row r="231" spans="1:68" ht="15" x14ac:dyDescent="0.2">
      <c r="A231" s="204"/>
      <c r="B231" s="204"/>
      <c r="C231" s="821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821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821"/>
      <c r="AL231" s="204"/>
      <c r="AM231" s="204"/>
      <c r="AN231" s="204"/>
      <c r="AO231" s="204"/>
      <c r="AP231" s="204"/>
      <c r="AQ231" s="204"/>
      <c r="AR231" s="204"/>
      <c r="AS231" s="204"/>
      <c r="AT231" s="204"/>
      <c r="AU231" s="204"/>
      <c r="AV231" s="204"/>
      <c r="AW231" s="204"/>
      <c r="AX231" s="204"/>
      <c r="AY231" s="204"/>
      <c r="AZ231" s="204"/>
      <c r="BA231" s="204"/>
      <c r="BB231" s="204"/>
      <c r="BC231" s="204"/>
      <c r="BD231" s="204"/>
      <c r="BE231" s="204"/>
      <c r="BF231" s="204"/>
      <c r="BG231" s="204"/>
      <c r="BH231" s="204"/>
      <c r="BI231" s="204"/>
      <c r="BJ231" s="204"/>
      <c r="BK231" s="204"/>
      <c r="BL231" s="204"/>
      <c r="BM231" s="204"/>
      <c r="BN231" s="204"/>
      <c r="BO231" s="204"/>
      <c r="BP231" s="204"/>
    </row>
    <row r="232" spans="1:68" ht="15" x14ac:dyDescent="0.2">
      <c r="A232" s="204"/>
      <c r="B232" s="204"/>
      <c r="C232" s="821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821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821"/>
      <c r="AL232" s="204"/>
      <c r="AM232" s="204"/>
      <c r="AN232" s="204"/>
      <c r="AO232" s="204"/>
      <c r="AP232" s="204"/>
      <c r="AQ232" s="204"/>
      <c r="AR232" s="204"/>
      <c r="AS232" s="204"/>
      <c r="AT232" s="204"/>
      <c r="AU232" s="204"/>
      <c r="AV232" s="204"/>
      <c r="AW232" s="204"/>
      <c r="AX232" s="204"/>
      <c r="AY232" s="204"/>
      <c r="AZ232" s="204"/>
      <c r="BA232" s="204"/>
      <c r="BB232" s="204"/>
      <c r="BC232" s="204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</row>
    <row r="233" spans="1:68" ht="15" x14ac:dyDescent="0.2">
      <c r="A233" s="204"/>
      <c r="B233" s="204"/>
      <c r="C233" s="821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821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204"/>
      <c r="AC233" s="204"/>
      <c r="AD233" s="204"/>
      <c r="AE233" s="204"/>
      <c r="AF233" s="204"/>
      <c r="AG233" s="204"/>
      <c r="AH233" s="204"/>
      <c r="AI233" s="204"/>
      <c r="AJ233" s="204"/>
      <c r="AK233" s="821"/>
      <c r="AL233" s="204"/>
      <c r="AM233" s="204"/>
      <c r="AN233" s="204"/>
      <c r="AO233" s="204"/>
      <c r="AP233" s="204"/>
      <c r="AQ233" s="204"/>
      <c r="AR233" s="204"/>
      <c r="AS233" s="204"/>
      <c r="AT233" s="204"/>
      <c r="AU233" s="204"/>
      <c r="AV233" s="204"/>
      <c r="AW233" s="204"/>
      <c r="AX233" s="204"/>
      <c r="AY233" s="204"/>
      <c r="AZ233" s="204"/>
      <c r="BA233" s="204"/>
      <c r="BB233" s="204"/>
      <c r="BC233" s="204"/>
      <c r="BD233" s="204"/>
      <c r="BE233" s="204"/>
      <c r="BF233" s="204"/>
      <c r="BG233" s="204"/>
      <c r="BH233" s="204"/>
      <c r="BI233" s="204"/>
      <c r="BJ233" s="204"/>
      <c r="BK233" s="204"/>
      <c r="BL233" s="204"/>
      <c r="BM233" s="204"/>
      <c r="BN233" s="204"/>
      <c r="BO233" s="204"/>
      <c r="BP233" s="204"/>
    </row>
    <row r="234" spans="1:68" ht="15" x14ac:dyDescent="0.2">
      <c r="A234" s="204"/>
      <c r="B234" s="204"/>
      <c r="C234" s="821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821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821"/>
      <c r="AL234" s="204"/>
      <c r="AM234" s="204"/>
      <c r="AN234" s="204"/>
      <c r="AO234" s="204"/>
      <c r="AP234" s="204"/>
      <c r="AQ234" s="204"/>
      <c r="AR234" s="204"/>
      <c r="AS234" s="204"/>
      <c r="AT234" s="204"/>
      <c r="AU234" s="204"/>
      <c r="AV234" s="204"/>
      <c r="AW234" s="204"/>
      <c r="AX234" s="204"/>
      <c r="AY234" s="204"/>
      <c r="AZ234" s="204"/>
      <c r="BA234" s="204"/>
      <c r="BB234" s="204"/>
      <c r="BC234" s="204"/>
      <c r="BD234" s="204"/>
      <c r="BE234" s="204"/>
      <c r="BF234" s="204"/>
      <c r="BG234" s="204"/>
      <c r="BH234" s="204"/>
      <c r="BI234" s="204"/>
      <c r="BJ234" s="204"/>
      <c r="BK234" s="204"/>
      <c r="BL234" s="204"/>
      <c r="BM234" s="204"/>
      <c r="BN234" s="204"/>
      <c r="BO234" s="204"/>
      <c r="BP234" s="204"/>
    </row>
    <row r="235" spans="1:68" ht="15" x14ac:dyDescent="0.2">
      <c r="A235" s="204"/>
      <c r="B235" s="204"/>
      <c r="C235" s="821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821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821"/>
      <c r="AL235" s="204"/>
      <c r="AM235" s="204"/>
      <c r="AN235" s="204"/>
      <c r="AO235" s="204"/>
      <c r="AP235" s="204"/>
      <c r="AQ235" s="204"/>
      <c r="AR235" s="204"/>
      <c r="AS235" s="204"/>
      <c r="AT235" s="204"/>
      <c r="AU235" s="204"/>
      <c r="AV235" s="204"/>
      <c r="AW235" s="204"/>
      <c r="AX235" s="204"/>
      <c r="AY235" s="204"/>
      <c r="AZ235" s="204"/>
      <c r="BA235" s="204"/>
      <c r="BB235" s="204"/>
      <c r="BC235" s="204"/>
      <c r="BD235" s="204"/>
      <c r="BE235" s="204"/>
      <c r="BF235" s="204"/>
      <c r="BG235" s="204"/>
      <c r="BH235" s="204"/>
      <c r="BI235" s="204"/>
      <c r="BJ235" s="204"/>
      <c r="BK235" s="204"/>
      <c r="BL235" s="204"/>
      <c r="BM235" s="204"/>
      <c r="BN235" s="204"/>
      <c r="BO235" s="204"/>
      <c r="BP235" s="204"/>
    </row>
    <row r="236" spans="1:68" ht="15" x14ac:dyDescent="0.2">
      <c r="A236" s="204"/>
      <c r="B236" s="204"/>
      <c r="C236" s="821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821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821"/>
      <c r="AL236" s="204"/>
      <c r="AM236" s="204"/>
      <c r="AN236" s="204"/>
      <c r="AO236" s="204"/>
      <c r="AP236" s="204"/>
      <c r="AQ236" s="204"/>
      <c r="AR236" s="204"/>
      <c r="AS236" s="204"/>
      <c r="AT236" s="204"/>
      <c r="AU236" s="204"/>
      <c r="AV236" s="204"/>
      <c r="AW236" s="204"/>
      <c r="AX236" s="204"/>
      <c r="AY236" s="204"/>
      <c r="AZ236" s="204"/>
      <c r="BA236" s="204"/>
      <c r="BB236" s="204"/>
      <c r="BC236" s="204"/>
      <c r="BD236" s="204"/>
      <c r="BE236" s="204"/>
      <c r="BF236" s="204"/>
      <c r="BG236" s="204"/>
      <c r="BH236" s="204"/>
      <c r="BI236" s="204"/>
      <c r="BJ236" s="204"/>
      <c r="BK236" s="204"/>
      <c r="BL236" s="204"/>
      <c r="BM236" s="204"/>
      <c r="BN236" s="204"/>
      <c r="BO236" s="204"/>
      <c r="BP236" s="204"/>
    </row>
    <row r="237" spans="1:68" ht="15" x14ac:dyDescent="0.2">
      <c r="A237" s="204"/>
      <c r="B237" s="204"/>
      <c r="C237" s="821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821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821"/>
      <c r="AL237" s="204"/>
      <c r="AM237" s="204"/>
      <c r="AN237" s="204"/>
      <c r="AO237" s="204"/>
      <c r="AP237" s="204"/>
      <c r="AQ237" s="204"/>
      <c r="AR237" s="204"/>
      <c r="AS237" s="204"/>
      <c r="AT237" s="204"/>
      <c r="AU237" s="204"/>
      <c r="AV237" s="204"/>
      <c r="AW237" s="204"/>
      <c r="AX237" s="204"/>
      <c r="AY237" s="204"/>
      <c r="AZ237" s="204"/>
      <c r="BA237" s="204"/>
      <c r="BB237" s="204"/>
      <c r="BC237" s="204"/>
      <c r="BD237" s="204"/>
      <c r="BE237" s="204"/>
      <c r="BF237" s="204"/>
      <c r="BG237" s="204"/>
      <c r="BH237" s="204"/>
      <c r="BI237" s="204"/>
      <c r="BJ237" s="204"/>
      <c r="BK237" s="204"/>
      <c r="BL237" s="204"/>
      <c r="BM237" s="204"/>
      <c r="BN237" s="204"/>
      <c r="BO237" s="204"/>
      <c r="BP237" s="204"/>
    </row>
    <row r="238" spans="1:68" ht="15" x14ac:dyDescent="0.2">
      <c r="A238" s="204"/>
      <c r="B238" s="204"/>
      <c r="C238" s="821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821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821"/>
      <c r="AL238" s="204"/>
      <c r="AM238" s="204"/>
      <c r="AN238" s="204"/>
      <c r="AO238" s="204"/>
      <c r="AP238" s="204"/>
      <c r="AQ238" s="204"/>
      <c r="AR238" s="204"/>
      <c r="AS238" s="204"/>
      <c r="AT238" s="204"/>
      <c r="AU238" s="204"/>
      <c r="AV238" s="204"/>
      <c r="AW238" s="204"/>
      <c r="AX238" s="204"/>
      <c r="AY238" s="204"/>
      <c r="AZ238" s="204"/>
      <c r="BA238" s="204"/>
      <c r="BB238" s="204"/>
      <c r="BC238" s="204"/>
      <c r="BD238" s="204"/>
      <c r="BE238" s="204"/>
      <c r="BF238" s="204"/>
      <c r="BG238" s="204"/>
      <c r="BH238" s="204"/>
      <c r="BI238" s="204"/>
      <c r="BJ238" s="204"/>
      <c r="BK238" s="204"/>
      <c r="BL238" s="204"/>
      <c r="BM238" s="204"/>
      <c r="BN238" s="204"/>
      <c r="BO238" s="204"/>
      <c r="BP238" s="204"/>
    </row>
    <row r="239" spans="1:68" ht="15" x14ac:dyDescent="0.2">
      <c r="A239" s="204"/>
      <c r="B239" s="204"/>
      <c r="C239" s="821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821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821"/>
      <c r="AL239" s="204"/>
      <c r="AM239" s="204"/>
      <c r="AN239" s="204"/>
      <c r="AO239" s="204"/>
      <c r="AP239" s="204"/>
      <c r="AQ239" s="204"/>
      <c r="AR239" s="204"/>
      <c r="AS239" s="204"/>
      <c r="AT239" s="204"/>
      <c r="AU239" s="204"/>
      <c r="AV239" s="204"/>
      <c r="AW239" s="204"/>
      <c r="AX239" s="204"/>
      <c r="AY239" s="204"/>
      <c r="AZ239" s="204"/>
      <c r="BA239" s="204"/>
      <c r="BB239" s="204"/>
      <c r="BC239" s="204"/>
      <c r="BD239" s="204"/>
      <c r="BE239" s="204"/>
      <c r="BF239" s="204"/>
      <c r="BG239" s="204"/>
      <c r="BH239" s="204"/>
      <c r="BI239" s="204"/>
      <c r="BJ239" s="204"/>
      <c r="BK239" s="204"/>
      <c r="BL239" s="204"/>
      <c r="BM239" s="204"/>
      <c r="BN239" s="204"/>
      <c r="BO239" s="204"/>
      <c r="BP239" s="204"/>
    </row>
    <row r="240" spans="1:68" ht="15" x14ac:dyDescent="0.2">
      <c r="A240" s="204"/>
      <c r="B240" s="204"/>
      <c r="C240" s="821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821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821"/>
      <c r="AL240" s="204"/>
      <c r="AM240" s="204"/>
      <c r="AN240" s="204"/>
      <c r="AO240" s="204"/>
      <c r="AP240" s="204"/>
      <c r="AQ240" s="204"/>
      <c r="AR240" s="204"/>
      <c r="AS240" s="204"/>
      <c r="AT240" s="204"/>
      <c r="AU240" s="204"/>
      <c r="AV240" s="204"/>
      <c r="AW240" s="204"/>
      <c r="AX240" s="204"/>
      <c r="AY240" s="204"/>
      <c r="AZ240" s="204"/>
      <c r="BA240" s="204"/>
      <c r="BB240" s="204"/>
      <c r="BC240" s="204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</row>
    <row r="241" spans="1:68" ht="15" x14ac:dyDescent="0.2">
      <c r="A241" s="204"/>
      <c r="B241" s="204"/>
      <c r="C241" s="821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821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821"/>
      <c r="AL241" s="204"/>
      <c r="AM241" s="204"/>
      <c r="AN241" s="204"/>
      <c r="AO241" s="204"/>
      <c r="AP241" s="204"/>
      <c r="AQ241" s="204"/>
      <c r="AR241" s="204"/>
      <c r="AS241" s="204"/>
      <c r="AT241" s="204"/>
      <c r="AU241" s="204"/>
      <c r="AV241" s="204"/>
      <c r="AW241" s="204"/>
      <c r="AX241" s="204"/>
      <c r="AY241" s="204"/>
      <c r="AZ241" s="204"/>
      <c r="BA241" s="204"/>
      <c r="BB241" s="204"/>
      <c r="BC241" s="204"/>
      <c r="BD241" s="204"/>
      <c r="BE241" s="204"/>
      <c r="BF241" s="204"/>
      <c r="BG241" s="204"/>
      <c r="BH241" s="204"/>
      <c r="BI241" s="204"/>
      <c r="BJ241" s="204"/>
      <c r="BK241" s="204"/>
      <c r="BL241" s="204"/>
      <c r="BM241" s="204"/>
      <c r="BN241" s="204"/>
      <c r="BO241" s="204"/>
      <c r="BP241" s="204"/>
    </row>
    <row r="242" spans="1:68" ht="15" x14ac:dyDescent="0.2">
      <c r="A242" s="204"/>
      <c r="B242" s="204"/>
      <c r="C242" s="821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821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821"/>
      <c r="AL242" s="204"/>
      <c r="AM242" s="204"/>
      <c r="AN242" s="204"/>
      <c r="AO242" s="204"/>
      <c r="AP242" s="204"/>
      <c r="AQ242" s="204"/>
      <c r="AR242" s="204"/>
      <c r="AS242" s="204"/>
      <c r="AT242" s="204"/>
      <c r="AU242" s="204"/>
      <c r="AV242" s="204"/>
      <c r="AW242" s="204"/>
      <c r="AX242" s="204"/>
      <c r="AY242" s="204"/>
      <c r="AZ242" s="204"/>
      <c r="BA242" s="204"/>
      <c r="BB242" s="204"/>
      <c r="BC242" s="204"/>
      <c r="BD242" s="204"/>
      <c r="BE242" s="204"/>
      <c r="BF242" s="204"/>
      <c r="BG242" s="204"/>
      <c r="BH242" s="204"/>
      <c r="BI242" s="204"/>
      <c r="BJ242" s="204"/>
      <c r="BK242" s="204"/>
      <c r="BL242" s="204"/>
      <c r="BM242" s="204"/>
      <c r="BN242" s="204"/>
      <c r="BO242" s="204"/>
      <c r="BP242" s="204"/>
    </row>
    <row r="243" spans="1:68" ht="15" x14ac:dyDescent="0.2">
      <c r="A243" s="204"/>
      <c r="B243" s="204"/>
      <c r="C243" s="821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821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821"/>
      <c r="AL243" s="204"/>
      <c r="AM243" s="204"/>
      <c r="AN243" s="204"/>
      <c r="AO243" s="204"/>
      <c r="AP243" s="204"/>
      <c r="AQ243" s="204"/>
      <c r="AR243" s="204"/>
      <c r="AS243" s="204"/>
      <c r="AT243" s="204"/>
      <c r="AU243" s="204"/>
      <c r="AV243" s="204"/>
      <c r="AW243" s="204"/>
      <c r="AX243" s="204"/>
      <c r="AY243" s="204"/>
      <c r="AZ243" s="204"/>
      <c r="BA243" s="204"/>
      <c r="BB243" s="204"/>
      <c r="BC243" s="204"/>
      <c r="BD243" s="204"/>
      <c r="BE243" s="204"/>
      <c r="BF243" s="204"/>
      <c r="BG243" s="204"/>
      <c r="BH243" s="204"/>
      <c r="BI243" s="204"/>
      <c r="BJ243" s="204"/>
      <c r="BK243" s="204"/>
      <c r="BL243" s="204"/>
      <c r="BM243" s="204"/>
      <c r="BN243" s="204"/>
      <c r="BO243" s="204"/>
      <c r="BP243" s="204"/>
    </row>
    <row r="244" spans="1:68" ht="15" x14ac:dyDescent="0.2">
      <c r="A244" s="204"/>
      <c r="B244" s="204"/>
      <c r="C244" s="821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821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821"/>
      <c r="AL244" s="204"/>
      <c r="AM244" s="204"/>
      <c r="AN244" s="204"/>
      <c r="AO244" s="204"/>
      <c r="AP244" s="204"/>
      <c r="AQ244" s="204"/>
      <c r="AR244" s="204"/>
      <c r="AS244" s="204"/>
      <c r="AT244" s="204"/>
      <c r="AU244" s="204"/>
      <c r="AV244" s="204"/>
      <c r="AW244" s="204"/>
      <c r="AX244" s="204"/>
      <c r="AY244" s="204"/>
      <c r="AZ244" s="204"/>
      <c r="BA244" s="204"/>
      <c r="BB244" s="204"/>
      <c r="BC244" s="204"/>
      <c r="BD244" s="204"/>
      <c r="BE244" s="204"/>
      <c r="BF244" s="204"/>
      <c r="BG244" s="204"/>
      <c r="BH244" s="204"/>
      <c r="BI244" s="204"/>
      <c r="BJ244" s="204"/>
      <c r="BK244" s="204"/>
      <c r="BL244" s="204"/>
      <c r="BM244" s="204"/>
      <c r="BN244" s="204"/>
      <c r="BO244" s="204"/>
      <c r="BP244" s="204"/>
    </row>
    <row r="245" spans="1:68" ht="15" x14ac:dyDescent="0.2">
      <c r="A245" s="204"/>
      <c r="B245" s="204"/>
      <c r="C245" s="821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821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821"/>
      <c r="AL245" s="204"/>
      <c r="AM245" s="204"/>
      <c r="AN245" s="204"/>
      <c r="AO245" s="204"/>
      <c r="AP245" s="204"/>
      <c r="AQ245" s="204"/>
      <c r="AR245" s="204"/>
      <c r="AS245" s="204"/>
      <c r="AT245" s="204"/>
      <c r="AU245" s="204"/>
      <c r="AV245" s="204"/>
      <c r="AW245" s="204"/>
      <c r="AX245" s="204"/>
      <c r="AY245" s="204"/>
      <c r="AZ245" s="204"/>
      <c r="BA245" s="204"/>
      <c r="BB245" s="204"/>
      <c r="BC245" s="204"/>
      <c r="BD245" s="204"/>
      <c r="BE245" s="204"/>
      <c r="BF245" s="204"/>
      <c r="BG245" s="204"/>
      <c r="BH245" s="204"/>
      <c r="BI245" s="204"/>
      <c r="BJ245" s="204"/>
      <c r="BK245" s="204"/>
      <c r="BL245" s="204"/>
      <c r="BM245" s="204"/>
      <c r="BN245" s="204"/>
      <c r="BO245" s="204"/>
      <c r="BP245" s="204"/>
    </row>
    <row r="246" spans="1:68" ht="15" x14ac:dyDescent="0.2">
      <c r="A246" s="204"/>
      <c r="B246" s="204"/>
      <c r="C246" s="821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821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821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</row>
    <row r="247" spans="1:68" ht="15" x14ac:dyDescent="0.2">
      <c r="A247" s="204"/>
      <c r="B247" s="204"/>
      <c r="C247" s="821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821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821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04"/>
      <c r="BN247" s="204"/>
      <c r="BO247" s="204"/>
      <c r="BP247" s="204"/>
    </row>
    <row r="248" spans="1:68" ht="15" x14ac:dyDescent="0.2">
      <c r="A248" s="204"/>
      <c r="B248" s="204"/>
      <c r="C248" s="821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821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821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</row>
    <row r="249" spans="1:68" ht="15" x14ac:dyDescent="0.2">
      <c r="A249" s="204"/>
      <c r="B249" s="204"/>
      <c r="C249" s="821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821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821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04"/>
      <c r="BN249" s="204"/>
      <c r="BO249" s="204"/>
      <c r="BP249" s="204"/>
    </row>
    <row r="250" spans="1:68" ht="15" x14ac:dyDescent="0.2">
      <c r="A250" s="204"/>
      <c r="B250" s="204"/>
      <c r="C250" s="821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821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821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204"/>
      <c r="BN250" s="204"/>
      <c r="BO250" s="204"/>
      <c r="BP250" s="204"/>
    </row>
    <row r="251" spans="1:68" ht="15" x14ac:dyDescent="0.2">
      <c r="A251" s="204"/>
      <c r="B251" s="204"/>
      <c r="C251" s="821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821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821"/>
      <c r="AL251" s="204"/>
      <c r="AM251" s="204"/>
      <c r="AN251" s="204"/>
      <c r="AO251" s="204"/>
      <c r="AP251" s="204"/>
      <c r="AQ251" s="204"/>
      <c r="AR251" s="204"/>
      <c r="AS251" s="204"/>
      <c r="AT251" s="204"/>
      <c r="AU251" s="204"/>
      <c r="AV251" s="204"/>
      <c r="AW251" s="204"/>
      <c r="AX251" s="204"/>
      <c r="AY251" s="204"/>
      <c r="AZ251" s="204"/>
      <c r="BA251" s="204"/>
      <c r="BB251" s="204"/>
      <c r="BC251" s="204"/>
      <c r="BD251" s="204"/>
      <c r="BE251" s="204"/>
      <c r="BF251" s="204"/>
      <c r="BG251" s="204"/>
      <c r="BH251" s="204"/>
      <c r="BI251" s="204"/>
      <c r="BJ251" s="204"/>
      <c r="BK251" s="204"/>
      <c r="BL251" s="204"/>
      <c r="BM251" s="204"/>
      <c r="BN251" s="204"/>
      <c r="BO251" s="204"/>
      <c r="BP251" s="204"/>
    </row>
    <row r="252" spans="1:68" ht="15" x14ac:dyDescent="0.2">
      <c r="A252" s="204"/>
      <c r="B252" s="204"/>
      <c r="C252" s="821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821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821"/>
      <c r="AL252" s="204"/>
      <c r="AM252" s="204"/>
      <c r="AN252" s="204"/>
      <c r="AO252" s="204"/>
      <c r="AP252" s="204"/>
      <c r="AQ252" s="204"/>
      <c r="AR252" s="204"/>
      <c r="AS252" s="204"/>
      <c r="AT252" s="204"/>
      <c r="AU252" s="204"/>
      <c r="AV252" s="204"/>
      <c r="AW252" s="204"/>
      <c r="AX252" s="204"/>
      <c r="AY252" s="204"/>
      <c r="AZ252" s="204"/>
      <c r="BA252" s="204"/>
      <c r="BB252" s="204"/>
      <c r="BC252" s="204"/>
      <c r="BD252" s="204"/>
      <c r="BE252" s="204"/>
      <c r="BF252" s="204"/>
      <c r="BG252" s="204"/>
      <c r="BH252" s="204"/>
      <c r="BI252" s="204"/>
      <c r="BJ252" s="204"/>
      <c r="BK252" s="204"/>
      <c r="BL252" s="204"/>
      <c r="BM252" s="204"/>
      <c r="BN252" s="204"/>
      <c r="BO252" s="204"/>
      <c r="BP252" s="204"/>
    </row>
    <row r="253" spans="1:68" ht="15" x14ac:dyDescent="0.2">
      <c r="A253" s="204"/>
      <c r="B253" s="204"/>
      <c r="C253" s="821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821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  <c r="AA253" s="204"/>
      <c r="AB253" s="204"/>
      <c r="AC253" s="204"/>
      <c r="AD253" s="204"/>
      <c r="AE253" s="204"/>
      <c r="AF253" s="204"/>
      <c r="AG253" s="204"/>
      <c r="AH253" s="204"/>
      <c r="AI253" s="204"/>
      <c r="AJ253" s="204"/>
      <c r="AK253" s="821"/>
      <c r="AL253" s="204"/>
      <c r="AM253" s="204"/>
      <c r="AN253" s="204"/>
      <c r="AO253" s="204"/>
      <c r="AP253" s="204"/>
      <c r="AQ253" s="204"/>
      <c r="AR253" s="204"/>
      <c r="AS253" s="204"/>
      <c r="AT253" s="204"/>
      <c r="AU253" s="204"/>
      <c r="AV253" s="204"/>
      <c r="AW253" s="204"/>
      <c r="AX253" s="204"/>
      <c r="AY253" s="204"/>
      <c r="AZ253" s="204"/>
      <c r="BA253" s="204"/>
      <c r="BB253" s="204"/>
      <c r="BC253" s="204"/>
      <c r="BD253" s="204"/>
      <c r="BE253" s="204"/>
      <c r="BF253" s="204"/>
      <c r="BG253" s="204"/>
      <c r="BH253" s="204"/>
      <c r="BI253" s="204"/>
      <c r="BJ253" s="204"/>
      <c r="BK253" s="204"/>
      <c r="BL253" s="204"/>
      <c r="BM253" s="204"/>
      <c r="BN253" s="204"/>
      <c r="BO253" s="204"/>
      <c r="BP253" s="204"/>
    </row>
    <row r="254" spans="1:68" ht="15" x14ac:dyDescent="0.2">
      <c r="A254" s="204"/>
      <c r="B254" s="204"/>
      <c r="C254" s="821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821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821"/>
      <c r="AL254" s="204"/>
      <c r="AM254" s="204"/>
      <c r="AN254" s="204"/>
      <c r="AO254" s="204"/>
      <c r="AP254" s="204"/>
      <c r="AQ254" s="204"/>
      <c r="AR254" s="204"/>
      <c r="AS254" s="204"/>
      <c r="AT254" s="204"/>
      <c r="AU254" s="204"/>
      <c r="AV254" s="204"/>
      <c r="AW254" s="204"/>
      <c r="AX254" s="204"/>
      <c r="AY254" s="204"/>
      <c r="AZ254" s="204"/>
      <c r="BA254" s="204"/>
      <c r="BB254" s="204"/>
      <c r="BC254" s="204"/>
      <c r="BD254" s="204"/>
      <c r="BE254" s="204"/>
      <c r="BF254" s="204"/>
      <c r="BG254" s="204"/>
      <c r="BH254" s="204"/>
      <c r="BI254" s="204"/>
      <c r="BJ254" s="204"/>
      <c r="BK254" s="204"/>
      <c r="BL254" s="204"/>
      <c r="BM254" s="204"/>
      <c r="BN254" s="204"/>
      <c r="BO254" s="204"/>
      <c r="BP254" s="204"/>
    </row>
    <row r="255" spans="1:68" ht="15" x14ac:dyDescent="0.2">
      <c r="A255" s="204"/>
      <c r="B255" s="204"/>
      <c r="C255" s="821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821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821"/>
      <c r="AL255" s="204"/>
      <c r="AM255" s="204"/>
      <c r="AN255" s="204"/>
      <c r="AO255" s="204"/>
      <c r="AP255" s="204"/>
      <c r="AQ255" s="204"/>
      <c r="AR255" s="204"/>
      <c r="AS255" s="204"/>
      <c r="AT255" s="204"/>
      <c r="AU255" s="204"/>
      <c r="AV255" s="204"/>
      <c r="AW255" s="204"/>
      <c r="AX255" s="204"/>
      <c r="AY255" s="204"/>
      <c r="AZ255" s="204"/>
      <c r="BA255" s="204"/>
      <c r="BB255" s="204"/>
      <c r="BC255" s="204"/>
      <c r="BD255" s="204"/>
      <c r="BE255" s="204"/>
      <c r="BF255" s="204"/>
      <c r="BG255" s="204"/>
      <c r="BH255" s="204"/>
      <c r="BI255" s="204"/>
      <c r="BJ255" s="204"/>
      <c r="BK255" s="204"/>
      <c r="BL255" s="204"/>
      <c r="BM255" s="204"/>
      <c r="BN255" s="204"/>
      <c r="BO255" s="204"/>
      <c r="BP255" s="204"/>
    </row>
    <row r="256" spans="1:68" ht="15" x14ac:dyDescent="0.2">
      <c r="A256" s="204"/>
      <c r="B256" s="204"/>
      <c r="C256" s="821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821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821"/>
      <c r="AL256" s="204"/>
      <c r="AM256" s="204"/>
      <c r="AN256" s="204"/>
      <c r="AO256" s="204"/>
      <c r="AP256" s="204"/>
      <c r="AQ256" s="204"/>
      <c r="AR256" s="204"/>
      <c r="AS256" s="204"/>
      <c r="AT256" s="204"/>
      <c r="AU256" s="204"/>
      <c r="AV256" s="204"/>
      <c r="AW256" s="204"/>
      <c r="AX256" s="204"/>
      <c r="AY256" s="204"/>
      <c r="AZ256" s="204"/>
      <c r="BA256" s="204"/>
      <c r="BB256" s="204"/>
      <c r="BC256" s="204"/>
      <c r="BD256" s="204"/>
      <c r="BE256" s="204"/>
      <c r="BF256" s="204"/>
      <c r="BG256" s="204"/>
      <c r="BH256" s="204"/>
      <c r="BI256" s="204"/>
      <c r="BJ256" s="204"/>
      <c r="BK256" s="204"/>
      <c r="BL256" s="204"/>
      <c r="BM256" s="204"/>
      <c r="BN256" s="204"/>
      <c r="BO256" s="204"/>
      <c r="BP256" s="204"/>
    </row>
    <row r="257" spans="1:68" ht="15" x14ac:dyDescent="0.2">
      <c r="A257" s="204"/>
      <c r="B257" s="204"/>
      <c r="C257" s="821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821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  <c r="AA257" s="204"/>
      <c r="AB257" s="204"/>
      <c r="AC257" s="204"/>
      <c r="AD257" s="204"/>
      <c r="AE257" s="204"/>
      <c r="AF257" s="204"/>
      <c r="AG257" s="204"/>
      <c r="AH257" s="204"/>
      <c r="AI257" s="204"/>
      <c r="AJ257" s="204"/>
      <c r="AK257" s="821"/>
      <c r="AL257" s="204"/>
      <c r="AM257" s="204"/>
      <c r="AN257" s="204"/>
      <c r="AO257" s="204"/>
      <c r="AP257" s="204"/>
      <c r="AQ257" s="204"/>
      <c r="AR257" s="204"/>
      <c r="AS257" s="204"/>
      <c r="AT257" s="204"/>
      <c r="AU257" s="204"/>
      <c r="AV257" s="204"/>
      <c r="AW257" s="204"/>
      <c r="AX257" s="204"/>
      <c r="AY257" s="204"/>
      <c r="AZ257" s="204"/>
      <c r="BA257" s="204"/>
      <c r="BB257" s="204"/>
      <c r="BC257" s="204"/>
      <c r="BD257" s="204"/>
      <c r="BE257" s="204"/>
      <c r="BF257" s="204"/>
      <c r="BG257" s="204"/>
      <c r="BH257" s="204"/>
      <c r="BI257" s="204"/>
      <c r="BJ257" s="204"/>
      <c r="BK257" s="204"/>
      <c r="BL257" s="204"/>
      <c r="BM257" s="204"/>
      <c r="BN257" s="204"/>
      <c r="BO257" s="204"/>
      <c r="BP257" s="204"/>
    </row>
    <row r="258" spans="1:68" ht="15" x14ac:dyDescent="0.2">
      <c r="A258" s="204"/>
      <c r="B258" s="204"/>
      <c r="C258" s="821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821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  <c r="AA258" s="204"/>
      <c r="AB258" s="204"/>
      <c r="AC258" s="204"/>
      <c r="AD258" s="204"/>
      <c r="AE258" s="204"/>
      <c r="AF258" s="204"/>
      <c r="AG258" s="204"/>
      <c r="AH258" s="204"/>
      <c r="AI258" s="204"/>
      <c r="AJ258" s="204"/>
      <c r="AK258" s="821"/>
      <c r="AL258" s="204"/>
      <c r="AM258" s="204"/>
      <c r="AN258" s="204"/>
      <c r="AO258" s="204"/>
      <c r="AP258" s="204"/>
      <c r="AQ258" s="204"/>
      <c r="AR258" s="204"/>
      <c r="AS258" s="204"/>
      <c r="AT258" s="204"/>
      <c r="AU258" s="204"/>
      <c r="AV258" s="204"/>
      <c r="AW258" s="204"/>
      <c r="AX258" s="204"/>
      <c r="AY258" s="204"/>
      <c r="AZ258" s="204"/>
      <c r="BA258" s="204"/>
      <c r="BB258" s="204"/>
      <c r="BC258" s="204"/>
      <c r="BD258" s="204"/>
      <c r="BE258" s="204"/>
      <c r="BF258" s="204"/>
      <c r="BG258" s="204"/>
      <c r="BH258" s="204"/>
      <c r="BI258" s="204"/>
      <c r="BJ258" s="204"/>
      <c r="BK258" s="204"/>
      <c r="BL258" s="204"/>
      <c r="BM258" s="204"/>
      <c r="BN258" s="204"/>
      <c r="BO258" s="204"/>
      <c r="BP258" s="204"/>
    </row>
    <row r="259" spans="1:68" ht="15" x14ac:dyDescent="0.2">
      <c r="A259" s="204"/>
      <c r="B259" s="204"/>
      <c r="C259" s="821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821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  <c r="AD259" s="204"/>
      <c r="AE259" s="204"/>
      <c r="AF259" s="204"/>
      <c r="AG259" s="204"/>
      <c r="AH259" s="204"/>
      <c r="AI259" s="204"/>
      <c r="AJ259" s="204"/>
      <c r="AK259" s="821"/>
      <c r="AL259" s="204"/>
      <c r="AM259" s="204"/>
      <c r="AN259" s="204"/>
      <c r="AO259" s="204"/>
      <c r="AP259" s="204"/>
      <c r="AQ259" s="204"/>
      <c r="AR259" s="204"/>
      <c r="AS259" s="204"/>
      <c r="AT259" s="204"/>
      <c r="AU259" s="204"/>
      <c r="AV259" s="204"/>
      <c r="AW259" s="204"/>
      <c r="AX259" s="204"/>
      <c r="AY259" s="204"/>
      <c r="AZ259" s="204"/>
      <c r="BA259" s="204"/>
      <c r="BB259" s="204"/>
      <c r="BC259" s="204"/>
      <c r="BD259" s="204"/>
      <c r="BE259" s="204"/>
      <c r="BF259" s="204"/>
      <c r="BG259" s="204"/>
      <c r="BH259" s="204"/>
      <c r="BI259" s="204"/>
      <c r="BJ259" s="204"/>
      <c r="BK259" s="204"/>
      <c r="BL259" s="204"/>
      <c r="BM259" s="204"/>
      <c r="BN259" s="204"/>
      <c r="BO259" s="204"/>
      <c r="BP259" s="204"/>
    </row>
    <row r="260" spans="1:68" ht="15" x14ac:dyDescent="0.2">
      <c r="A260" s="204"/>
      <c r="B260" s="204"/>
      <c r="C260" s="821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821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821"/>
      <c r="AL260" s="204"/>
      <c r="AM260" s="204"/>
      <c r="AN260" s="204"/>
      <c r="AO260" s="204"/>
      <c r="AP260" s="204"/>
      <c r="AQ260" s="204"/>
      <c r="AR260" s="204"/>
      <c r="AS260" s="204"/>
      <c r="AT260" s="204"/>
      <c r="AU260" s="204"/>
      <c r="AV260" s="204"/>
      <c r="AW260" s="204"/>
      <c r="AX260" s="204"/>
      <c r="AY260" s="204"/>
      <c r="AZ260" s="204"/>
      <c r="BA260" s="204"/>
      <c r="BB260" s="204"/>
      <c r="BC260" s="204"/>
      <c r="BD260" s="204"/>
      <c r="BE260" s="204"/>
      <c r="BF260" s="204"/>
      <c r="BG260" s="204"/>
      <c r="BH260" s="204"/>
      <c r="BI260" s="204"/>
      <c r="BJ260" s="204"/>
      <c r="BK260" s="204"/>
      <c r="BL260" s="204"/>
      <c r="BM260" s="204"/>
      <c r="BN260" s="204"/>
      <c r="BO260" s="204"/>
      <c r="BP260" s="204"/>
    </row>
    <row r="261" spans="1:68" ht="15" x14ac:dyDescent="0.2">
      <c r="A261" s="204"/>
      <c r="B261" s="204"/>
      <c r="C261" s="821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821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204"/>
      <c r="AC261" s="204"/>
      <c r="AD261" s="204"/>
      <c r="AE261" s="204"/>
      <c r="AF261" s="204"/>
      <c r="AG261" s="204"/>
      <c r="AH261" s="204"/>
      <c r="AI261" s="204"/>
      <c r="AJ261" s="204"/>
      <c r="AK261" s="821"/>
      <c r="AL261" s="204"/>
      <c r="AM261" s="204"/>
      <c r="AN261" s="204"/>
      <c r="AO261" s="204"/>
      <c r="AP261" s="204"/>
      <c r="AQ261" s="204"/>
      <c r="AR261" s="204"/>
      <c r="AS261" s="204"/>
      <c r="AT261" s="204"/>
      <c r="AU261" s="204"/>
      <c r="AV261" s="204"/>
      <c r="AW261" s="204"/>
      <c r="AX261" s="204"/>
      <c r="AY261" s="204"/>
      <c r="AZ261" s="204"/>
      <c r="BA261" s="204"/>
      <c r="BB261" s="204"/>
      <c r="BC261" s="204"/>
      <c r="BD261" s="204"/>
      <c r="BE261" s="204"/>
      <c r="BF261" s="204"/>
      <c r="BG261" s="204"/>
      <c r="BH261" s="204"/>
      <c r="BI261" s="204"/>
      <c r="BJ261" s="204"/>
      <c r="BK261" s="204"/>
      <c r="BL261" s="204"/>
      <c r="BM261" s="204"/>
      <c r="BN261" s="204"/>
      <c r="BO261" s="204"/>
      <c r="BP261" s="204"/>
    </row>
    <row r="262" spans="1:68" ht="15" x14ac:dyDescent="0.2">
      <c r="A262" s="204"/>
      <c r="B262" s="204"/>
      <c r="C262" s="821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821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821"/>
      <c r="AL262" s="204"/>
      <c r="AM262" s="204"/>
      <c r="AN262" s="204"/>
      <c r="AO262" s="204"/>
      <c r="AP262" s="204"/>
      <c r="AQ262" s="204"/>
      <c r="AR262" s="204"/>
      <c r="AS262" s="204"/>
      <c r="AT262" s="204"/>
      <c r="AU262" s="204"/>
      <c r="AV262" s="204"/>
      <c r="AW262" s="204"/>
      <c r="AX262" s="204"/>
      <c r="AY262" s="204"/>
      <c r="AZ262" s="204"/>
      <c r="BA262" s="204"/>
      <c r="BB262" s="204"/>
      <c r="BC262" s="204"/>
      <c r="BD262" s="204"/>
      <c r="BE262" s="204"/>
      <c r="BF262" s="204"/>
      <c r="BG262" s="204"/>
      <c r="BH262" s="204"/>
      <c r="BI262" s="204"/>
      <c r="BJ262" s="204"/>
      <c r="BK262" s="204"/>
      <c r="BL262" s="204"/>
      <c r="BM262" s="204"/>
      <c r="BN262" s="204"/>
      <c r="BO262" s="204"/>
      <c r="BP262" s="204"/>
    </row>
    <row r="263" spans="1:68" ht="15" x14ac:dyDescent="0.2">
      <c r="A263" s="204"/>
      <c r="B263" s="204"/>
      <c r="C263" s="821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821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  <c r="AA263" s="204"/>
      <c r="AB263" s="204"/>
      <c r="AC263" s="204"/>
      <c r="AD263" s="204"/>
      <c r="AE263" s="204"/>
      <c r="AF263" s="204"/>
      <c r="AG263" s="204"/>
      <c r="AH263" s="204"/>
      <c r="AI263" s="204"/>
      <c r="AJ263" s="204"/>
      <c r="AK263" s="821"/>
      <c r="AL263" s="204"/>
      <c r="AM263" s="204"/>
      <c r="AN263" s="204"/>
      <c r="AO263" s="204"/>
      <c r="AP263" s="204"/>
      <c r="AQ263" s="204"/>
      <c r="AR263" s="204"/>
      <c r="AS263" s="204"/>
      <c r="AT263" s="204"/>
      <c r="AU263" s="204"/>
      <c r="AV263" s="204"/>
      <c r="AW263" s="204"/>
      <c r="AX263" s="204"/>
      <c r="AY263" s="204"/>
      <c r="AZ263" s="204"/>
      <c r="BA263" s="204"/>
      <c r="BB263" s="204"/>
      <c r="BC263" s="204"/>
      <c r="BD263" s="204"/>
      <c r="BE263" s="204"/>
      <c r="BF263" s="204"/>
      <c r="BG263" s="204"/>
      <c r="BH263" s="204"/>
      <c r="BI263" s="204"/>
      <c r="BJ263" s="204"/>
      <c r="BK263" s="204"/>
      <c r="BL263" s="204"/>
      <c r="BM263" s="204"/>
      <c r="BN263" s="204"/>
      <c r="BO263" s="204"/>
      <c r="BP263" s="204"/>
    </row>
    <row r="264" spans="1:68" ht="15" x14ac:dyDescent="0.2">
      <c r="A264" s="204"/>
      <c r="B264" s="204"/>
      <c r="C264" s="821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821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  <c r="AH264" s="204"/>
      <c r="AI264" s="204"/>
      <c r="AJ264" s="204"/>
      <c r="AK264" s="821"/>
      <c r="AL264" s="204"/>
      <c r="AM264" s="204"/>
      <c r="AN264" s="204"/>
      <c r="AO264" s="204"/>
      <c r="AP264" s="204"/>
      <c r="AQ264" s="204"/>
      <c r="AR264" s="204"/>
      <c r="AS264" s="204"/>
      <c r="AT264" s="204"/>
      <c r="AU264" s="204"/>
      <c r="AV264" s="204"/>
      <c r="AW264" s="204"/>
      <c r="AX264" s="204"/>
      <c r="AY264" s="204"/>
      <c r="AZ264" s="204"/>
      <c r="BA264" s="204"/>
      <c r="BB264" s="204"/>
      <c r="BC264" s="204"/>
      <c r="BD264" s="204"/>
      <c r="BE264" s="204"/>
      <c r="BF264" s="204"/>
      <c r="BG264" s="204"/>
      <c r="BH264" s="204"/>
      <c r="BI264" s="204"/>
      <c r="BJ264" s="204"/>
      <c r="BK264" s="204"/>
      <c r="BL264" s="204"/>
      <c r="BM264" s="204"/>
      <c r="BN264" s="204"/>
      <c r="BO264" s="204"/>
      <c r="BP264" s="204"/>
    </row>
    <row r="265" spans="1:68" ht="15" x14ac:dyDescent="0.2">
      <c r="A265" s="204"/>
      <c r="B265" s="204"/>
      <c r="C265" s="821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821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204"/>
      <c r="AC265" s="204"/>
      <c r="AD265" s="204"/>
      <c r="AE265" s="204"/>
      <c r="AF265" s="204"/>
      <c r="AG265" s="204"/>
      <c r="AH265" s="204"/>
      <c r="AI265" s="204"/>
      <c r="AJ265" s="204"/>
      <c r="AK265" s="821"/>
      <c r="AL265" s="204"/>
      <c r="AM265" s="204"/>
      <c r="AN265" s="204"/>
      <c r="AO265" s="204"/>
      <c r="AP265" s="204"/>
      <c r="AQ265" s="204"/>
      <c r="AR265" s="204"/>
      <c r="AS265" s="204"/>
      <c r="AT265" s="204"/>
      <c r="AU265" s="204"/>
      <c r="AV265" s="204"/>
      <c r="AW265" s="204"/>
      <c r="AX265" s="204"/>
      <c r="AY265" s="204"/>
      <c r="AZ265" s="204"/>
      <c r="BA265" s="204"/>
      <c r="BB265" s="204"/>
      <c r="BC265" s="204"/>
      <c r="BD265" s="204"/>
      <c r="BE265" s="204"/>
      <c r="BF265" s="204"/>
      <c r="BG265" s="204"/>
      <c r="BH265" s="204"/>
      <c r="BI265" s="204"/>
      <c r="BJ265" s="204"/>
      <c r="BK265" s="204"/>
      <c r="BL265" s="204"/>
      <c r="BM265" s="204"/>
      <c r="BN265" s="204"/>
      <c r="BO265" s="204"/>
      <c r="BP265" s="204"/>
    </row>
    <row r="266" spans="1:68" ht="15" x14ac:dyDescent="0.2">
      <c r="A266" s="204"/>
      <c r="B266" s="204"/>
      <c r="C266" s="821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821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  <c r="AA266" s="204"/>
      <c r="AB266" s="204"/>
      <c r="AC266" s="204"/>
      <c r="AD266" s="204"/>
      <c r="AE266" s="204"/>
      <c r="AF266" s="204"/>
      <c r="AG266" s="204"/>
      <c r="AH266" s="204"/>
      <c r="AI266" s="204"/>
      <c r="AJ266" s="204"/>
      <c r="AK266" s="821"/>
      <c r="AL266" s="204"/>
      <c r="AM266" s="204"/>
      <c r="AN266" s="204"/>
      <c r="AO266" s="204"/>
      <c r="AP266" s="204"/>
      <c r="AQ266" s="204"/>
      <c r="AR266" s="204"/>
      <c r="AS266" s="204"/>
      <c r="AT266" s="204"/>
      <c r="AU266" s="204"/>
      <c r="AV266" s="204"/>
      <c r="AW266" s="204"/>
      <c r="AX266" s="204"/>
      <c r="AY266" s="204"/>
      <c r="AZ266" s="204"/>
      <c r="BA266" s="204"/>
      <c r="BB266" s="204"/>
      <c r="BC266" s="204"/>
      <c r="BD266" s="204"/>
      <c r="BE266" s="204"/>
      <c r="BF266" s="204"/>
      <c r="BG266" s="204"/>
      <c r="BH266" s="204"/>
      <c r="BI266" s="204"/>
      <c r="BJ266" s="204"/>
      <c r="BK266" s="204"/>
      <c r="BL266" s="204"/>
      <c r="BM266" s="204"/>
      <c r="BN266" s="204"/>
      <c r="BO266" s="204"/>
      <c r="BP266" s="204"/>
    </row>
    <row r="267" spans="1:68" ht="15" x14ac:dyDescent="0.2">
      <c r="A267" s="204"/>
      <c r="B267" s="204"/>
      <c r="C267" s="821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821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204"/>
      <c r="AC267" s="204"/>
      <c r="AD267" s="204"/>
      <c r="AE267" s="204"/>
      <c r="AF267" s="204"/>
      <c r="AG267" s="204"/>
      <c r="AH267" s="204"/>
      <c r="AI267" s="204"/>
      <c r="AJ267" s="204"/>
      <c r="AK267" s="821"/>
      <c r="AL267" s="204"/>
      <c r="AM267" s="204"/>
      <c r="AN267" s="204"/>
      <c r="AO267" s="204"/>
      <c r="AP267" s="204"/>
      <c r="AQ267" s="204"/>
      <c r="AR267" s="204"/>
      <c r="AS267" s="204"/>
      <c r="AT267" s="204"/>
      <c r="AU267" s="204"/>
      <c r="AV267" s="204"/>
      <c r="AW267" s="204"/>
      <c r="AX267" s="204"/>
      <c r="AY267" s="204"/>
      <c r="AZ267" s="204"/>
      <c r="BA267" s="204"/>
      <c r="BB267" s="204"/>
      <c r="BC267" s="204"/>
      <c r="BD267" s="204"/>
      <c r="BE267" s="204"/>
      <c r="BF267" s="204"/>
      <c r="BG267" s="204"/>
      <c r="BH267" s="204"/>
      <c r="BI267" s="204"/>
      <c r="BJ267" s="204"/>
      <c r="BK267" s="204"/>
      <c r="BL267" s="204"/>
      <c r="BM267" s="204"/>
      <c r="BN267" s="204"/>
      <c r="BO267" s="204"/>
      <c r="BP267" s="204"/>
    </row>
    <row r="268" spans="1:68" ht="15" x14ac:dyDescent="0.2">
      <c r="A268" s="204"/>
      <c r="B268" s="204"/>
      <c r="C268" s="821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821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204"/>
      <c r="AJ268" s="204"/>
      <c r="AK268" s="821"/>
      <c r="AL268" s="204"/>
      <c r="AM268" s="204"/>
      <c r="AN268" s="204"/>
      <c r="AO268" s="204"/>
      <c r="AP268" s="204"/>
      <c r="AQ268" s="204"/>
      <c r="AR268" s="204"/>
      <c r="AS268" s="204"/>
      <c r="AT268" s="204"/>
      <c r="AU268" s="204"/>
      <c r="AV268" s="204"/>
      <c r="AW268" s="204"/>
      <c r="AX268" s="204"/>
      <c r="AY268" s="204"/>
      <c r="AZ268" s="204"/>
      <c r="BA268" s="204"/>
      <c r="BB268" s="204"/>
      <c r="BC268" s="204"/>
      <c r="BD268" s="204"/>
      <c r="BE268" s="204"/>
      <c r="BF268" s="204"/>
      <c r="BG268" s="204"/>
      <c r="BH268" s="204"/>
      <c r="BI268" s="204"/>
      <c r="BJ268" s="204"/>
      <c r="BK268" s="204"/>
      <c r="BL268" s="204"/>
      <c r="BM268" s="204"/>
      <c r="BN268" s="204"/>
      <c r="BO268" s="204"/>
      <c r="BP268" s="204"/>
    </row>
    <row r="269" spans="1:68" ht="15" x14ac:dyDescent="0.2">
      <c r="A269" s="204"/>
      <c r="B269" s="204"/>
      <c r="C269" s="821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821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821"/>
      <c r="AL269" s="204"/>
      <c r="AM269" s="204"/>
      <c r="AN269" s="204"/>
      <c r="AO269" s="204"/>
      <c r="AP269" s="204"/>
      <c r="AQ269" s="204"/>
      <c r="AR269" s="204"/>
      <c r="AS269" s="204"/>
      <c r="AT269" s="204"/>
      <c r="AU269" s="204"/>
      <c r="AV269" s="204"/>
      <c r="AW269" s="204"/>
      <c r="AX269" s="204"/>
      <c r="AY269" s="204"/>
      <c r="AZ269" s="204"/>
      <c r="BA269" s="204"/>
      <c r="BB269" s="204"/>
      <c r="BC269" s="204"/>
      <c r="BD269" s="204"/>
      <c r="BE269" s="204"/>
      <c r="BF269" s="204"/>
      <c r="BG269" s="204"/>
      <c r="BH269" s="204"/>
      <c r="BI269" s="204"/>
      <c r="BJ269" s="204"/>
      <c r="BK269" s="204"/>
      <c r="BL269" s="204"/>
      <c r="BM269" s="204"/>
      <c r="BN269" s="204"/>
      <c r="BO269" s="204"/>
      <c r="BP269" s="204"/>
    </row>
    <row r="270" spans="1:68" ht="15" x14ac:dyDescent="0.2">
      <c r="A270" s="204"/>
      <c r="B270" s="204"/>
      <c r="C270" s="821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821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204"/>
      <c r="AC270" s="204"/>
      <c r="AD270" s="204"/>
      <c r="AE270" s="204"/>
      <c r="AF270" s="204"/>
      <c r="AG270" s="204"/>
      <c r="AH270" s="204"/>
      <c r="AI270" s="204"/>
      <c r="AJ270" s="204"/>
      <c r="AK270" s="821"/>
      <c r="AL270" s="204"/>
      <c r="AM270" s="204"/>
      <c r="AN270" s="204"/>
      <c r="AO270" s="204"/>
      <c r="AP270" s="204"/>
      <c r="AQ270" s="204"/>
      <c r="AR270" s="204"/>
      <c r="AS270" s="204"/>
      <c r="AT270" s="204"/>
      <c r="AU270" s="204"/>
      <c r="AV270" s="204"/>
      <c r="AW270" s="204"/>
      <c r="AX270" s="204"/>
      <c r="AY270" s="204"/>
      <c r="AZ270" s="204"/>
      <c r="BA270" s="204"/>
      <c r="BB270" s="204"/>
      <c r="BC270" s="204"/>
      <c r="BD270" s="204"/>
      <c r="BE270" s="204"/>
      <c r="BF270" s="204"/>
      <c r="BG270" s="204"/>
      <c r="BH270" s="204"/>
      <c r="BI270" s="204"/>
      <c r="BJ270" s="204"/>
      <c r="BK270" s="204"/>
      <c r="BL270" s="204"/>
      <c r="BM270" s="204"/>
      <c r="BN270" s="204"/>
      <c r="BO270" s="204"/>
      <c r="BP270" s="204"/>
    </row>
    <row r="271" spans="1:68" ht="15" x14ac:dyDescent="0.2">
      <c r="A271" s="204"/>
      <c r="B271" s="204"/>
      <c r="C271" s="821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821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821"/>
      <c r="AL271" s="204"/>
      <c r="AM271" s="204"/>
      <c r="AN271" s="204"/>
      <c r="AO271" s="204"/>
      <c r="AP271" s="204"/>
      <c r="AQ271" s="204"/>
      <c r="AR271" s="204"/>
      <c r="AS271" s="204"/>
      <c r="AT271" s="204"/>
      <c r="AU271" s="204"/>
      <c r="AV271" s="204"/>
      <c r="AW271" s="204"/>
      <c r="AX271" s="204"/>
      <c r="AY271" s="204"/>
      <c r="AZ271" s="204"/>
      <c r="BA271" s="204"/>
      <c r="BB271" s="204"/>
      <c r="BC271" s="204"/>
      <c r="BD271" s="204"/>
      <c r="BE271" s="204"/>
      <c r="BF271" s="204"/>
      <c r="BG271" s="204"/>
      <c r="BH271" s="204"/>
      <c r="BI271" s="204"/>
      <c r="BJ271" s="204"/>
      <c r="BK271" s="204"/>
      <c r="BL271" s="204"/>
      <c r="BM271" s="204"/>
      <c r="BN271" s="204"/>
      <c r="BO271" s="204"/>
      <c r="BP271" s="204"/>
    </row>
    <row r="272" spans="1:68" ht="15" x14ac:dyDescent="0.2">
      <c r="A272" s="204"/>
      <c r="B272" s="204"/>
      <c r="C272" s="821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821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204"/>
      <c r="AC272" s="204"/>
      <c r="AD272" s="204"/>
      <c r="AE272" s="204"/>
      <c r="AF272" s="204"/>
      <c r="AG272" s="204"/>
      <c r="AH272" s="204"/>
      <c r="AI272" s="204"/>
      <c r="AJ272" s="204"/>
      <c r="AK272" s="821"/>
      <c r="AL272" s="204"/>
      <c r="AM272" s="204"/>
      <c r="AN272" s="204"/>
      <c r="AO272" s="204"/>
      <c r="AP272" s="204"/>
      <c r="AQ272" s="204"/>
      <c r="AR272" s="204"/>
      <c r="AS272" s="204"/>
      <c r="AT272" s="204"/>
      <c r="AU272" s="204"/>
      <c r="AV272" s="204"/>
      <c r="AW272" s="204"/>
      <c r="AX272" s="204"/>
      <c r="AY272" s="204"/>
      <c r="AZ272" s="204"/>
      <c r="BA272" s="204"/>
      <c r="BB272" s="204"/>
      <c r="BC272" s="204"/>
      <c r="BD272" s="204"/>
      <c r="BE272" s="204"/>
      <c r="BF272" s="204"/>
      <c r="BG272" s="204"/>
      <c r="BH272" s="204"/>
      <c r="BI272" s="204"/>
      <c r="BJ272" s="204"/>
      <c r="BK272" s="204"/>
      <c r="BL272" s="204"/>
      <c r="BM272" s="204"/>
      <c r="BN272" s="204"/>
      <c r="BO272" s="204"/>
      <c r="BP272" s="204"/>
    </row>
    <row r="273" spans="1:68" ht="15" x14ac:dyDescent="0.2">
      <c r="A273" s="204"/>
      <c r="B273" s="204"/>
      <c r="C273" s="821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821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821"/>
      <c r="AL273" s="204"/>
      <c r="AM273" s="204"/>
      <c r="AN273" s="204"/>
      <c r="AO273" s="204"/>
      <c r="AP273" s="204"/>
      <c r="AQ273" s="204"/>
      <c r="AR273" s="204"/>
      <c r="AS273" s="204"/>
      <c r="AT273" s="204"/>
      <c r="AU273" s="204"/>
      <c r="AV273" s="204"/>
      <c r="AW273" s="204"/>
      <c r="AX273" s="204"/>
      <c r="AY273" s="204"/>
      <c r="AZ273" s="204"/>
      <c r="BA273" s="204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204"/>
      <c r="BN273" s="204"/>
      <c r="BO273" s="204"/>
      <c r="BP273" s="204"/>
    </row>
    <row r="274" spans="1:68" ht="15" x14ac:dyDescent="0.2">
      <c r="A274" s="204"/>
      <c r="B274" s="204"/>
      <c r="C274" s="821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821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204"/>
      <c r="AJ274" s="204"/>
      <c r="AK274" s="821"/>
      <c r="AL274" s="204"/>
      <c r="AM274" s="204"/>
      <c r="AN274" s="204"/>
      <c r="AO274" s="204"/>
      <c r="AP274" s="204"/>
      <c r="AQ274" s="204"/>
      <c r="AR274" s="204"/>
      <c r="AS274" s="204"/>
      <c r="AT274" s="204"/>
      <c r="AU274" s="204"/>
      <c r="AV274" s="204"/>
      <c r="AW274" s="204"/>
      <c r="AX274" s="204"/>
      <c r="AY274" s="204"/>
      <c r="AZ274" s="204"/>
      <c r="BA274" s="204"/>
      <c r="BB274" s="204"/>
      <c r="BC274" s="204"/>
      <c r="BD274" s="204"/>
      <c r="BE274" s="204"/>
      <c r="BF274" s="204"/>
      <c r="BG274" s="204"/>
      <c r="BH274" s="204"/>
      <c r="BI274" s="204"/>
      <c r="BJ274" s="204"/>
      <c r="BK274" s="204"/>
      <c r="BL274" s="204"/>
      <c r="BM274" s="204"/>
      <c r="BN274" s="204"/>
      <c r="BO274" s="204"/>
      <c r="BP274" s="204"/>
    </row>
    <row r="275" spans="1:68" ht="15" x14ac:dyDescent="0.2">
      <c r="A275" s="204"/>
      <c r="B275" s="204"/>
      <c r="C275" s="821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821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821"/>
      <c r="AL275" s="204"/>
      <c r="AM275" s="204"/>
      <c r="AN275" s="204"/>
      <c r="AO275" s="204"/>
      <c r="AP275" s="204"/>
      <c r="AQ275" s="204"/>
      <c r="AR275" s="204"/>
      <c r="AS275" s="204"/>
      <c r="AT275" s="204"/>
      <c r="AU275" s="204"/>
      <c r="AV275" s="204"/>
      <c r="AW275" s="204"/>
      <c r="AX275" s="204"/>
      <c r="AY275" s="204"/>
      <c r="AZ275" s="204"/>
      <c r="BA275" s="204"/>
      <c r="BB275" s="204"/>
      <c r="BC275" s="204"/>
      <c r="BD275" s="204"/>
      <c r="BE275" s="204"/>
      <c r="BF275" s="204"/>
      <c r="BG275" s="204"/>
      <c r="BH275" s="204"/>
      <c r="BI275" s="204"/>
      <c r="BJ275" s="204"/>
      <c r="BK275" s="204"/>
      <c r="BL275" s="204"/>
      <c r="BM275" s="204"/>
      <c r="BN275" s="204"/>
      <c r="BO275" s="204"/>
      <c r="BP275" s="204"/>
    </row>
    <row r="276" spans="1:68" ht="15" x14ac:dyDescent="0.2">
      <c r="A276" s="204"/>
      <c r="B276" s="204"/>
      <c r="C276" s="821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821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821"/>
      <c r="AL276" s="204"/>
      <c r="AM276" s="204"/>
      <c r="AN276" s="204"/>
      <c r="AO276" s="204"/>
      <c r="AP276" s="204"/>
      <c r="AQ276" s="204"/>
      <c r="AR276" s="204"/>
      <c r="AS276" s="204"/>
      <c r="AT276" s="204"/>
      <c r="AU276" s="204"/>
      <c r="AV276" s="204"/>
      <c r="AW276" s="204"/>
      <c r="AX276" s="204"/>
      <c r="AY276" s="204"/>
      <c r="AZ276" s="204"/>
      <c r="BA276" s="204"/>
      <c r="BB276" s="204"/>
      <c r="BC276" s="204"/>
      <c r="BD276" s="204"/>
      <c r="BE276" s="204"/>
      <c r="BF276" s="204"/>
      <c r="BG276" s="204"/>
      <c r="BH276" s="204"/>
      <c r="BI276" s="204"/>
      <c r="BJ276" s="204"/>
      <c r="BK276" s="204"/>
      <c r="BL276" s="204"/>
      <c r="BM276" s="204"/>
      <c r="BN276" s="204"/>
      <c r="BO276" s="204"/>
      <c r="BP276" s="204"/>
    </row>
    <row r="277" spans="1:68" ht="15" x14ac:dyDescent="0.2">
      <c r="A277" s="204"/>
      <c r="B277" s="204"/>
      <c r="C277" s="821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821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821"/>
      <c r="AL277" s="204"/>
      <c r="AM277" s="204"/>
      <c r="AN277" s="204"/>
      <c r="AO277" s="204"/>
      <c r="AP277" s="204"/>
      <c r="AQ277" s="204"/>
      <c r="AR277" s="204"/>
      <c r="AS277" s="204"/>
      <c r="AT277" s="204"/>
      <c r="AU277" s="204"/>
      <c r="AV277" s="204"/>
      <c r="AW277" s="204"/>
      <c r="AX277" s="204"/>
      <c r="AY277" s="204"/>
      <c r="AZ277" s="204"/>
      <c r="BA277" s="204"/>
      <c r="BB277" s="204"/>
      <c r="BC277" s="204"/>
      <c r="BD277" s="204"/>
      <c r="BE277" s="204"/>
      <c r="BF277" s="204"/>
      <c r="BG277" s="204"/>
      <c r="BH277" s="204"/>
      <c r="BI277" s="204"/>
      <c r="BJ277" s="204"/>
      <c r="BK277" s="204"/>
      <c r="BL277" s="204"/>
      <c r="BM277" s="204"/>
      <c r="BN277" s="204"/>
      <c r="BO277" s="204"/>
      <c r="BP277" s="204"/>
    </row>
    <row r="278" spans="1:68" ht="15" x14ac:dyDescent="0.2">
      <c r="A278" s="204"/>
      <c r="B278" s="204"/>
      <c r="C278" s="821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821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  <c r="AA278" s="204"/>
      <c r="AB278" s="204"/>
      <c r="AC278" s="204"/>
      <c r="AD278" s="204"/>
      <c r="AE278" s="204"/>
      <c r="AF278" s="204"/>
      <c r="AG278" s="204"/>
      <c r="AH278" s="204"/>
      <c r="AI278" s="204"/>
      <c r="AJ278" s="204"/>
      <c r="AK278" s="821"/>
      <c r="AL278" s="204"/>
      <c r="AM278" s="204"/>
      <c r="AN278" s="204"/>
      <c r="AO278" s="204"/>
      <c r="AP278" s="204"/>
      <c r="AQ278" s="204"/>
      <c r="AR278" s="204"/>
      <c r="AS278" s="204"/>
      <c r="AT278" s="204"/>
      <c r="AU278" s="204"/>
      <c r="AV278" s="204"/>
      <c r="AW278" s="204"/>
      <c r="AX278" s="204"/>
      <c r="AY278" s="204"/>
      <c r="AZ278" s="204"/>
      <c r="BA278" s="204"/>
      <c r="BB278" s="204"/>
      <c r="BC278" s="204"/>
      <c r="BD278" s="204"/>
      <c r="BE278" s="204"/>
      <c r="BF278" s="204"/>
      <c r="BG278" s="204"/>
      <c r="BH278" s="204"/>
      <c r="BI278" s="204"/>
      <c r="BJ278" s="204"/>
      <c r="BK278" s="204"/>
      <c r="BL278" s="204"/>
      <c r="BM278" s="204"/>
      <c r="BN278" s="204"/>
      <c r="BO278" s="204"/>
      <c r="BP278" s="204"/>
    </row>
    <row r="279" spans="1:68" ht="15" x14ac:dyDescent="0.2">
      <c r="A279" s="204"/>
      <c r="B279" s="204"/>
      <c r="C279" s="821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821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204"/>
      <c r="AC279" s="204"/>
      <c r="AD279" s="204"/>
      <c r="AE279" s="204"/>
      <c r="AF279" s="204"/>
      <c r="AG279" s="204"/>
      <c r="AH279" s="204"/>
      <c r="AI279" s="204"/>
      <c r="AJ279" s="204"/>
      <c r="AK279" s="821"/>
      <c r="AL279" s="204"/>
      <c r="AM279" s="204"/>
      <c r="AN279" s="204"/>
      <c r="AO279" s="204"/>
      <c r="AP279" s="204"/>
      <c r="AQ279" s="204"/>
      <c r="AR279" s="204"/>
      <c r="AS279" s="204"/>
      <c r="AT279" s="204"/>
      <c r="AU279" s="204"/>
      <c r="AV279" s="204"/>
      <c r="AW279" s="204"/>
      <c r="AX279" s="204"/>
      <c r="AY279" s="204"/>
      <c r="AZ279" s="204"/>
      <c r="BA279" s="204"/>
      <c r="BB279" s="204"/>
      <c r="BC279" s="204"/>
      <c r="BD279" s="204"/>
      <c r="BE279" s="204"/>
      <c r="BF279" s="204"/>
      <c r="BG279" s="204"/>
      <c r="BH279" s="204"/>
      <c r="BI279" s="204"/>
      <c r="BJ279" s="204"/>
      <c r="BK279" s="204"/>
      <c r="BL279" s="204"/>
      <c r="BM279" s="204"/>
      <c r="BN279" s="204"/>
      <c r="BO279" s="204"/>
      <c r="BP279" s="204"/>
    </row>
    <row r="280" spans="1:68" ht="15" x14ac:dyDescent="0.2">
      <c r="A280" s="204"/>
      <c r="B280" s="204"/>
      <c r="C280" s="821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821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204"/>
      <c r="AC280" s="204"/>
      <c r="AD280" s="204"/>
      <c r="AE280" s="204"/>
      <c r="AF280" s="204"/>
      <c r="AG280" s="204"/>
      <c r="AH280" s="204"/>
      <c r="AI280" s="204"/>
      <c r="AJ280" s="204"/>
      <c r="AK280" s="821"/>
      <c r="AL280" s="204"/>
      <c r="AM280" s="204"/>
      <c r="AN280" s="204"/>
      <c r="AO280" s="204"/>
      <c r="AP280" s="204"/>
      <c r="AQ280" s="204"/>
      <c r="AR280" s="204"/>
      <c r="AS280" s="204"/>
      <c r="AT280" s="204"/>
      <c r="AU280" s="204"/>
      <c r="AV280" s="204"/>
      <c r="AW280" s="204"/>
      <c r="AX280" s="204"/>
      <c r="AY280" s="204"/>
      <c r="AZ280" s="204"/>
      <c r="BA280" s="204"/>
      <c r="BB280" s="204"/>
      <c r="BC280" s="204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</row>
    <row r="281" spans="1:68" ht="15" x14ac:dyDescent="0.2">
      <c r="A281" s="204"/>
      <c r="B281" s="204"/>
      <c r="C281" s="821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821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821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204"/>
      <c r="BP281" s="204"/>
    </row>
    <row r="282" spans="1:68" ht="15" x14ac:dyDescent="0.2">
      <c r="A282" s="204"/>
      <c r="B282" s="204"/>
      <c r="C282" s="821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821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204"/>
      <c r="AB282" s="204"/>
      <c r="AC282" s="204"/>
      <c r="AD282" s="204"/>
      <c r="AE282" s="204"/>
      <c r="AF282" s="204"/>
      <c r="AG282" s="204"/>
      <c r="AH282" s="204"/>
      <c r="AI282" s="204"/>
      <c r="AJ282" s="204"/>
      <c r="AK282" s="821"/>
      <c r="AL282" s="204"/>
      <c r="AM282" s="204"/>
      <c r="AN282" s="204"/>
      <c r="AO282" s="204"/>
      <c r="AP282" s="204"/>
      <c r="AQ282" s="204"/>
      <c r="AR282" s="204"/>
      <c r="AS282" s="204"/>
      <c r="AT282" s="204"/>
      <c r="AU282" s="204"/>
      <c r="AV282" s="204"/>
      <c r="AW282" s="204"/>
      <c r="AX282" s="204"/>
      <c r="AY282" s="204"/>
      <c r="AZ282" s="204"/>
      <c r="BA282" s="204"/>
      <c r="BB282" s="204"/>
      <c r="BC282" s="204"/>
      <c r="BD282" s="204"/>
      <c r="BE282" s="204"/>
      <c r="BF282" s="204"/>
      <c r="BG282" s="204"/>
      <c r="BH282" s="204"/>
      <c r="BI282" s="204"/>
      <c r="BJ282" s="204"/>
      <c r="BK282" s="204"/>
      <c r="BL282" s="204"/>
      <c r="BM282" s="204"/>
      <c r="BN282" s="204"/>
      <c r="BO282" s="204"/>
      <c r="BP282" s="204"/>
    </row>
    <row r="283" spans="1:68" ht="15" x14ac:dyDescent="0.2">
      <c r="A283" s="204"/>
      <c r="B283" s="204"/>
      <c r="C283" s="821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821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204"/>
      <c r="AC283" s="204"/>
      <c r="AD283" s="204"/>
      <c r="AE283" s="204"/>
      <c r="AF283" s="204"/>
      <c r="AG283" s="204"/>
      <c r="AH283" s="204"/>
      <c r="AI283" s="204"/>
      <c r="AJ283" s="204"/>
      <c r="AK283" s="821"/>
      <c r="AL283" s="204"/>
      <c r="AM283" s="204"/>
      <c r="AN283" s="204"/>
      <c r="AO283" s="204"/>
      <c r="AP283" s="204"/>
      <c r="AQ283" s="204"/>
      <c r="AR283" s="204"/>
      <c r="AS283" s="204"/>
      <c r="AT283" s="204"/>
      <c r="AU283" s="204"/>
      <c r="AV283" s="204"/>
      <c r="AW283" s="204"/>
      <c r="AX283" s="204"/>
      <c r="AY283" s="204"/>
      <c r="AZ283" s="204"/>
      <c r="BA283" s="204"/>
      <c r="BB283" s="204"/>
      <c r="BC283" s="204"/>
      <c r="BD283" s="204"/>
      <c r="BE283" s="204"/>
      <c r="BF283" s="204"/>
      <c r="BG283" s="204"/>
      <c r="BH283" s="204"/>
      <c r="BI283" s="204"/>
      <c r="BJ283" s="204"/>
      <c r="BK283" s="204"/>
      <c r="BL283" s="204"/>
      <c r="BM283" s="204"/>
      <c r="BN283" s="204"/>
      <c r="BO283" s="204"/>
      <c r="BP283" s="204"/>
    </row>
    <row r="284" spans="1:68" ht="15" x14ac:dyDescent="0.2">
      <c r="A284" s="204"/>
      <c r="B284" s="204"/>
      <c r="C284" s="821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821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  <c r="AA284" s="204"/>
      <c r="AB284" s="204"/>
      <c r="AC284" s="204"/>
      <c r="AD284" s="204"/>
      <c r="AE284" s="204"/>
      <c r="AF284" s="204"/>
      <c r="AG284" s="204"/>
      <c r="AH284" s="204"/>
      <c r="AI284" s="204"/>
      <c r="AJ284" s="204"/>
      <c r="AK284" s="821"/>
      <c r="AL284" s="204"/>
      <c r="AM284" s="204"/>
      <c r="AN284" s="204"/>
      <c r="AO284" s="204"/>
      <c r="AP284" s="204"/>
      <c r="AQ284" s="204"/>
      <c r="AR284" s="204"/>
      <c r="AS284" s="204"/>
      <c r="AT284" s="204"/>
      <c r="AU284" s="204"/>
      <c r="AV284" s="204"/>
      <c r="AW284" s="204"/>
      <c r="AX284" s="204"/>
      <c r="AY284" s="204"/>
      <c r="AZ284" s="204"/>
      <c r="BA284" s="204"/>
      <c r="BB284" s="204"/>
      <c r="BC284" s="204"/>
      <c r="BD284" s="204"/>
      <c r="BE284" s="204"/>
      <c r="BF284" s="204"/>
      <c r="BG284" s="204"/>
      <c r="BH284" s="204"/>
      <c r="BI284" s="204"/>
      <c r="BJ284" s="204"/>
      <c r="BK284" s="204"/>
      <c r="BL284" s="204"/>
      <c r="BM284" s="204"/>
      <c r="BN284" s="204"/>
      <c r="BO284" s="204"/>
      <c r="BP284" s="204"/>
    </row>
    <row r="285" spans="1:68" ht="15" x14ac:dyDescent="0.2">
      <c r="A285" s="204"/>
      <c r="B285" s="204"/>
      <c r="C285" s="821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821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204"/>
      <c r="AC285" s="204"/>
      <c r="AD285" s="204"/>
      <c r="AE285" s="204"/>
      <c r="AF285" s="204"/>
      <c r="AG285" s="204"/>
      <c r="AH285" s="204"/>
      <c r="AI285" s="204"/>
      <c r="AJ285" s="204"/>
      <c r="AK285" s="821"/>
      <c r="AL285" s="204"/>
      <c r="AM285" s="204"/>
      <c r="AN285" s="204"/>
      <c r="AO285" s="204"/>
      <c r="AP285" s="204"/>
      <c r="AQ285" s="204"/>
      <c r="AR285" s="204"/>
      <c r="AS285" s="204"/>
      <c r="AT285" s="204"/>
      <c r="AU285" s="204"/>
      <c r="AV285" s="204"/>
      <c r="AW285" s="204"/>
      <c r="AX285" s="204"/>
      <c r="AY285" s="204"/>
      <c r="AZ285" s="204"/>
      <c r="BA285" s="204"/>
      <c r="BB285" s="204"/>
      <c r="BC285" s="204"/>
      <c r="BD285" s="204"/>
      <c r="BE285" s="204"/>
      <c r="BF285" s="204"/>
      <c r="BG285" s="204"/>
      <c r="BH285" s="204"/>
      <c r="BI285" s="204"/>
      <c r="BJ285" s="204"/>
      <c r="BK285" s="204"/>
      <c r="BL285" s="204"/>
      <c r="BM285" s="204"/>
      <c r="BN285" s="204"/>
      <c r="BO285" s="204"/>
      <c r="BP285" s="204"/>
    </row>
    <row r="286" spans="1:68" ht="15" x14ac:dyDescent="0.2">
      <c r="A286" s="204"/>
      <c r="B286" s="204"/>
      <c r="C286" s="821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821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821"/>
      <c r="AL286" s="204"/>
      <c r="AM286" s="204"/>
      <c r="AN286" s="204"/>
      <c r="AO286" s="204"/>
      <c r="AP286" s="204"/>
      <c r="AQ286" s="204"/>
      <c r="AR286" s="204"/>
      <c r="AS286" s="204"/>
      <c r="AT286" s="204"/>
      <c r="AU286" s="204"/>
      <c r="AV286" s="204"/>
      <c r="AW286" s="204"/>
      <c r="AX286" s="204"/>
      <c r="AY286" s="204"/>
      <c r="AZ286" s="204"/>
      <c r="BA286" s="204"/>
      <c r="BB286" s="204"/>
      <c r="BC286" s="204"/>
      <c r="BD286" s="204"/>
      <c r="BE286" s="204"/>
      <c r="BF286" s="204"/>
      <c r="BG286" s="204"/>
      <c r="BH286" s="204"/>
      <c r="BI286" s="204"/>
      <c r="BJ286" s="204"/>
      <c r="BK286" s="204"/>
      <c r="BL286" s="204"/>
      <c r="BM286" s="204"/>
      <c r="BN286" s="204"/>
      <c r="BO286" s="204"/>
      <c r="BP286" s="204"/>
    </row>
    <row r="287" spans="1:68" ht="15" x14ac:dyDescent="0.2">
      <c r="A287" s="204"/>
      <c r="B287" s="204"/>
      <c r="C287" s="821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821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821"/>
      <c r="AL287" s="204"/>
      <c r="AM287" s="204"/>
      <c r="AN287" s="204"/>
      <c r="AO287" s="204"/>
      <c r="AP287" s="204"/>
      <c r="AQ287" s="204"/>
      <c r="AR287" s="204"/>
      <c r="AS287" s="204"/>
      <c r="AT287" s="204"/>
      <c r="AU287" s="204"/>
      <c r="AV287" s="204"/>
      <c r="AW287" s="204"/>
      <c r="AX287" s="204"/>
      <c r="AY287" s="204"/>
      <c r="AZ287" s="204"/>
      <c r="BA287" s="204"/>
      <c r="BB287" s="204"/>
      <c r="BC287" s="204"/>
      <c r="BD287" s="204"/>
      <c r="BE287" s="204"/>
      <c r="BF287" s="204"/>
      <c r="BG287" s="204"/>
      <c r="BH287" s="204"/>
      <c r="BI287" s="204"/>
      <c r="BJ287" s="204"/>
      <c r="BK287" s="204"/>
      <c r="BL287" s="204"/>
      <c r="BM287" s="204"/>
      <c r="BN287" s="204"/>
      <c r="BO287" s="204"/>
      <c r="BP287" s="204"/>
    </row>
    <row r="288" spans="1:68" ht="15" x14ac:dyDescent="0.2">
      <c r="A288" s="204"/>
      <c r="B288" s="204"/>
      <c r="C288" s="821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821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821"/>
      <c r="AL288" s="204"/>
      <c r="AM288" s="204"/>
      <c r="AN288" s="204"/>
      <c r="AO288" s="204"/>
      <c r="AP288" s="204"/>
      <c r="AQ288" s="204"/>
      <c r="AR288" s="204"/>
      <c r="AS288" s="204"/>
      <c r="AT288" s="204"/>
      <c r="AU288" s="204"/>
      <c r="AV288" s="204"/>
      <c r="AW288" s="204"/>
      <c r="AX288" s="204"/>
      <c r="AY288" s="204"/>
      <c r="AZ288" s="204"/>
      <c r="BA288" s="204"/>
      <c r="BB288" s="204"/>
      <c r="BC288" s="204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</row>
    <row r="289" spans="1:68" ht="15" x14ac:dyDescent="0.2">
      <c r="A289" s="204"/>
      <c r="B289" s="204"/>
      <c r="C289" s="821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821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821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204"/>
      <c r="BN289" s="204"/>
      <c r="BO289" s="204"/>
      <c r="BP289" s="204"/>
    </row>
    <row r="290" spans="1:68" ht="15" x14ac:dyDescent="0.2">
      <c r="A290" s="204"/>
      <c r="B290" s="204"/>
      <c r="C290" s="821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821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821"/>
      <c r="AL290" s="204"/>
      <c r="AM290" s="204"/>
      <c r="AN290" s="204"/>
      <c r="AO290" s="204"/>
      <c r="AP290" s="204"/>
      <c r="AQ290" s="204"/>
      <c r="AR290" s="204"/>
      <c r="AS290" s="204"/>
      <c r="AT290" s="204"/>
      <c r="AU290" s="204"/>
      <c r="AV290" s="204"/>
      <c r="AW290" s="204"/>
      <c r="AX290" s="204"/>
      <c r="AY290" s="204"/>
      <c r="AZ290" s="204"/>
      <c r="BA290" s="204"/>
      <c r="BB290" s="204"/>
      <c r="BC290" s="204"/>
      <c r="BD290" s="204"/>
      <c r="BE290" s="204"/>
      <c r="BF290" s="204"/>
      <c r="BG290" s="204"/>
      <c r="BH290" s="204"/>
      <c r="BI290" s="204"/>
      <c r="BJ290" s="204"/>
      <c r="BK290" s="204"/>
      <c r="BL290" s="204"/>
      <c r="BM290" s="204"/>
      <c r="BN290" s="204"/>
      <c r="BO290" s="204"/>
      <c r="BP290" s="204"/>
    </row>
    <row r="291" spans="1:68" ht="15" x14ac:dyDescent="0.2">
      <c r="A291" s="204"/>
      <c r="B291" s="204"/>
      <c r="C291" s="821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821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204"/>
      <c r="AC291" s="204"/>
      <c r="AD291" s="204"/>
      <c r="AE291" s="204"/>
      <c r="AF291" s="204"/>
      <c r="AG291" s="204"/>
      <c r="AH291" s="204"/>
      <c r="AI291" s="204"/>
      <c r="AJ291" s="204"/>
      <c r="AK291" s="821"/>
      <c r="AL291" s="204"/>
      <c r="AM291" s="204"/>
      <c r="AN291" s="204"/>
      <c r="AO291" s="204"/>
      <c r="AP291" s="204"/>
      <c r="AQ291" s="204"/>
      <c r="AR291" s="204"/>
      <c r="AS291" s="204"/>
      <c r="AT291" s="204"/>
      <c r="AU291" s="204"/>
      <c r="AV291" s="204"/>
      <c r="AW291" s="204"/>
      <c r="AX291" s="204"/>
      <c r="AY291" s="204"/>
      <c r="AZ291" s="204"/>
      <c r="BA291" s="204"/>
      <c r="BB291" s="204"/>
      <c r="BC291" s="204"/>
      <c r="BD291" s="204"/>
      <c r="BE291" s="204"/>
      <c r="BF291" s="204"/>
      <c r="BG291" s="204"/>
      <c r="BH291" s="204"/>
      <c r="BI291" s="204"/>
      <c r="BJ291" s="204"/>
      <c r="BK291" s="204"/>
      <c r="BL291" s="204"/>
      <c r="BM291" s="204"/>
      <c r="BN291" s="204"/>
      <c r="BO291" s="204"/>
      <c r="BP291" s="204"/>
    </row>
    <row r="292" spans="1:68" ht="15" x14ac:dyDescent="0.2">
      <c r="A292" s="204"/>
      <c r="B292" s="204"/>
      <c r="C292" s="821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821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204"/>
      <c r="AC292" s="204"/>
      <c r="AD292" s="204"/>
      <c r="AE292" s="204"/>
      <c r="AF292" s="204"/>
      <c r="AG292" s="204"/>
      <c r="AH292" s="204"/>
      <c r="AI292" s="204"/>
      <c r="AJ292" s="204"/>
      <c r="AK292" s="821"/>
      <c r="AL292" s="204"/>
      <c r="AM292" s="204"/>
      <c r="AN292" s="204"/>
      <c r="AO292" s="204"/>
      <c r="AP292" s="204"/>
      <c r="AQ292" s="204"/>
      <c r="AR292" s="204"/>
      <c r="AS292" s="204"/>
      <c r="AT292" s="204"/>
      <c r="AU292" s="204"/>
      <c r="AV292" s="204"/>
      <c r="AW292" s="204"/>
      <c r="AX292" s="204"/>
      <c r="AY292" s="204"/>
      <c r="AZ292" s="204"/>
      <c r="BA292" s="204"/>
      <c r="BB292" s="204"/>
      <c r="BC292" s="204"/>
      <c r="BD292" s="204"/>
      <c r="BE292" s="204"/>
      <c r="BF292" s="204"/>
      <c r="BG292" s="204"/>
      <c r="BH292" s="204"/>
      <c r="BI292" s="204"/>
      <c r="BJ292" s="204"/>
      <c r="BK292" s="204"/>
      <c r="BL292" s="204"/>
      <c r="BM292" s="204"/>
      <c r="BN292" s="204"/>
      <c r="BO292" s="204"/>
      <c r="BP292" s="204"/>
    </row>
    <row r="293" spans="1:68" ht="15" x14ac:dyDescent="0.2">
      <c r="A293" s="204"/>
      <c r="B293" s="204"/>
      <c r="C293" s="821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821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204"/>
      <c r="AC293" s="204"/>
      <c r="AD293" s="204"/>
      <c r="AE293" s="204"/>
      <c r="AF293" s="204"/>
      <c r="AG293" s="204"/>
      <c r="AH293" s="204"/>
      <c r="AI293" s="204"/>
      <c r="AJ293" s="204"/>
      <c r="AK293" s="821"/>
      <c r="AL293" s="204"/>
      <c r="AM293" s="204"/>
      <c r="AN293" s="204"/>
      <c r="AO293" s="204"/>
      <c r="AP293" s="204"/>
      <c r="AQ293" s="204"/>
      <c r="AR293" s="204"/>
      <c r="AS293" s="204"/>
      <c r="AT293" s="204"/>
      <c r="AU293" s="204"/>
      <c r="AV293" s="204"/>
      <c r="AW293" s="204"/>
      <c r="AX293" s="204"/>
      <c r="AY293" s="204"/>
      <c r="AZ293" s="204"/>
      <c r="BA293" s="204"/>
      <c r="BB293" s="204"/>
      <c r="BC293" s="204"/>
      <c r="BD293" s="204"/>
      <c r="BE293" s="204"/>
      <c r="BF293" s="204"/>
      <c r="BG293" s="204"/>
      <c r="BH293" s="204"/>
      <c r="BI293" s="204"/>
      <c r="BJ293" s="204"/>
      <c r="BK293" s="204"/>
      <c r="BL293" s="204"/>
      <c r="BM293" s="204"/>
      <c r="BN293" s="204"/>
      <c r="BO293" s="204"/>
      <c r="BP293" s="204"/>
    </row>
    <row r="294" spans="1:68" ht="15" x14ac:dyDescent="0.2">
      <c r="A294" s="204"/>
      <c r="B294" s="204"/>
      <c r="C294" s="821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821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204"/>
      <c r="AC294" s="204"/>
      <c r="AD294" s="204"/>
      <c r="AE294" s="204"/>
      <c r="AF294" s="204"/>
      <c r="AG294" s="204"/>
      <c r="AH294" s="204"/>
      <c r="AI294" s="204"/>
      <c r="AJ294" s="204"/>
      <c r="AK294" s="821"/>
      <c r="AL294" s="204"/>
      <c r="AM294" s="204"/>
      <c r="AN294" s="204"/>
      <c r="AO294" s="204"/>
      <c r="AP294" s="204"/>
      <c r="AQ294" s="204"/>
      <c r="AR294" s="204"/>
      <c r="AS294" s="204"/>
      <c r="AT294" s="204"/>
      <c r="AU294" s="204"/>
      <c r="AV294" s="204"/>
      <c r="AW294" s="204"/>
      <c r="AX294" s="204"/>
      <c r="AY294" s="204"/>
      <c r="AZ294" s="204"/>
      <c r="BA294" s="204"/>
      <c r="BB294" s="204"/>
      <c r="BC294" s="204"/>
      <c r="BD294" s="204"/>
      <c r="BE294" s="204"/>
      <c r="BF294" s="204"/>
      <c r="BG294" s="204"/>
      <c r="BH294" s="204"/>
      <c r="BI294" s="204"/>
      <c r="BJ294" s="204"/>
      <c r="BK294" s="204"/>
      <c r="BL294" s="204"/>
      <c r="BM294" s="204"/>
      <c r="BN294" s="204"/>
      <c r="BO294" s="204"/>
      <c r="BP294" s="204"/>
    </row>
    <row r="295" spans="1:68" ht="15" x14ac:dyDescent="0.2">
      <c r="A295" s="204"/>
      <c r="B295" s="204"/>
      <c r="C295" s="821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821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204"/>
      <c r="AC295" s="204"/>
      <c r="AD295" s="204"/>
      <c r="AE295" s="204"/>
      <c r="AF295" s="204"/>
      <c r="AG295" s="204"/>
      <c r="AH295" s="204"/>
      <c r="AI295" s="204"/>
      <c r="AJ295" s="204"/>
      <c r="AK295" s="821"/>
      <c r="AL295" s="204"/>
      <c r="AM295" s="204"/>
      <c r="AN295" s="204"/>
      <c r="AO295" s="204"/>
      <c r="AP295" s="204"/>
      <c r="AQ295" s="204"/>
      <c r="AR295" s="204"/>
      <c r="AS295" s="204"/>
      <c r="AT295" s="204"/>
      <c r="AU295" s="204"/>
      <c r="AV295" s="204"/>
      <c r="AW295" s="204"/>
      <c r="AX295" s="204"/>
      <c r="AY295" s="204"/>
      <c r="AZ295" s="204"/>
      <c r="BA295" s="204"/>
      <c r="BB295" s="204"/>
      <c r="BC295" s="204"/>
      <c r="BD295" s="204"/>
      <c r="BE295" s="204"/>
      <c r="BF295" s="204"/>
      <c r="BG295" s="204"/>
      <c r="BH295" s="204"/>
      <c r="BI295" s="204"/>
      <c r="BJ295" s="204"/>
      <c r="BK295" s="204"/>
      <c r="BL295" s="204"/>
      <c r="BM295" s="204"/>
      <c r="BN295" s="204"/>
      <c r="BO295" s="204"/>
      <c r="BP295" s="204"/>
    </row>
    <row r="296" spans="1:68" ht="15" x14ac:dyDescent="0.2">
      <c r="A296" s="204"/>
      <c r="B296" s="204"/>
      <c r="C296" s="821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821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204"/>
      <c r="AC296" s="204"/>
      <c r="AD296" s="204"/>
      <c r="AE296" s="204"/>
      <c r="AF296" s="204"/>
      <c r="AG296" s="204"/>
      <c r="AH296" s="204"/>
      <c r="AI296" s="204"/>
      <c r="AJ296" s="204"/>
      <c r="AK296" s="821"/>
      <c r="AL296" s="204"/>
      <c r="AM296" s="204"/>
      <c r="AN296" s="204"/>
      <c r="AO296" s="204"/>
      <c r="AP296" s="204"/>
      <c r="AQ296" s="204"/>
      <c r="AR296" s="204"/>
      <c r="AS296" s="204"/>
      <c r="AT296" s="204"/>
      <c r="AU296" s="204"/>
      <c r="AV296" s="204"/>
      <c r="AW296" s="204"/>
      <c r="AX296" s="204"/>
      <c r="AY296" s="204"/>
      <c r="AZ296" s="204"/>
      <c r="BA296" s="204"/>
      <c r="BB296" s="204"/>
      <c r="BC296" s="204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</row>
    <row r="297" spans="1:68" ht="15" x14ac:dyDescent="0.2">
      <c r="A297" s="204"/>
      <c r="B297" s="204"/>
      <c r="C297" s="821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821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204"/>
      <c r="AC297" s="204"/>
      <c r="AD297" s="204"/>
      <c r="AE297" s="204"/>
      <c r="AF297" s="204"/>
      <c r="AG297" s="204"/>
      <c r="AH297" s="204"/>
      <c r="AI297" s="204"/>
      <c r="AJ297" s="204"/>
      <c r="AK297" s="821"/>
      <c r="AL297" s="204"/>
      <c r="AM297" s="204"/>
      <c r="AN297" s="204"/>
      <c r="AO297" s="204"/>
      <c r="AP297" s="204"/>
      <c r="AQ297" s="204"/>
      <c r="AR297" s="204"/>
      <c r="AS297" s="204"/>
      <c r="AT297" s="204"/>
      <c r="AU297" s="204"/>
      <c r="AV297" s="204"/>
      <c r="AW297" s="204"/>
      <c r="AX297" s="204"/>
      <c r="AY297" s="204"/>
      <c r="AZ297" s="204"/>
      <c r="BA297" s="204"/>
      <c r="BB297" s="204"/>
      <c r="BC297" s="204"/>
      <c r="BD297" s="204"/>
      <c r="BE297" s="204"/>
      <c r="BF297" s="204"/>
      <c r="BG297" s="204"/>
      <c r="BH297" s="204"/>
      <c r="BI297" s="204"/>
      <c r="BJ297" s="204"/>
      <c r="BK297" s="204"/>
      <c r="BL297" s="204"/>
      <c r="BM297" s="204"/>
      <c r="BN297" s="204"/>
      <c r="BO297" s="204"/>
      <c r="BP297" s="204"/>
    </row>
    <row r="298" spans="1:68" ht="15" x14ac:dyDescent="0.2">
      <c r="A298" s="204"/>
      <c r="B298" s="204"/>
      <c r="C298" s="821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821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204"/>
      <c r="AC298" s="204"/>
      <c r="AD298" s="204"/>
      <c r="AE298" s="204"/>
      <c r="AF298" s="204"/>
      <c r="AG298" s="204"/>
      <c r="AH298" s="204"/>
      <c r="AI298" s="204"/>
      <c r="AJ298" s="204"/>
      <c r="AK298" s="821"/>
      <c r="AL298" s="204"/>
      <c r="AM298" s="204"/>
      <c r="AN298" s="204"/>
      <c r="AO298" s="204"/>
      <c r="AP298" s="204"/>
      <c r="AQ298" s="204"/>
      <c r="AR298" s="204"/>
      <c r="AS298" s="204"/>
      <c r="AT298" s="204"/>
      <c r="AU298" s="204"/>
      <c r="AV298" s="204"/>
      <c r="AW298" s="204"/>
      <c r="AX298" s="204"/>
      <c r="AY298" s="204"/>
      <c r="AZ298" s="204"/>
      <c r="BA298" s="204"/>
      <c r="BB298" s="204"/>
      <c r="BC298" s="204"/>
      <c r="BD298" s="204"/>
      <c r="BE298" s="204"/>
      <c r="BF298" s="204"/>
      <c r="BG298" s="204"/>
      <c r="BH298" s="204"/>
      <c r="BI298" s="204"/>
      <c r="BJ298" s="204"/>
      <c r="BK298" s="204"/>
      <c r="BL298" s="204"/>
      <c r="BM298" s="204"/>
      <c r="BN298" s="204"/>
      <c r="BO298" s="204"/>
      <c r="BP298" s="204"/>
    </row>
    <row r="299" spans="1:68" ht="15" x14ac:dyDescent="0.2">
      <c r="A299" s="204"/>
      <c r="B299" s="204"/>
      <c r="C299" s="821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821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821"/>
      <c r="AL299" s="204"/>
      <c r="AM299" s="204"/>
      <c r="AN299" s="204"/>
      <c r="AO299" s="204"/>
      <c r="AP299" s="204"/>
      <c r="AQ299" s="204"/>
      <c r="AR299" s="204"/>
      <c r="AS299" s="204"/>
      <c r="AT299" s="204"/>
      <c r="AU299" s="204"/>
      <c r="AV299" s="204"/>
      <c r="AW299" s="204"/>
      <c r="AX299" s="204"/>
      <c r="AY299" s="204"/>
      <c r="AZ299" s="204"/>
      <c r="BA299" s="204"/>
      <c r="BB299" s="204"/>
      <c r="BC299" s="204"/>
      <c r="BD299" s="204"/>
      <c r="BE299" s="204"/>
      <c r="BF299" s="204"/>
      <c r="BG299" s="204"/>
      <c r="BH299" s="204"/>
      <c r="BI299" s="204"/>
      <c r="BJ299" s="204"/>
      <c r="BK299" s="204"/>
      <c r="BL299" s="204"/>
      <c r="BM299" s="204"/>
      <c r="BN299" s="204"/>
      <c r="BO299" s="204"/>
      <c r="BP299" s="204"/>
    </row>
    <row r="300" spans="1:68" ht="15" x14ac:dyDescent="0.2">
      <c r="A300" s="204"/>
      <c r="B300" s="204"/>
      <c r="C300" s="821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821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204"/>
      <c r="AC300" s="204"/>
      <c r="AD300" s="204"/>
      <c r="AE300" s="204"/>
      <c r="AF300" s="204"/>
      <c r="AG300" s="204"/>
      <c r="AH300" s="204"/>
      <c r="AI300" s="204"/>
      <c r="AJ300" s="204"/>
      <c r="AK300" s="821"/>
      <c r="AL300" s="204"/>
      <c r="AM300" s="204"/>
      <c r="AN300" s="204"/>
      <c r="AO300" s="204"/>
      <c r="AP300" s="204"/>
      <c r="AQ300" s="204"/>
      <c r="AR300" s="204"/>
      <c r="AS300" s="204"/>
      <c r="AT300" s="204"/>
      <c r="AU300" s="204"/>
      <c r="AV300" s="204"/>
      <c r="AW300" s="204"/>
      <c r="AX300" s="204"/>
      <c r="AY300" s="204"/>
      <c r="AZ300" s="204"/>
      <c r="BA300" s="204"/>
      <c r="BB300" s="204"/>
      <c r="BC300" s="204"/>
      <c r="BD300" s="204"/>
      <c r="BE300" s="204"/>
      <c r="BF300" s="204"/>
      <c r="BG300" s="204"/>
      <c r="BH300" s="204"/>
      <c r="BI300" s="204"/>
      <c r="BJ300" s="204"/>
      <c r="BK300" s="204"/>
      <c r="BL300" s="204"/>
      <c r="BM300" s="204"/>
      <c r="BN300" s="204"/>
      <c r="BO300" s="204"/>
      <c r="BP300" s="204"/>
    </row>
    <row r="301" spans="1:68" ht="15" x14ac:dyDescent="0.2">
      <c r="A301" s="204"/>
      <c r="B301" s="204"/>
      <c r="C301" s="821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821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204"/>
      <c r="AC301" s="204"/>
      <c r="AD301" s="204"/>
      <c r="AE301" s="204"/>
      <c r="AF301" s="204"/>
      <c r="AG301" s="204"/>
      <c r="AH301" s="204"/>
      <c r="AI301" s="204"/>
      <c r="AJ301" s="204"/>
      <c r="AK301" s="821"/>
      <c r="AL301" s="204"/>
      <c r="AM301" s="204"/>
      <c r="AN301" s="204"/>
      <c r="AO301" s="204"/>
      <c r="AP301" s="204"/>
      <c r="AQ301" s="204"/>
      <c r="AR301" s="204"/>
      <c r="AS301" s="204"/>
      <c r="AT301" s="204"/>
      <c r="AU301" s="204"/>
      <c r="AV301" s="204"/>
      <c r="AW301" s="204"/>
      <c r="AX301" s="204"/>
      <c r="AY301" s="204"/>
      <c r="AZ301" s="204"/>
      <c r="BA301" s="204"/>
      <c r="BB301" s="204"/>
      <c r="BC301" s="204"/>
      <c r="BD301" s="204"/>
      <c r="BE301" s="204"/>
      <c r="BF301" s="204"/>
      <c r="BG301" s="204"/>
      <c r="BH301" s="204"/>
      <c r="BI301" s="204"/>
      <c r="BJ301" s="204"/>
      <c r="BK301" s="204"/>
      <c r="BL301" s="204"/>
      <c r="BM301" s="204"/>
      <c r="BN301" s="204"/>
      <c r="BO301" s="204"/>
      <c r="BP301" s="204"/>
    </row>
    <row r="302" spans="1:68" ht="15" x14ac:dyDescent="0.2">
      <c r="A302" s="204"/>
      <c r="B302" s="204"/>
      <c r="C302" s="821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821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204"/>
      <c r="AC302" s="204"/>
      <c r="AD302" s="204"/>
      <c r="AE302" s="204"/>
      <c r="AF302" s="204"/>
      <c r="AG302" s="204"/>
      <c r="AH302" s="204"/>
      <c r="AI302" s="204"/>
      <c r="AJ302" s="204"/>
      <c r="AK302" s="821"/>
      <c r="AL302" s="204"/>
      <c r="AM302" s="204"/>
      <c r="AN302" s="204"/>
      <c r="AO302" s="204"/>
      <c r="AP302" s="204"/>
      <c r="AQ302" s="204"/>
      <c r="AR302" s="204"/>
      <c r="AS302" s="204"/>
      <c r="AT302" s="204"/>
      <c r="AU302" s="204"/>
      <c r="AV302" s="204"/>
      <c r="AW302" s="204"/>
      <c r="AX302" s="204"/>
      <c r="AY302" s="204"/>
      <c r="AZ302" s="204"/>
      <c r="BA302" s="204"/>
      <c r="BB302" s="204"/>
      <c r="BC302" s="204"/>
      <c r="BD302" s="204"/>
      <c r="BE302" s="204"/>
      <c r="BF302" s="204"/>
      <c r="BG302" s="204"/>
      <c r="BH302" s="204"/>
      <c r="BI302" s="204"/>
      <c r="BJ302" s="204"/>
      <c r="BK302" s="204"/>
      <c r="BL302" s="204"/>
      <c r="BM302" s="204"/>
      <c r="BN302" s="204"/>
      <c r="BO302" s="204"/>
      <c r="BP302" s="204"/>
    </row>
    <row r="303" spans="1:68" ht="15" x14ac:dyDescent="0.2">
      <c r="A303" s="204"/>
      <c r="B303" s="204"/>
      <c r="C303" s="821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821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204"/>
      <c r="AC303" s="204"/>
      <c r="AD303" s="204"/>
      <c r="AE303" s="204"/>
      <c r="AF303" s="204"/>
      <c r="AG303" s="204"/>
      <c r="AH303" s="204"/>
      <c r="AI303" s="204"/>
      <c r="AJ303" s="204"/>
      <c r="AK303" s="821"/>
      <c r="AL303" s="204"/>
      <c r="AM303" s="204"/>
      <c r="AN303" s="204"/>
      <c r="AO303" s="204"/>
      <c r="AP303" s="204"/>
      <c r="AQ303" s="204"/>
      <c r="AR303" s="204"/>
      <c r="AS303" s="204"/>
      <c r="AT303" s="204"/>
      <c r="AU303" s="204"/>
      <c r="AV303" s="204"/>
      <c r="AW303" s="204"/>
      <c r="AX303" s="204"/>
      <c r="AY303" s="204"/>
      <c r="AZ303" s="204"/>
      <c r="BA303" s="204"/>
      <c r="BB303" s="204"/>
      <c r="BC303" s="204"/>
      <c r="BD303" s="204"/>
      <c r="BE303" s="204"/>
      <c r="BF303" s="204"/>
      <c r="BG303" s="204"/>
      <c r="BH303" s="204"/>
      <c r="BI303" s="204"/>
      <c r="BJ303" s="204"/>
      <c r="BK303" s="204"/>
      <c r="BL303" s="204"/>
      <c r="BM303" s="204"/>
      <c r="BN303" s="204"/>
      <c r="BO303" s="204"/>
      <c r="BP303" s="204"/>
    </row>
    <row r="304" spans="1:68" ht="15" x14ac:dyDescent="0.2">
      <c r="A304" s="204"/>
      <c r="B304" s="204"/>
      <c r="C304" s="821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821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204"/>
      <c r="AC304" s="204"/>
      <c r="AD304" s="204"/>
      <c r="AE304" s="204"/>
      <c r="AF304" s="204"/>
      <c r="AG304" s="204"/>
      <c r="AH304" s="204"/>
      <c r="AI304" s="204"/>
      <c r="AJ304" s="204"/>
      <c r="AK304" s="821"/>
      <c r="AL304" s="204"/>
      <c r="AM304" s="204"/>
      <c r="AN304" s="204"/>
      <c r="AO304" s="204"/>
      <c r="AP304" s="204"/>
      <c r="AQ304" s="204"/>
      <c r="AR304" s="204"/>
      <c r="AS304" s="204"/>
      <c r="AT304" s="204"/>
      <c r="AU304" s="204"/>
      <c r="AV304" s="204"/>
      <c r="AW304" s="204"/>
      <c r="AX304" s="204"/>
      <c r="AY304" s="204"/>
      <c r="AZ304" s="204"/>
      <c r="BA304" s="204"/>
      <c r="BB304" s="204"/>
      <c r="BC304" s="204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</row>
    <row r="305" spans="1:68" ht="15" x14ac:dyDescent="0.2">
      <c r="A305" s="204"/>
      <c r="B305" s="204"/>
      <c r="C305" s="821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821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204"/>
      <c r="AC305" s="204"/>
      <c r="AD305" s="204"/>
      <c r="AE305" s="204"/>
      <c r="AF305" s="204"/>
      <c r="AG305" s="204"/>
      <c r="AH305" s="204"/>
      <c r="AI305" s="204"/>
      <c r="AJ305" s="204"/>
      <c r="AK305" s="821"/>
      <c r="AL305" s="204"/>
      <c r="AM305" s="204"/>
      <c r="AN305" s="204"/>
      <c r="AO305" s="204"/>
      <c r="AP305" s="204"/>
      <c r="AQ305" s="204"/>
      <c r="AR305" s="204"/>
      <c r="AS305" s="204"/>
      <c r="AT305" s="204"/>
      <c r="AU305" s="204"/>
      <c r="AV305" s="204"/>
      <c r="AW305" s="204"/>
      <c r="AX305" s="204"/>
      <c r="AY305" s="204"/>
      <c r="AZ305" s="204"/>
      <c r="BA305" s="204"/>
      <c r="BB305" s="204"/>
      <c r="BC305" s="204"/>
      <c r="BD305" s="204"/>
      <c r="BE305" s="204"/>
      <c r="BF305" s="204"/>
      <c r="BG305" s="204"/>
      <c r="BH305" s="204"/>
      <c r="BI305" s="204"/>
      <c r="BJ305" s="204"/>
      <c r="BK305" s="204"/>
      <c r="BL305" s="204"/>
      <c r="BM305" s="204"/>
      <c r="BN305" s="204"/>
      <c r="BO305" s="204"/>
      <c r="BP305" s="204"/>
    </row>
    <row r="306" spans="1:68" ht="15" x14ac:dyDescent="0.2">
      <c r="A306" s="204"/>
      <c r="B306" s="204"/>
      <c r="C306" s="821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821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204"/>
      <c r="AC306" s="204"/>
      <c r="AD306" s="204"/>
      <c r="AE306" s="204"/>
      <c r="AF306" s="204"/>
      <c r="AG306" s="204"/>
      <c r="AH306" s="204"/>
      <c r="AI306" s="204"/>
      <c r="AJ306" s="204"/>
      <c r="AK306" s="821"/>
      <c r="AL306" s="204"/>
      <c r="AM306" s="204"/>
      <c r="AN306" s="204"/>
      <c r="AO306" s="204"/>
      <c r="AP306" s="204"/>
      <c r="AQ306" s="204"/>
      <c r="AR306" s="204"/>
      <c r="AS306" s="204"/>
      <c r="AT306" s="204"/>
      <c r="AU306" s="204"/>
      <c r="AV306" s="204"/>
      <c r="AW306" s="204"/>
      <c r="AX306" s="204"/>
      <c r="AY306" s="204"/>
      <c r="AZ306" s="204"/>
      <c r="BA306" s="204"/>
      <c r="BB306" s="204"/>
      <c r="BC306" s="204"/>
      <c r="BD306" s="204"/>
      <c r="BE306" s="204"/>
      <c r="BF306" s="204"/>
      <c r="BG306" s="204"/>
      <c r="BH306" s="204"/>
      <c r="BI306" s="204"/>
      <c r="BJ306" s="204"/>
      <c r="BK306" s="204"/>
      <c r="BL306" s="204"/>
      <c r="BM306" s="204"/>
      <c r="BN306" s="204"/>
      <c r="BO306" s="204"/>
      <c r="BP306" s="204"/>
    </row>
    <row r="307" spans="1:68" ht="15" x14ac:dyDescent="0.2">
      <c r="A307" s="204"/>
      <c r="B307" s="204"/>
      <c r="C307" s="821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821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821"/>
      <c r="AL307" s="204"/>
      <c r="AM307" s="204"/>
      <c r="AN307" s="204"/>
      <c r="AO307" s="204"/>
      <c r="AP307" s="204"/>
      <c r="AQ307" s="204"/>
      <c r="AR307" s="204"/>
      <c r="AS307" s="204"/>
      <c r="AT307" s="204"/>
      <c r="AU307" s="204"/>
      <c r="AV307" s="204"/>
      <c r="AW307" s="204"/>
      <c r="AX307" s="204"/>
      <c r="AY307" s="204"/>
      <c r="AZ307" s="204"/>
      <c r="BA307" s="204"/>
      <c r="BB307" s="204"/>
      <c r="BC307" s="204"/>
      <c r="BD307" s="204"/>
      <c r="BE307" s="204"/>
      <c r="BF307" s="204"/>
      <c r="BG307" s="204"/>
      <c r="BH307" s="204"/>
      <c r="BI307" s="204"/>
      <c r="BJ307" s="204"/>
      <c r="BK307" s="204"/>
      <c r="BL307" s="204"/>
      <c r="BM307" s="204"/>
      <c r="BN307" s="204"/>
      <c r="BO307" s="204"/>
      <c r="BP307" s="204"/>
    </row>
    <row r="308" spans="1:68" ht="15" x14ac:dyDescent="0.2">
      <c r="A308" s="204"/>
      <c r="B308" s="204"/>
      <c r="C308" s="821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821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821"/>
      <c r="AL308" s="204"/>
      <c r="AM308" s="204"/>
      <c r="AN308" s="204"/>
      <c r="AO308" s="204"/>
      <c r="AP308" s="204"/>
      <c r="AQ308" s="204"/>
      <c r="AR308" s="204"/>
      <c r="AS308" s="204"/>
      <c r="AT308" s="204"/>
      <c r="AU308" s="204"/>
      <c r="AV308" s="204"/>
      <c r="AW308" s="204"/>
      <c r="AX308" s="204"/>
      <c r="AY308" s="204"/>
      <c r="AZ308" s="204"/>
      <c r="BA308" s="204"/>
      <c r="BB308" s="204"/>
      <c r="BC308" s="204"/>
      <c r="BD308" s="204"/>
      <c r="BE308" s="204"/>
      <c r="BF308" s="204"/>
      <c r="BG308" s="204"/>
      <c r="BH308" s="204"/>
      <c r="BI308" s="204"/>
      <c r="BJ308" s="204"/>
      <c r="BK308" s="204"/>
      <c r="BL308" s="204"/>
      <c r="BM308" s="204"/>
      <c r="BN308" s="204"/>
      <c r="BO308" s="204"/>
      <c r="BP308" s="204"/>
    </row>
    <row r="309" spans="1:68" ht="15" x14ac:dyDescent="0.2">
      <c r="A309" s="204"/>
      <c r="B309" s="204"/>
      <c r="C309" s="821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821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204"/>
      <c r="AC309" s="204"/>
      <c r="AD309" s="204"/>
      <c r="AE309" s="204"/>
      <c r="AF309" s="204"/>
      <c r="AG309" s="204"/>
      <c r="AH309" s="204"/>
      <c r="AI309" s="204"/>
      <c r="AJ309" s="204"/>
      <c r="AK309" s="821"/>
      <c r="AL309" s="204"/>
      <c r="AM309" s="204"/>
      <c r="AN309" s="204"/>
      <c r="AO309" s="204"/>
      <c r="AP309" s="204"/>
      <c r="AQ309" s="204"/>
      <c r="AR309" s="204"/>
      <c r="AS309" s="204"/>
      <c r="AT309" s="204"/>
      <c r="AU309" s="204"/>
      <c r="AV309" s="204"/>
      <c r="AW309" s="204"/>
      <c r="AX309" s="204"/>
      <c r="AY309" s="204"/>
      <c r="AZ309" s="204"/>
      <c r="BA309" s="204"/>
      <c r="BB309" s="204"/>
      <c r="BC309" s="204"/>
      <c r="BD309" s="204"/>
      <c r="BE309" s="204"/>
      <c r="BF309" s="204"/>
      <c r="BG309" s="204"/>
      <c r="BH309" s="204"/>
      <c r="BI309" s="204"/>
      <c r="BJ309" s="204"/>
      <c r="BK309" s="204"/>
      <c r="BL309" s="204"/>
      <c r="BM309" s="204"/>
      <c r="BN309" s="204"/>
      <c r="BO309" s="204"/>
      <c r="BP309" s="204"/>
    </row>
    <row r="310" spans="1:68" ht="15" x14ac:dyDescent="0.2">
      <c r="A310" s="204"/>
      <c r="B310" s="204"/>
      <c r="C310" s="821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821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204"/>
      <c r="AC310" s="204"/>
      <c r="AD310" s="204"/>
      <c r="AE310" s="204"/>
      <c r="AF310" s="204"/>
      <c r="AG310" s="204"/>
      <c r="AH310" s="204"/>
      <c r="AI310" s="204"/>
      <c r="AJ310" s="204"/>
      <c r="AK310" s="821"/>
      <c r="AL310" s="204"/>
      <c r="AM310" s="204"/>
      <c r="AN310" s="204"/>
      <c r="AO310" s="204"/>
      <c r="AP310" s="204"/>
      <c r="AQ310" s="204"/>
      <c r="AR310" s="204"/>
      <c r="AS310" s="204"/>
      <c r="AT310" s="204"/>
      <c r="AU310" s="204"/>
      <c r="AV310" s="204"/>
      <c r="AW310" s="204"/>
      <c r="AX310" s="204"/>
      <c r="AY310" s="204"/>
      <c r="AZ310" s="204"/>
      <c r="BA310" s="204"/>
      <c r="BB310" s="204"/>
      <c r="BC310" s="204"/>
      <c r="BD310" s="204"/>
      <c r="BE310" s="204"/>
      <c r="BF310" s="204"/>
      <c r="BG310" s="204"/>
      <c r="BH310" s="204"/>
      <c r="BI310" s="204"/>
      <c r="BJ310" s="204"/>
      <c r="BK310" s="204"/>
      <c r="BL310" s="204"/>
      <c r="BM310" s="204"/>
      <c r="BN310" s="204"/>
      <c r="BO310" s="204"/>
      <c r="BP310" s="204"/>
    </row>
    <row r="311" spans="1:68" ht="15" x14ac:dyDescent="0.2">
      <c r="A311" s="204"/>
      <c r="B311" s="204"/>
      <c r="C311" s="821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821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204"/>
      <c r="AC311" s="204"/>
      <c r="AD311" s="204"/>
      <c r="AE311" s="204"/>
      <c r="AF311" s="204"/>
      <c r="AG311" s="204"/>
      <c r="AH311" s="204"/>
      <c r="AI311" s="204"/>
      <c r="AJ311" s="204"/>
      <c r="AK311" s="821"/>
      <c r="AL311" s="204"/>
      <c r="AM311" s="204"/>
      <c r="AN311" s="204"/>
      <c r="AO311" s="204"/>
      <c r="AP311" s="204"/>
      <c r="AQ311" s="204"/>
      <c r="AR311" s="204"/>
      <c r="AS311" s="204"/>
      <c r="AT311" s="204"/>
      <c r="AU311" s="204"/>
      <c r="AV311" s="204"/>
      <c r="AW311" s="204"/>
      <c r="AX311" s="204"/>
      <c r="AY311" s="204"/>
      <c r="AZ311" s="204"/>
      <c r="BA311" s="204"/>
      <c r="BB311" s="204"/>
      <c r="BC311" s="204"/>
      <c r="BD311" s="204"/>
      <c r="BE311" s="204"/>
      <c r="BF311" s="204"/>
      <c r="BG311" s="204"/>
      <c r="BH311" s="204"/>
      <c r="BI311" s="204"/>
      <c r="BJ311" s="204"/>
      <c r="BK311" s="204"/>
      <c r="BL311" s="204"/>
      <c r="BM311" s="204"/>
      <c r="BN311" s="204"/>
      <c r="BO311" s="204"/>
      <c r="BP311" s="204"/>
    </row>
    <row r="312" spans="1:68" ht="15" x14ac:dyDescent="0.2">
      <c r="A312" s="204"/>
      <c r="B312" s="204"/>
      <c r="C312" s="821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821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204"/>
      <c r="AC312" s="204"/>
      <c r="AD312" s="204"/>
      <c r="AE312" s="204"/>
      <c r="AF312" s="204"/>
      <c r="AG312" s="204"/>
      <c r="AH312" s="204"/>
      <c r="AI312" s="204"/>
      <c r="AJ312" s="204"/>
      <c r="AK312" s="821"/>
      <c r="AL312" s="204"/>
      <c r="AM312" s="204"/>
      <c r="AN312" s="204"/>
      <c r="AO312" s="204"/>
      <c r="AP312" s="204"/>
      <c r="AQ312" s="204"/>
      <c r="AR312" s="204"/>
      <c r="AS312" s="204"/>
      <c r="AT312" s="204"/>
      <c r="AU312" s="204"/>
      <c r="AV312" s="204"/>
      <c r="AW312" s="204"/>
      <c r="AX312" s="204"/>
      <c r="AY312" s="204"/>
      <c r="AZ312" s="204"/>
      <c r="BA312" s="204"/>
      <c r="BB312" s="204"/>
      <c r="BC312" s="204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</row>
    <row r="313" spans="1:68" ht="15" x14ac:dyDescent="0.2">
      <c r="A313" s="204"/>
      <c r="B313" s="204"/>
      <c r="C313" s="821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821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821"/>
      <c r="AL313" s="204"/>
      <c r="AM313" s="204"/>
      <c r="AN313" s="204"/>
      <c r="AO313" s="204"/>
      <c r="AP313" s="204"/>
      <c r="AQ313" s="204"/>
      <c r="AR313" s="204"/>
      <c r="AS313" s="204"/>
      <c r="AT313" s="204"/>
      <c r="AU313" s="204"/>
      <c r="AV313" s="204"/>
      <c r="AW313" s="204"/>
      <c r="AX313" s="204"/>
      <c r="AY313" s="204"/>
      <c r="AZ313" s="204"/>
      <c r="BA313" s="204"/>
      <c r="BB313" s="204"/>
      <c r="BC313" s="204"/>
      <c r="BD313" s="204"/>
      <c r="BE313" s="204"/>
      <c r="BF313" s="204"/>
      <c r="BG313" s="204"/>
      <c r="BH313" s="204"/>
      <c r="BI313" s="204"/>
      <c r="BJ313" s="204"/>
      <c r="BK313" s="204"/>
      <c r="BL313" s="204"/>
      <c r="BM313" s="204"/>
      <c r="BN313" s="204"/>
      <c r="BO313" s="204"/>
      <c r="BP313" s="204"/>
    </row>
    <row r="314" spans="1:68" ht="15" x14ac:dyDescent="0.2">
      <c r="A314" s="204"/>
      <c r="B314" s="204"/>
      <c r="C314" s="821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821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821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04"/>
      <c r="BN314" s="204"/>
      <c r="BO314" s="204"/>
      <c r="BP314" s="204"/>
    </row>
    <row r="315" spans="1:68" ht="15" x14ac:dyDescent="0.2">
      <c r="A315" s="204"/>
      <c r="B315" s="204"/>
      <c r="C315" s="821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821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821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04"/>
      <c r="BN315" s="204"/>
      <c r="BO315" s="204"/>
      <c r="BP315" s="204"/>
    </row>
    <row r="316" spans="1:68" ht="15" x14ac:dyDescent="0.2">
      <c r="A316" s="204"/>
      <c r="B316" s="204"/>
      <c r="C316" s="821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821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821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04"/>
      <c r="BN316" s="204"/>
      <c r="BO316" s="204"/>
      <c r="BP316" s="204"/>
    </row>
    <row r="317" spans="1:68" ht="15" x14ac:dyDescent="0.2">
      <c r="A317" s="204"/>
      <c r="B317" s="204"/>
      <c r="C317" s="821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821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821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04"/>
      <c r="BN317" s="204"/>
      <c r="BO317" s="204"/>
      <c r="BP317" s="204"/>
    </row>
    <row r="318" spans="1:68" ht="15" x14ac:dyDescent="0.2">
      <c r="A318" s="204"/>
      <c r="B318" s="204"/>
      <c r="C318" s="821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821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821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04"/>
      <c r="BN318" s="204"/>
      <c r="BO318" s="204"/>
      <c r="BP318" s="204"/>
    </row>
    <row r="319" spans="1:68" ht="15" x14ac:dyDescent="0.2">
      <c r="A319" s="204"/>
      <c r="B319" s="204"/>
      <c r="C319" s="821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821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204"/>
      <c r="AC319" s="204"/>
      <c r="AD319" s="204"/>
      <c r="AE319" s="204"/>
      <c r="AF319" s="204"/>
      <c r="AG319" s="204"/>
      <c r="AH319" s="204"/>
      <c r="AI319" s="204"/>
      <c r="AJ319" s="204"/>
      <c r="AK319" s="821"/>
      <c r="AL319" s="204"/>
      <c r="AM319" s="204"/>
      <c r="AN319" s="204"/>
      <c r="AO319" s="204"/>
      <c r="AP319" s="204"/>
      <c r="AQ319" s="204"/>
      <c r="AR319" s="204"/>
      <c r="AS319" s="204"/>
      <c r="AT319" s="204"/>
      <c r="AU319" s="204"/>
      <c r="AV319" s="204"/>
      <c r="AW319" s="204"/>
      <c r="AX319" s="204"/>
      <c r="AY319" s="204"/>
      <c r="AZ319" s="204"/>
      <c r="BA319" s="204"/>
      <c r="BB319" s="204"/>
      <c r="BC319" s="204"/>
      <c r="BD319" s="204"/>
      <c r="BE319" s="204"/>
      <c r="BF319" s="204"/>
      <c r="BG319" s="204"/>
      <c r="BH319" s="204"/>
      <c r="BI319" s="204"/>
      <c r="BJ319" s="204"/>
      <c r="BK319" s="204"/>
      <c r="BL319" s="204"/>
      <c r="BM319" s="204"/>
      <c r="BN319" s="204"/>
      <c r="BO319" s="204"/>
      <c r="BP319" s="204"/>
    </row>
    <row r="320" spans="1:68" ht="15" x14ac:dyDescent="0.2">
      <c r="A320" s="204"/>
      <c r="B320" s="204"/>
      <c r="C320" s="821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821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821"/>
      <c r="AL320" s="204"/>
      <c r="AM320" s="204"/>
      <c r="AN320" s="204"/>
      <c r="AO320" s="204"/>
      <c r="AP320" s="204"/>
      <c r="AQ320" s="204"/>
      <c r="AR320" s="204"/>
      <c r="AS320" s="204"/>
      <c r="AT320" s="204"/>
      <c r="AU320" s="204"/>
      <c r="AV320" s="204"/>
      <c r="AW320" s="204"/>
      <c r="AX320" s="204"/>
      <c r="AY320" s="204"/>
      <c r="AZ320" s="204"/>
      <c r="BA320" s="204"/>
      <c r="BB320" s="204"/>
      <c r="BC320" s="204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</row>
    <row r="321" spans="1:68" ht="15" x14ac:dyDescent="0.2">
      <c r="A321" s="204"/>
      <c r="B321" s="204"/>
      <c r="C321" s="821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821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204"/>
      <c r="AC321" s="204"/>
      <c r="AD321" s="204"/>
      <c r="AE321" s="204"/>
      <c r="AF321" s="204"/>
      <c r="AG321" s="204"/>
      <c r="AH321" s="204"/>
      <c r="AI321" s="204"/>
      <c r="AJ321" s="204"/>
      <c r="AK321" s="821"/>
      <c r="AL321" s="204"/>
      <c r="AM321" s="204"/>
      <c r="AN321" s="204"/>
      <c r="AO321" s="204"/>
      <c r="AP321" s="204"/>
      <c r="AQ321" s="204"/>
      <c r="AR321" s="204"/>
      <c r="AS321" s="204"/>
      <c r="AT321" s="204"/>
      <c r="AU321" s="204"/>
      <c r="AV321" s="204"/>
      <c r="AW321" s="204"/>
      <c r="AX321" s="204"/>
      <c r="AY321" s="204"/>
      <c r="AZ321" s="204"/>
      <c r="BA321" s="204"/>
      <c r="BB321" s="204"/>
      <c r="BC321" s="204"/>
      <c r="BD321" s="204"/>
      <c r="BE321" s="204"/>
      <c r="BF321" s="204"/>
      <c r="BG321" s="204"/>
      <c r="BH321" s="204"/>
      <c r="BI321" s="204"/>
      <c r="BJ321" s="204"/>
      <c r="BK321" s="204"/>
      <c r="BL321" s="204"/>
      <c r="BM321" s="204"/>
      <c r="BN321" s="204"/>
      <c r="BO321" s="204"/>
      <c r="BP321" s="204"/>
    </row>
    <row r="322" spans="1:68" ht="15" x14ac:dyDescent="0.2">
      <c r="A322" s="204"/>
      <c r="B322" s="204"/>
      <c r="C322" s="821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821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204"/>
      <c r="AC322" s="204"/>
      <c r="AD322" s="204"/>
      <c r="AE322" s="204"/>
      <c r="AF322" s="204"/>
      <c r="AG322" s="204"/>
      <c r="AH322" s="204"/>
      <c r="AI322" s="204"/>
      <c r="AJ322" s="204"/>
      <c r="AK322" s="821"/>
      <c r="AL322" s="204"/>
      <c r="AM322" s="204"/>
      <c r="AN322" s="204"/>
      <c r="AO322" s="204"/>
      <c r="AP322" s="204"/>
      <c r="AQ322" s="204"/>
      <c r="AR322" s="204"/>
      <c r="AS322" s="204"/>
      <c r="AT322" s="204"/>
      <c r="AU322" s="204"/>
      <c r="AV322" s="204"/>
      <c r="AW322" s="204"/>
      <c r="AX322" s="204"/>
      <c r="AY322" s="204"/>
      <c r="AZ322" s="204"/>
      <c r="BA322" s="204"/>
      <c r="BB322" s="204"/>
      <c r="BC322" s="204"/>
      <c r="BD322" s="204"/>
      <c r="BE322" s="204"/>
      <c r="BF322" s="204"/>
      <c r="BG322" s="204"/>
      <c r="BH322" s="204"/>
      <c r="BI322" s="204"/>
      <c r="BJ322" s="204"/>
      <c r="BK322" s="204"/>
      <c r="BL322" s="204"/>
      <c r="BM322" s="204"/>
      <c r="BN322" s="204"/>
      <c r="BO322" s="204"/>
      <c r="BP322" s="204"/>
    </row>
    <row r="323" spans="1:68" ht="15" x14ac:dyDescent="0.2">
      <c r="A323" s="204"/>
      <c r="B323" s="204"/>
      <c r="C323" s="821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821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204"/>
      <c r="AC323" s="204"/>
      <c r="AD323" s="204"/>
      <c r="AE323" s="204"/>
      <c r="AF323" s="204"/>
      <c r="AG323" s="204"/>
      <c r="AH323" s="204"/>
      <c r="AI323" s="204"/>
      <c r="AJ323" s="204"/>
      <c r="AK323" s="821"/>
      <c r="AL323" s="204"/>
      <c r="AM323" s="204"/>
      <c r="AN323" s="204"/>
      <c r="AO323" s="204"/>
      <c r="AP323" s="204"/>
      <c r="AQ323" s="204"/>
      <c r="AR323" s="204"/>
      <c r="AS323" s="204"/>
      <c r="AT323" s="204"/>
      <c r="AU323" s="204"/>
      <c r="AV323" s="204"/>
      <c r="AW323" s="204"/>
      <c r="AX323" s="204"/>
      <c r="AY323" s="204"/>
      <c r="AZ323" s="204"/>
      <c r="BA323" s="204"/>
      <c r="BB323" s="204"/>
      <c r="BC323" s="204"/>
      <c r="BD323" s="204"/>
      <c r="BE323" s="204"/>
      <c r="BF323" s="204"/>
      <c r="BG323" s="204"/>
      <c r="BH323" s="204"/>
      <c r="BI323" s="204"/>
      <c r="BJ323" s="204"/>
      <c r="BK323" s="204"/>
      <c r="BL323" s="204"/>
      <c r="BM323" s="204"/>
      <c r="BN323" s="204"/>
      <c r="BO323" s="204"/>
      <c r="BP323" s="204"/>
    </row>
    <row r="324" spans="1:68" ht="15" x14ac:dyDescent="0.2">
      <c r="A324" s="204"/>
      <c r="B324" s="204"/>
      <c r="C324" s="821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821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  <c r="AA324" s="204"/>
      <c r="AB324" s="204"/>
      <c r="AC324" s="204"/>
      <c r="AD324" s="204"/>
      <c r="AE324" s="204"/>
      <c r="AF324" s="204"/>
      <c r="AG324" s="204"/>
      <c r="AH324" s="204"/>
      <c r="AI324" s="204"/>
      <c r="AJ324" s="204"/>
      <c r="AK324" s="821"/>
      <c r="AL324" s="204"/>
      <c r="AM324" s="204"/>
      <c r="AN324" s="204"/>
      <c r="AO324" s="204"/>
      <c r="AP324" s="204"/>
      <c r="AQ324" s="204"/>
      <c r="AR324" s="204"/>
      <c r="AS324" s="204"/>
      <c r="AT324" s="204"/>
      <c r="AU324" s="204"/>
      <c r="AV324" s="204"/>
      <c r="AW324" s="204"/>
      <c r="AX324" s="204"/>
      <c r="AY324" s="204"/>
      <c r="AZ324" s="204"/>
      <c r="BA324" s="204"/>
      <c r="BB324" s="204"/>
      <c r="BC324" s="204"/>
      <c r="BD324" s="204"/>
      <c r="BE324" s="204"/>
      <c r="BF324" s="204"/>
      <c r="BG324" s="204"/>
      <c r="BH324" s="204"/>
      <c r="BI324" s="204"/>
      <c r="BJ324" s="204"/>
      <c r="BK324" s="204"/>
      <c r="BL324" s="204"/>
      <c r="BM324" s="204"/>
      <c r="BN324" s="204"/>
      <c r="BO324" s="204"/>
      <c r="BP324" s="204"/>
    </row>
    <row r="325" spans="1:68" ht="15" x14ac:dyDescent="0.2">
      <c r="A325" s="204"/>
      <c r="B325" s="204"/>
      <c r="C325" s="821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821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  <c r="AA325" s="204"/>
      <c r="AB325" s="204"/>
      <c r="AC325" s="204"/>
      <c r="AD325" s="204"/>
      <c r="AE325" s="204"/>
      <c r="AF325" s="204"/>
      <c r="AG325" s="204"/>
      <c r="AH325" s="204"/>
      <c r="AI325" s="204"/>
      <c r="AJ325" s="204"/>
      <c r="AK325" s="821"/>
      <c r="AL325" s="204"/>
      <c r="AM325" s="204"/>
      <c r="AN325" s="204"/>
      <c r="AO325" s="204"/>
      <c r="AP325" s="204"/>
      <c r="AQ325" s="204"/>
      <c r="AR325" s="204"/>
      <c r="AS325" s="204"/>
      <c r="AT325" s="204"/>
      <c r="AU325" s="204"/>
      <c r="AV325" s="204"/>
      <c r="AW325" s="204"/>
      <c r="AX325" s="204"/>
      <c r="AY325" s="204"/>
      <c r="AZ325" s="204"/>
      <c r="BA325" s="204"/>
      <c r="BB325" s="204"/>
      <c r="BC325" s="204"/>
      <c r="BD325" s="204"/>
      <c r="BE325" s="204"/>
      <c r="BF325" s="204"/>
      <c r="BG325" s="204"/>
      <c r="BH325" s="204"/>
      <c r="BI325" s="204"/>
      <c r="BJ325" s="204"/>
      <c r="BK325" s="204"/>
      <c r="BL325" s="204"/>
      <c r="BM325" s="204"/>
      <c r="BN325" s="204"/>
      <c r="BO325" s="204"/>
      <c r="BP325" s="204"/>
    </row>
    <row r="326" spans="1:68" ht="15" x14ac:dyDescent="0.2">
      <c r="A326" s="204"/>
      <c r="B326" s="204"/>
      <c r="C326" s="821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821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  <c r="AA326" s="204"/>
      <c r="AB326" s="204"/>
      <c r="AC326" s="204"/>
      <c r="AD326" s="204"/>
      <c r="AE326" s="204"/>
      <c r="AF326" s="204"/>
      <c r="AG326" s="204"/>
      <c r="AH326" s="204"/>
      <c r="AI326" s="204"/>
      <c r="AJ326" s="204"/>
      <c r="AK326" s="821"/>
      <c r="AL326" s="204"/>
      <c r="AM326" s="204"/>
      <c r="AN326" s="204"/>
      <c r="AO326" s="204"/>
      <c r="AP326" s="204"/>
      <c r="AQ326" s="204"/>
      <c r="AR326" s="204"/>
      <c r="AS326" s="204"/>
      <c r="AT326" s="204"/>
      <c r="AU326" s="204"/>
      <c r="AV326" s="204"/>
      <c r="AW326" s="204"/>
      <c r="AX326" s="204"/>
      <c r="AY326" s="204"/>
      <c r="AZ326" s="204"/>
      <c r="BA326" s="204"/>
      <c r="BB326" s="204"/>
      <c r="BC326" s="204"/>
      <c r="BD326" s="204"/>
      <c r="BE326" s="204"/>
      <c r="BF326" s="204"/>
      <c r="BG326" s="204"/>
      <c r="BH326" s="204"/>
      <c r="BI326" s="204"/>
      <c r="BJ326" s="204"/>
      <c r="BK326" s="204"/>
      <c r="BL326" s="204"/>
      <c r="BM326" s="204"/>
      <c r="BN326" s="204"/>
      <c r="BO326" s="204"/>
      <c r="BP326" s="204"/>
    </row>
    <row r="327" spans="1:68" ht="15" x14ac:dyDescent="0.2">
      <c r="A327" s="204"/>
      <c r="B327" s="204"/>
      <c r="C327" s="821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821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  <c r="AA327" s="204"/>
      <c r="AB327" s="204"/>
      <c r="AC327" s="204"/>
      <c r="AD327" s="204"/>
      <c r="AE327" s="204"/>
      <c r="AF327" s="204"/>
      <c r="AG327" s="204"/>
      <c r="AH327" s="204"/>
      <c r="AI327" s="204"/>
      <c r="AJ327" s="204"/>
      <c r="AK327" s="821"/>
      <c r="AL327" s="204"/>
      <c r="AM327" s="204"/>
      <c r="AN327" s="204"/>
      <c r="AO327" s="204"/>
      <c r="AP327" s="204"/>
      <c r="AQ327" s="204"/>
      <c r="AR327" s="204"/>
      <c r="AS327" s="204"/>
      <c r="AT327" s="204"/>
      <c r="AU327" s="204"/>
      <c r="AV327" s="204"/>
      <c r="AW327" s="204"/>
      <c r="AX327" s="204"/>
      <c r="AY327" s="204"/>
      <c r="AZ327" s="204"/>
      <c r="BA327" s="204"/>
      <c r="BB327" s="204"/>
      <c r="BC327" s="204"/>
      <c r="BD327" s="204"/>
      <c r="BE327" s="204"/>
      <c r="BF327" s="204"/>
      <c r="BG327" s="204"/>
      <c r="BH327" s="204"/>
      <c r="BI327" s="204"/>
      <c r="BJ327" s="204"/>
      <c r="BK327" s="204"/>
      <c r="BL327" s="204"/>
      <c r="BM327" s="204"/>
      <c r="BN327" s="204"/>
      <c r="BO327" s="204"/>
      <c r="BP327" s="204"/>
    </row>
    <row r="328" spans="1:68" ht="15" x14ac:dyDescent="0.2">
      <c r="A328" s="204"/>
      <c r="B328" s="204"/>
      <c r="C328" s="821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821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  <c r="AA328" s="204"/>
      <c r="AB328" s="204"/>
      <c r="AC328" s="204"/>
      <c r="AD328" s="204"/>
      <c r="AE328" s="204"/>
      <c r="AF328" s="204"/>
      <c r="AG328" s="204"/>
      <c r="AH328" s="204"/>
      <c r="AI328" s="204"/>
      <c r="AJ328" s="204"/>
      <c r="AK328" s="821"/>
      <c r="AL328" s="204"/>
      <c r="AM328" s="204"/>
      <c r="AN328" s="204"/>
      <c r="AO328" s="204"/>
      <c r="AP328" s="204"/>
      <c r="AQ328" s="204"/>
      <c r="AR328" s="204"/>
      <c r="AS328" s="204"/>
      <c r="AT328" s="204"/>
      <c r="AU328" s="204"/>
      <c r="AV328" s="204"/>
      <c r="AW328" s="204"/>
      <c r="AX328" s="204"/>
      <c r="AY328" s="204"/>
      <c r="AZ328" s="204"/>
      <c r="BA328" s="204"/>
      <c r="BB328" s="204"/>
      <c r="BC328" s="204"/>
      <c r="BD328" s="204"/>
      <c r="BE328" s="204"/>
      <c r="BF328" s="204"/>
      <c r="BG328" s="204"/>
      <c r="BH328" s="204"/>
      <c r="BI328" s="204"/>
      <c r="BJ328" s="204"/>
      <c r="BK328" s="204"/>
      <c r="BL328" s="204"/>
      <c r="BM328" s="204"/>
      <c r="BN328" s="204"/>
      <c r="BO328" s="204"/>
      <c r="BP328" s="204"/>
    </row>
    <row r="329" spans="1:68" ht="15" x14ac:dyDescent="0.2">
      <c r="A329" s="204"/>
      <c r="B329" s="204"/>
      <c r="C329" s="821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821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  <c r="AA329" s="204"/>
      <c r="AB329" s="204"/>
      <c r="AC329" s="204"/>
      <c r="AD329" s="204"/>
      <c r="AE329" s="204"/>
      <c r="AF329" s="204"/>
      <c r="AG329" s="204"/>
      <c r="AH329" s="204"/>
      <c r="AI329" s="204"/>
      <c r="AJ329" s="204"/>
      <c r="AK329" s="821"/>
      <c r="AL329" s="204"/>
      <c r="AM329" s="204"/>
      <c r="AN329" s="204"/>
      <c r="AO329" s="204"/>
      <c r="AP329" s="204"/>
      <c r="AQ329" s="204"/>
      <c r="AR329" s="204"/>
      <c r="AS329" s="204"/>
      <c r="AT329" s="204"/>
      <c r="AU329" s="204"/>
      <c r="AV329" s="204"/>
      <c r="AW329" s="204"/>
      <c r="AX329" s="204"/>
      <c r="AY329" s="204"/>
      <c r="AZ329" s="204"/>
      <c r="BA329" s="204"/>
      <c r="BB329" s="204"/>
      <c r="BC329" s="204"/>
      <c r="BD329" s="204"/>
      <c r="BE329" s="204"/>
      <c r="BF329" s="204"/>
      <c r="BG329" s="204"/>
      <c r="BH329" s="204"/>
      <c r="BI329" s="204"/>
      <c r="BJ329" s="204"/>
      <c r="BK329" s="204"/>
      <c r="BL329" s="204"/>
      <c r="BM329" s="204"/>
      <c r="BN329" s="204"/>
      <c r="BO329" s="204"/>
      <c r="BP329" s="204"/>
    </row>
    <row r="330" spans="1:68" ht="15" x14ac:dyDescent="0.2">
      <c r="A330" s="204"/>
      <c r="B330" s="204"/>
      <c r="C330" s="821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821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821"/>
      <c r="AL330" s="204"/>
      <c r="AM330" s="204"/>
      <c r="AN330" s="204"/>
      <c r="AO330" s="204"/>
      <c r="AP330" s="204"/>
      <c r="AQ330" s="204"/>
      <c r="AR330" s="204"/>
      <c r="AS330" s="204"/>
      <c r="AT330" s="204"/>
      <c r="AU330" s="204"/>
      <c r="AV330" s="204"/>
      <c r="AW330" s="204"/>
      <c r="AX330" s="204"/>
      <c r="AY330" s="204"/>
      <c r="AZ330" s="204"/>
      <c r="BA330" s="204"/>
      <c r="BB330" s="204"/>
      <c r="BC330" s="204"/>
      <c r="BD330" s="204"/>
      <c r="BE330" s="204"/>
      <c r="BF330" s="204"/>
      <c r="BG330" s="204"/>
      <c r="BH330" s="204"/>
      <c r="BI330" s="204"/>
      <c r="BJ330" s="204"/>
      <c r="BK330" s="204"/>
      <c r="BL330" s="204"/>
      <c r="BM330" s="204"/>
      <c r="BN330" s="204"/>
      <c r="BO330" s="204"/>
      <c r="BP330" s="204"/>
    </row>
    <row r="331" spans="1:68" ht="15" x14ac:dyDescent="0.2">
      <c r="A331" s="204"/>
      <c r="B331" s="204"/>
      <c r="C331" s="821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821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821"/>
      <c r="AL331" s="204"/>
      <c r="AM331" s="204"/>
      <c r="AN331" s="204"/>
      <c r="AO331" s="204"/>
      <c r="AP331" s="204"/>
      <c r="AQ331" s="204"/>
      <c r="AR331" s="204"/>
      <c r="AS331" s="204"/>
      <c r="AT331" s="204"/>
      <c r="AU331" s="204"/>
      <c r="AV331" s="204"/>
      <c r="AW331" s="204"/>
      <c r="AX331" s="204"/>
      <c r="AY331" s="204"/>
      <c r="AZ331" s="204"/>
      <c r="BA331" s="204"/>
      <c r="BB331" s="204"/>
      <c r="BC331" s="204"/>
      <c r="BD331" s="204"/>
      <c r="BE331" s="204"/>
      <c r="BF331" s="204"/>
      <c r="BG331" s="204"/>
      <c r="BH331" s="204"/>
      <c r="BI331" s="204"/>
      <c r="BJ331" s="204"/>
      <c r="BK331" s="204"/>
      <c r="BL331" s="204"/>
      <c r="BM331" s="204"/>
      <c r="BN331" s="204"/>
      <c r="BO331" s="204"/>
      <c r="BP331" s="204"/>
    </row>
    <row r="332" spans="1:68" ht="15" x14ac:dyDescent="0.2">
      <c r="A332" s="204"/>
      <c r="B332" s="204"/>
      <c r="C332" s="821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821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821"/>
      <c r="AL332" s="204"/>
      <c r="AM332" s="204"/>
      <c r="AN332" s="204"/>
      <c r="AO332" s="204"/>
      <c r="AP332" s="204"/>
      <c r="AQ332" s="204"/>
      <c r="AR332" s="204"/>
      <c r="AS332" s="204"/>
      <c r="AT332" s="204"/>
      <c r="AU332" s="204"/>
      <c r="AV332" s="204"/>
      <c r="AW332" s="204"/>
      <c r="AX332" s="204"/>
      <c r="AY332" s="204"/>
      <c r="AZ332" s="204"/>
      <c r="BA332" s="204"/>
      <c r="BB332" s="204"/>
      <c r="BC332" s="204"/>
      <c r="BD332" s="204"/>
      <c r="BE332" s="204"/>
      <c r="BF332" s="204"/>
      <c r="BG332" s="204"/>
      <c r="BH332" s="204"/>
      <c r="BI332" s="204"/>
      <c r="BJ332" s="204"/>
      <c r="BK332" s="204"/>
      <c r="BL332" s="204"/>
      <c r="BM332" s="204"/>
      <c r="BN332" s="204"/>
      <c r="BO332" s="204"/>
      <c r="BP332" s="204"/>
    </row>
    <row r="333" spans="1:68" ht="15" x14ac:dyDescent="0.2">
      <c r="A333" s="204"/>
      <c r="B333" s="204"/>
      <c r="C333" s="821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821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821"/>
      <c r="AL333" s="204"/>
      <c r="AM333" s="204"/>
      <c r="AN333" s="204"/>
      <c r="AO333" s="204"/>
      <c r="AP333" s="204"/>
      <c r="AQ333" s="204"/>
      <c r="AR333" s="204"/>
      <c r="AS333" s="204"/>
      <c r="AT333" s="204"/>
      <c r="AU333" s="204"/>
      <c r="AV333" s="204"/>
      <c r="AW333" s="204"/>
      <c r="AX333" s="204"/>
      <c r="AY333" s="204"/>
      <c r="AZ333" s="204"/>
      <c r="BA333" s="204"/>
      <c r="BB333" s="204"/>
      <c r="BC333" s="204"/>
      <c r="BD333" s="204"/>
      <c r="BE333" s="204"/>
      <c r="BF333" s="204"/>
      <c r="BG333" s="204"/>
      <c r="BH333" s="204"/>
      <c r="BI333" s="204"/>
      <c r="BJ333" s="204"/>
      <c r="BK333" s="204"/>
      <c r="BL333" s="204"/>
      <c r="BM333" s="204"/>
      <c r="BN333" s="204"/>
      <c r="BO333" s="204"/>
      <c r="BP333" s="204"/>
    </row>
    <row r="334" spans="1:68" ht="15" x14ac:dyDescent="0.2">
      <c r="A334" s="204"/>
      <c r="B334" s="204"/>
      <c r="C334" s="821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821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821"/>
      <c r="AL334" s="204"/>
      <c r="AM334" s="204"/>
      <c r="AN334" s="204"/>
      <c r="AO334" s="204"/>
      <c r="AP334" s="204"/>
      <c r="AQ334" s="204"/>
      <c r="AR334" s="204"/>
      <c r="AS334" s="204"/>
      <c r="AT334" s="204"/>
      <c r="AU334" s="204"/>
      <c r="AV334" s="204"/>
      <c r="AW334" s="204"/>
      <c r="AX334" s="204"/>
      <c r="AY334" s="204"/>
      <c r="AZ334" s="204"/>
      <c r="BA334" s="204"/>
      <c r="BB334" s="204"/>
      <c r="BC334" s="204"/>
      <c r="BD334" s="204"/>
      <c r="BE334" s="204"/>
      <c r="BF334" s="204"/>
      <c r="BG334" s="204"/>
      <c r="BH334" s="204"/>
      <c r="BI334" s="204"/>
      <c r="BJ334" s="204"/>
      <c r="BK334" s="204"/>
      <c r="BL334" s="204"/>
      <c r="BM334" s="204"/>
      <c r="BN334" s="204"/>
      <c r="BO334" s="204"/>
      <c r="BP334" s="204"/>
    </row>
    <row r="335" spans="1:68" ht="15" x14ac:dyDescent="0.2">
      <c r="A335" s="204"/>
      <c r="B335" s="204"/>
      <c r="C335" s="821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821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821"/>
      <c r="AL335" s="204"/>
      <c r="AM335" s="204"/>
      <c r="AN335" s="204"/>
      <c r="AO335" s="204"/>
      <c r="AP335" s="204"/>
      <c r="AQ335" s="204"/>
      <c r="AR335" s="204"/>
      <c r="AS335" s="204"/>
      <c r="AT335" s="204"/>
      <c r="AU335" s="204"/>
      <c r="AV335" s="204"/>
      <c r="AW335" s="204"/>
      <c r="AX335" s="204"/>
      <c r="AY335" s="204"/>
      <c r="AZ335" s="204"/>
      <c r="BA335" s="204"/>
      <c r="BB335" s="204"/>
      <c r="BC335" s="204"/>
      <c r="BD335" s="204"/>
      <c r="BE335" s="204"/>
      <c r="BF335" s="204"/>
      <c r="BG335" s="204"/>
      <c r="BH335" s="204"/>
      <c r="BI335" s="204"/>
      <c r="BJ335" s="204"/>
      <c r="BK335" s="204"/>
      <c r="BL335" s="204"/>
      <c r="BM335" s="204"/>
      <c r="BN335" s="204"/>
      <c r="BO335" s="204"/>
      <c r="BP335" s="204"/>
    </row>
    <row r="336" spans="1:68" ht="15" x14ac:dyDescent="0.2">
      <c r="A336" s="204"/>
      <c r="B336" s="204"/>
      <c r="C336" s="821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821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821"/>
      <c r="AL336" s="204"/>
      <c r="AM336" s="204"/>
      <c r="AN336" s="204"/>
      <c r="AO336" s="204"/>
      <c r="AP336" s="204"/>
      <c r="AQ336" s="204"/>
      <c r="AR336" s="204"/>
      <c r="AS336" s="204"/>
      <c r="AT336" s="204"/>
      <c r="AU336" s="204"/>
      <c r="AV336" s="204"/>
      <c r="AW336" s="204"/>
      <c r="AX336" s="204"/>
      <c r="AY336" s="204"/>
      <c r="AZ336" s="204"/>
      <c r="BA336" s="204"/>
      <c r="BB336" s="204"/>
      <c r="BC336" s="204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</row>
    <row r="337" spans="1:68" ht="15" x14ac:dyDescent="0.2">
      <c r="A337" s="204"/>
      <c r="B337" s="204"/>
      <c r="C337" s="821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821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821"/>
      <c r="AL337" s="204"/>
      <c r="AM337" s="204"/>
      <c r="AN337" s="204"/>
      <c r="AO337" s="204"/>
      <c r="AP337" s="204"/>
      <c r="AQ337" s="204"/>
      <c r="AR337" s="204"/>
      <c r="AS337" s="204"/>
      <c r="AT337" s="204"/>
      <c r="AU337" s="204"/>
      <c r="AV337" s="204"/>
      <c r="AW337" s="204"/>
      <c r="AX337" s="204"/>
      <c r="AY337" s="204"/>
      <c r="AZ337" s="204"/>
      <c r="BA337" s="204"/>
      <c r="BB337" s="204"/>
      <c r="BC337" s="204"/>
      <c r="BD337" s="204"/>
      <c r="BE337" s="204"/>
      <c r="BF337" s="204"/>
      <c r="BG337" s="204"/>
      <c r="BH337" s="204"/>
      <c r="BI337" s="204"/>
      <c r="BJ337" s="204"/>
      <c r="BK337" s="204"/>
      <c r="BL337" s="204"/>
      <c r="BM337" s="204"/>
      <c r="BN337" s="204"/>
      <c r="BO337" s="204"/>
      <c r="BP337" s="204"/>
    </row>
    <row r="338" spans="1:68" ht="15" x14ac:dyDescent="0.2">
      <c r="A338" s="204"/>
      <c r="B338" s="204"/>
      <c r="C338" s="821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821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821"/>
      <c r="AL338" s="204"/>
      <c r="AM338" s="204"/>
      <c r="AN338" s="204"/>
      <c r="AO338" s="204"/>
      <c r="AP338" s="204"/>
      <c r="AQ338" s="204"/>
      <c r="AR338" s="204"/>
      <c r="AS338" s="204"/>
      <c r="AT338" s="204"/>
      <c r="AU338" s="204"/>
      <c r="AV338" s="204"/>
      <c r="AW338" s="204"/>
      <c r="AX338" s="204"/>
      <c r="AY338" s="204"/>
      <c r="AZ338" s="204"/>
      <c r="BA338" s="204"/>
      <c r="BB338" s="204"/>
      <c r="BC338" s="204"/>
      <c r="BD338" s="204"/>
      <c r="BE338" s="204"/>
      <c r="BF338" s="204"/>
      <c r="BG338" s="204"/>
      <c r="BH338" s="204"/>
      <c r="BI338" s="204"/>
      <c r="BJ338" s="204"/>
      <c r="BK338" s="204"/>
      <c r="BL338" s="204"/>
      <c r="BM338" s="204"/>
      <c r="BN338" s="204"/>
      <c r="BO338" s="204"/>
      <c r="BP338" s="204"/>
    </row>
    <row r="339" spans="1:68" ht="15" x14ac:dyDescent="0.2">
      <c r="A339" s="204"/>
      <c r="B339" s="204"/>
      <c r="C339" s="821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821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204"/>
      <c r="AC339" s="204"/>
      <c r="AD339" s="204"/>
      <c r="AE339" s="204"/>
      <c r="AF339" s="204"/>
      <c r="AG339" s="204"/>
      <c r="AH339" s="204"/>
      <c r="AI339" s="204"/>
      <c r="AJ339" s="204"/>
      <c r="AK339" s="821"/>
      <c r="AL339" s="204"/>
      <c r="AM339" s="204"/>
      <c r="AN339" s="204"/>
      <c r="AO339" s="204"/>
      <c r="AP339" s="204"/>
      <c r="AQ339" s="204"/>
      <c r="AR339" s="204"/>
      <c r="AS339" s="204"/>
      <c r="AT339" s="204"/>
      <c r="AU339" s="204"/>
      <c r="AV339" s="204"/>
      <c r="AW339" s="204"/>
      <c r="AX339" s="204"/>
      <c r="AY339" s="204"/>
      <c r="AZ339" s="204"/>
      <c r="BA339" s="204"/>
      <c r="BB339" s="204"/>
      <c r="BC339" s="204"/>
      <c r="BD339" s="204"/>
      <c r="BE339" s="204"/>
      <c r="BF339" s="204"/>
      <c r="BG339" s="204"/>
      <c r="BH339" s="204"/>
      <c r="BI339" s="204"/>
      <c r="BJ339" s="204"/>
      <c r="BK339" s="204"/>
      <c r="BL339" s="204"/>
      <c r="BM339" s="204"/>
      <c r="BN339" s="204"/>
      <c r="BO339" s="204"/>
      <c r="BP339" s="204"/>
    </row>
    <row r="340" spans="1:68" ht="15" x14ac:dyDescent="0.2">
      <c r="A340" s="204"/>
      <c r="B340" s="204"/>
      <c r="C340" s="821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821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821"/>
      <c r="AL340" s="204"/>
      <c r="AM340" s="204"/>
      <c r="AN340" s="204"/>
      <c r="AO340" s="204"/>
      <c r="AP340" s="204"/>
      <c r="AQ340" s="204"/>
      <c r="AR340" s="204"/>
      <c r="AS340" s="204"/>
      <c r="AT340" s="204"/>
      <c r="AU340" s="204"/>
      <c r="AV340" s="204"/>
      <c r="AW340" s="204"/>
      <c r="AX340" s="204"/>
      <c r="AY340" s="204"/>
      <c r="AZ340" s="204"/>
      <c r="BA340" s="204"/>
      <c r="BB340" s="204"/>
      <c r="BC340" s="204"/>
      <c r="BD340" s="204"/>
      <c r="BE340" s="204"/>
      <c r="BF340" s="204"/>
      <c r="BG340" s="204"/>
      <c r="BH340" s="204"/>
      <c r="BI340" s="204"/>
      <c r="BJ340" s="204"/>
      <c r="BK340" s="204"/>
      <c r="BL340" s="204"/>
      <c r="BM340" s="204"/>
      <c r="BN340" s="204"/>
      <c r="BO340" s="204"/>
      <c r="BP340" s="204"/>
    </row>
    <row r="341" spans="1:68" ht="15" x14ac:dyDescent="0.2">
      <c r="A341" s="204"/>
      <c r="B341" s="204"/>
      <c r="C341" s="821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821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204"/>
      <c r="AC341" s="204"/>
      <c r="AD341" s="204"/>
      <c r="AE341" s="204"/>
      <c r="AF341" s="204"/>
      <c r="AG341" s="204"/>
      <c r="AH341" s="204"/>
      <c r="AI341" s="204"/>
      <c r="AJ341" s="204"/>
      <c r="AK341" s="821"/>
      <c r="AL341" s="204"/>
      <c r="AM341" s="204"/>
      <c r="AN341" s="204"/>
      <c r="AO341" s="204"/>
      <c r="AP341" s="204"/>
      <c r="AQ341" s="204"/>
      <c r="AR341" s="204"/>
      <c r="AS341" s="204"/>
      <c r="AT341" s="204"/>
      <c r="AU341" s="204"/>
      <c r="AV341" s="204"/>
      <c r="AW341" s="204"/>
      <c r="AX341" s="204"/>
      <c r="AY341" s="204"/>
      <c r="AZ341" s="204"/>
      <c r="BA341" s="204"/>
      <c r="BB341" s="204"/>
      <c r="BC341" s="204"/>
      <c r="BD341" s="204"/>
      <c r="BE341" s="204"/>
      <c r="BF341" s="204"/>
      <c r="BG341" s="204"/>
      <c r="BH341" s="204"/>
      <c r="BI341" s="204"/>
      <c r="BJ341" s="204"/>
      <c r="BK341" s="204"/>
      <c r="BL341" s="204"/>
      <c r="BM341" s="204"/>
      <c r="BN341" s="204"/>
      <c r="BO341" s="204"/>
      <c r="BP341" s="204"/>
    </row>
    <row r="342" spans="1:68" ht="15" x14ac:dyDescent="0.2">
      <c r="A342" s="204"/>
      <c r="B342" s="204"/>
      <c r="C342" s="821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821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821"/>
      <c r="AL342" s="204"/>
      <c r="AM342" s="204"/>
      <c r="AN342" s="204"/>
      <c r="AO342" s="204"/>
      <c r="AP342" s="204"/>
      <c r="AQ342" s="204"/>
      <c r="AR342" s="204"/>
      <c r="AS342" s="204"/>
      <c r="AT342" s="204"/>
      <c r="AU342" s="204"/>
      <c r="AV342" s="204"/>
      <c r="AW342" s="204"/>
      <c r="AX342" s="204"/>
      <c r="AY342" s="204"/>
      <c r="AZ342" s="204"/>
      <c r="BA342" s="204"/>
      <c r="BB342" s="204"/>
      <c r="BC342" s="204"/>
      <c r="BD342" s="204"/>
      <c r="BE342" s="204"/>
      <c r="BF342" s="204"/>
      <c r="BG342" s="204"/>
      <c r="BH342" s="204"/>
      <c r="BI342" s="204"/>
      <c r="BJ342" s="204"/>
      <c r="BK342" s="204"/>
      <c r="BL342" s="204"/>
      <c r="BM342" s="204"/>
      <c r="BN342" s="204"/>
      <c r="BO342" s="204"/>
      <c r="BP342" s="204"/>
    </row>
    <row r="343" spans="1:68" ht="15" x14ac:dyDescent="0.2">
      <c r="A343" s="204"/>
      <c r="B343" s="204"/>
      <c r="C343" s="821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821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821"/>
      <c r="AL343" s="204"/>
      <c r="AM343" s="204"/>
      <c r="AN343" s="204"/>
      <c r="AO343" s="204"/>
      <c r="AP343" s="204"/>
      <c r="AQ343" s="204"/>
      <c r="AR343" s="204"/>
      <c r="AS343" s="204"/>
      <c r="AT343" s="204"/>
      <c r="AU343" s="204"/>
      <c r="AV343" s="204"/>
      <c r="AW343" s="204"/>
      <c r="AX343" s="204"/>
      <c r="AY343" s="204"/>
      <c r="AZ343" s="204"/>
      <c r="BA343" s="204"/>
      <c r="BB343" s="204"/>
      <c r="BC343" s="204"/>
      <c r="BD343" s="204"/>
      <c r="BE343" s="204"/>
      <c r="BF343" s="204"/>
      <c r="BG343" s="204"/>
      <c r="BH343" s="204"/>
      <c r="BI343" s="204"/>
      <c r="BJ343" s="204"/>
      <c r="BK343" s="204"/>
      <c r="BL343" s="204"/>
      <c r="BM343" s="204"/>
      <c r="BN343" s="204"/>
      <c r="BO343" s="204"/>
      <c r="BP343" s="204"/>
    </row>
    <row r="344" spans="1:68" ht="15" x14ac:dyDescent="0.2">
      <c r="A344" s="204"/>
      <c r="B344" s="204"/>
      <c r="C344" s="821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821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204"/>
      <c r="AC344" s="204"/>
      <c r="AD344" s="204"/>
      <c r="AE344" s="204"/>
      <c r="AF344" s="204"/>
      <c r="AG344" s="204"/>
      <c r="AH344" s="204"/>
      <c r="AI344" s="204"/>
      <c r="AJ344" s="204"/>
      <c r="AK344" s="821"/>
      <c r="AL344" s="204"/>
      <c r="AM344" s="204"/>
      <c r="AN344" s="204"/>
      <c r="AO344" s="204"/>
      <c r="AP344" s="204"/>
      <c r="AQ344" s="204"/>
      <c r="AR344" s="204"/>
      <c r="AS344" s="204"/>
      <c r="AT344" s="204"/>
      <c r="AU344" s="204"/>
      <c r="AV344" s="204"/>
      <c r="AW344" s="204"/>
      <c r="AX344" s="204"/>
      <c r="AY344" s="204"/>
      <c r="AZ344" s="204"/>
      <c r="BA344" s="204"/>
      <c r="BB344" s="204"/>
      <c r="BC344" s="204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</row>
    <row r="345" spans="1:68" ht="15" x14ac:dyDescent="0.2">
      <c r="A345" s="204"/>
      <c r="B345" s="204"/>
      <c r="C345" s="821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821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204"/>
      <c r="AC345" s="204"/>
      <c r="AD345" s="204"/>
      <c r="AE345" s="204"/>
      <c r="AF345" s="204"/>
      <c r="AG345" s="204"/>
      <c r="AH345" s="204"/>
      <c r="AI345" s="204"/>
      <c r="AJ345" s="204"/>
      <c r="AK345" s="821"/>
      <c r="AL345" s="204"/>
      <c r="AM345" s="204"/>
      <c r="AN345" s="204"/>
      <c r="AO345" s="204"/>
      <c r="AP345" s="204"/>
      <c r="AQ345" s="204"/>
      <c r="AR345" s="204"/>
      <c r="AS345" s="204"/>
      <c r="AT345" s="204"/>
      <c r="AU345" s="204"/>
      <c r="AV345" s="204"/>
      <c r="AW345" s="204"/>
      <c r="AX345" s="204"/>
      <c r="AY345" s="204"/>
      <c r="AZ345" s="204"/>
      <c r="BA345" s="204"/>
      <c r="BB345" s="204"/>
      <c r="BC345" s="204"/>
      <c r="BD345" s="204"/>
      <c r="BE345" s="204"/>
      <c r="BF345" s="204"/>
      <c r="BG345" s="204"/>
      <c r="BH345" s="204"/>
      <c r="BI345" s="204"/>
      <c r="BJ345" s="204"/>
      <c r="BK345" s="204"/>
      <c r="BL345" s="204"/>
      <c r="BM345" s="204"/>
      <c r="BN345" s="204"/>
      <c r="BO345" s="204"/>
      <c r="BP345" s="204"/>
    </row>
    <row r="346" spans="1:68" ht="15" x14ac:dyDescent="0.2">
      <c r="A346" s="204"/>
      <c r="B346" s="204"/>
      <c r="C346" s="821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821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204"/>
      <c r="AC346" s="204"/>
      <c r="AD346" s="204"/>
      <c r="AE346" s="204"/>
      <c r="AF346" s="204"/>
      <c r="AG346" s="204"/>
      <c r="AH346" s="204"/>
      <c r="AI346" s="204"/>
      <c r="AJ346" s="204"/>
      <c r="AK346" s="821"/>
      <c r="AL346" s="204"/>
      <c r="AM346" s="204"/>
      <c r="AN346" s="204"/>
      <c r="AO346" s="204"/>
      <c r="AP346" s="204"/>
      <c r="AQ346" s="204"/>
      <c r="AR346" s="204"/>
      <c r="AS346" s="204"/>
      <c r="AT346" s="204"/>
      <c r="AU346" s="204"/>
      <c r="AV346" s="204"/>
      <c r="AW346" s="204"/>
      <c r="AX346" s="204"/>
      <c r="AY346" s="204"/>
      <c r="AZ346" s="204"/>
      <c r="BA346" s="204"/>
      <c r="BB346" s="204"/>
      <c r="BC346" s="204"/>
      <c r="BD346" s="204"/>
      <c r="BE346" s="204"/>
      <c r="BF346" s="204"/>
      <c r="BG346" s="204"/>
      <c r="BH346" s="204"/>
      <c r="BI346" s="204"/>
      <c r="BJ346" s="204"/>
      <c r="BK346" s="204"/>
      <c r="BL346" s="204"/>
      <c r="BM346" s="204"/>
      <c r="BN346" s="204"/>
      <c r="BO346" s="204"/>
      <c r="BP346" s="204"/>
    </row>
    <row r="347" spans="1:68" ht="15" x14ac:dyDescent="0.2">
      <c r="A347" s="204"/>
      <c r="B347" s="204"/>
      <c r="C347" s="821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821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204"/>
      <c r="AC347" s="204"/>
      <c r="AD347" s="204"/>
      <c r="AE347" s="204"/>
      <c r="AF347" s="204"/>
      <c r="AG347" s="204"/>
      <c r="AH347" s="204"/>
      <c r="AI347" s="204"/>
      <c r="AJ347" s="204"/>
      <c r="AK347" s="821"/>
      <c r="AL347" s="204"/>
      <c r="AM347" s="204"/>
      <c r="AN347" s="204"/>
      <c r="AO347" s="204"/>
      <c r="AP347" s="204"/>
      <c r="AQ347" s="204"/>
      <c r="AR347" s="204"/>
      <c r="AS347" s="204"/>
      <c r="AT347" s="204"/>
      <c r="AU347" s="204"/>
      <c r="AV347" s="204"/>
      <c r="AW347" s="204"/>
      <c r="AX347" s="204"/>
      <c r="AY347" s="204"/>
      <c r="AZ347" s="204"/>
      <c r="BA347" s="204"/>
      <c r="BB347" s="204"/>
      <c r="BC347" s="204"/>
      <c r="BD347" s="204"/>
      <c r="BE347" s="204"/>
      <c r="BF347" s="204"/>
      <c r="BG347" s="204"/>
      <c r="BH347" s="204"/>
      <c r="BI347" s="204"/>
      <c r="BJ347" s="204"/>
      <c r="BK347" s="204"/>
      <c r="BL347" s="204"/>
      <c r="BM347" s="204"/>
      <c r="BN347" s="204"/>
      <c r="BO347" s="204"/>
      <c r="BP347" s="204"/>
    </row>
    <row r="348" spans="1:68" ht="15" x14ac:dyDescent="0.2">
      <c r="A348" s="204"/>
      <c r="B348" s="204"/>
      <c r="C348" s="821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821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204"/>
      <c r="AC348" s="204"/>
      <c r="AD348" s="204"/>
      <c r="AE348" s="204"/>
      <c r="AF348" s="204"/>
      <c r="AG348" s="204"/>
      <c r="AH348" s="204"/>
      <c r="AI348" s="204"/>
      <c r="AJ348" s="204"/>
      <c r="AK348" s="821"/>
      <c r="AL348" s="204"/>
      <c r="AM348" s="204"/>
      <c r="AN348" s="204"/>
      <c r="AO348" s="204"/>
      <c r="AP348" s="204"/>
      <c r="AQ348" s="204"/>
      <c r="AR348" s="204"/>
      <c r="AS348" s="204"/>
      <c r="AT348" s="204"/>
      <c r="AU348" s="204"/>
      <c r="AV348" s="204"/>
      <c r="AW348" s="204"/>
      <c r="AX348" s="204"/>
      <c r="AY348" s="204"/>
      <c r="AZ348" s="204"/>
      <c r="BA348" s="204"/>
      <c r="BB348" s="204"/>
      <c r="BC348" s="204"/>
      <c r="BD348" s="204"/>
      <c r="BE348" s="204"/>
      <c r="BF348" s="204"/>
      <c r="BG348" s="204"/>
      <c r="BH348" s="204"/>
      <c r="BI348" s="204"/>
      <c r="BJ348" s="204"/>
      <c r="BK348" s="204"/>
      <c r="BL348" s="204"/>
      <c r="BM348" s="204"/>
      <c r="BN348" s="204"/>
      <c r="BO348" s="204"/>
      <c r="BP348" s="204"/>
    </row>
    <row r="349" spans="1:68" ht="15" x14ac:dyDescent="0.2">
      <c r="A349" s="204"/>
      <c r="B349" s="204"/>
      <c r="C349" s="821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821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204"/>
      <c r="AC349" s="204"/>
      <c r="AD349" s="204"/>
      <c r="AE349" s="204"/>
      <c r="AF349" s="204"/>
      <c r="AG349" s="204"/>
      <c r="AH349" s="204"/>
      <c r="AI349" s="204"/>
      <c r="AJ349" s="204"/>
      <c r="AK349" s="821"/>
      <c r="AL349" s="204"/>
      <c r="AM349" s="204"/>
      <c r="AN349" s="204"/>
      <c r="AO349" s="204"/>
      <c r="AP349" s="204"/>
      <c r="AQ349" s="204"/>
      <c r="AR349" s="204"/>
      <c r="AS349" s="204"/>
      <c r="AT349" s="204"/>
      <c r="AU349" s="204"/>
      <c r="AV349" s="204"/>
      <c r="AW349" s="204"/>
      <c r="AX349" s="204"/>
      <c r="AY349" s="204"/>
      <c r="AZ349" s="204"/>
      <c r="BA349" s="204"/>
      <c r="BB349" s="204"/>
      <c r="BC349" s="204"/>
      <c r="BD349" s="204"/>
      <c r="BE349" s="204"/>
      <c r="BF349" s="204"/>
      <c r="BG349" s="204"/>
      <c r="BH349" s="204"/>
      <c r="BI349" s="204"/>
      <c r="BJ349" s="204"/>
      <c r="BK349" s="204"/>
      <c r="BL349" s="204"/>
      <c r="BM349" s="204"/>
      <c r="BN349" s="204"/>
      <c r="BO349" s="204"/>
      <c r="BP349" s="204"/>
    </row>
    <row r="350" spans="1:68" ht="15" x14ac:dyDescent="0.2">
      <c r="A350" s="204"/>
      <c r="B350" s="204"/>
      <c r="C350" s="821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821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204"/>
      <c r="AC350" s="204"/>
      <c r="AD350" s="204"/>
      <c r="AE350" s="204"/>
      <c r="AF350" s="204"/>
      <c r="AG350" s="204"/>
      <c r="AH350" s="204"/>
      <c r="AI350" s="204"/>
      <c r="AJ350" s="204"/>
      <c r="AK350" s="821"/>
      <c r="AL350" s="204"/>
      <c r="AM350" s="204"/>
      <c r="AN350" s="204"/>
      <c r="AO350" s="204"/>
      <c r="AP350" s="204"/>
      <c r="AQ350" s="204"/>
      <c r="AR350" s="204"/>
      <c r="AS350" s="204"/>
      <c r="AT350" s="204"/>
      <c r="AU350" s="204"/>
      <c r="AV350" s="204"/>
      <c r="AW350" s="204"/>
      <c r="AX350" s="204"/>
      <c r="AY350" s="204"/>
      <c r="AZ350" s="204"/>
      <c r="BA350" s="204"/>
      <c r="BB350" s="204"/>
      <c r="BC350" s="204"/>
      <c r="BD350" s="204"/>
      <c r="BE350" s="204"/>
      <c r="BF350" s="204"/>
      <c r="BG350" s="204"/>
      <c r="BH350" s="204"/>
      <c r="BI350" s="204"/>
      <c r="BJ350" s="204"/>
      <c r="BK350" s="204"/>
      <c r="BL350" s="204"/>
      <c r="BM350" s="204"/>
      <c r="BN350" s="204"/>
      <c r="BO350" s="204"/>
      <c r="BP350" s="204"/>
    </row>
    <row r="351" spans="1:68" ht="15" x14ac:dyDescent="0.2">
      <c r="A351" s="204"/>
      <c r="B351" s="204"/>
      <c r="C351" s="821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821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204"/>
      <c r="AC351" s="204"/>
      <c r="AD351" s="204"/>
      <c r="AE351" s="204"/>
      <c r="AF351" s="204"/>
      <c r="AG351" s="204"/>
      <c r="AH351" s="204"/>
      <c r="AI351" s="204"/>
      <c r="AJ351" s="204"/>
      <c r="AK351" s="821"/>
      <c r="AL351" s="204"/>
      <c r="AM351" s="204"/>
      <c r="AN351" s="204"/>
      <c r="AO351" s="204"/>
      <c r="AP351" s="204"/>
      <c r="AQ351" s="204"/>
      <c r="AR351" s="204"/>
      <c r="AS351" s="204"/>
      <c r="AT351" s="204"/>
      <c r="AU351" s="204"/>
      <c r="AV351" s="204"/>
      <c r="AW351" s="204"/>
      <c r="AX351" s="204"/>
      <c r="AY351" s="204"/>
      <c r="AZ351" s="204"/>
      <c r="BA351" s="204"/>
      <c r="BB351" s="204"/>
      <c r="BC351" s="204"/>
      <c r="BD351" s="204"/>
      <c r="BE351" s="204"/>
      <c r="BF351" s="204"/>
      <c r="BG351" s="204"/>
      <c r="BH351" s="204"/>
      <c r="BI351" s="204"/>
      <c r="BJ351" s="204"/>
      <c r="BK351" s="204"/>
      <c r="BL351" s="204"/>
      <c r="BM351" s="204"/>
      <c r="BN351" s="204"/>
      <c r="BO351" s="204"/>
      <c r="BP351" s="204"/>
    </row>
    <row r="352" spans="1:68" ht="15" x14ac:dyDescent="0.2">
      <c r="A352" s="204"/>
      <c r="B352" s="204"/>
      <c r="C352" s="821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821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204"/>
      <c r="AC352" s="204"/>
      <c r="AD352" s="204"/>
      <c r="AE352" s="204"/>
      <c r="AF352" s="204"/>
      <c r="AG352" s="204"/>
      <c r="AH352" s="204"/>
      <c r="AI352" s="204"/>
      <c r="AJ352" s="204"/>
      <c r="AK352" s="821"/>
      <c r="AL352" s="204"/>
      <c r="AM352" s="204"/>
      <c r="AN352" s="204"/>
      <c r="AO352" s="204"/>
      <c r="AP352" s="204"/>
      <c r="AQ352" s="204"/>
      <c r="AR352" s="204"/>
      <c r="AS352" s="204"/>
      <c r="AT352" s="204"/>
      <c r="AU352" s="204"/>
      <c r="AV352" s="204"/>
      <c r="AW352" s="204"/>
      <c r="AX352" s="204"/>
      <c r="AY352" s="204"/>
      <c r="AZ352" s="204"/>
      <c r="BA352" s="204"/>
      <c r="BB352" s="204"/>
      <c r="BC352" s="204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</row>
    <row r="353" spans="1:68" ht="15" x14ac:dyDescent="0.2">
      <c r="A353" s="204"/>
      <c r="B353" s="204"/>
      <c r="C353" s="821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821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204"/>
      <c r="AC353" s="204"/>
      <c r="AD353" s="204"/>
      <c r="AE353" s="204"/>
      <c r="AF353" s="204"/>
      <c r="AG353" s="204"/>
      <c r="AH353" s="204"/>
      <c r="AI353" s="204"/>
      <c r="AJ353" s="204"/>
      <c r="AK353" s="821"/>
      <c r="AL353" s="204"/>
      <c r="AM353" s="204"/>
      <c r="AN353" s="204"/>
      <c r="AO353" s="204"/>
      <c r="AP353" s="204"/>
      <c r="AQ353" s="204"/>
      <c r="AR353" s="204"/>
      <c r="AS353" s="204"/>
      <c r="AT353" s="204"/>
      <c r="AU353" s="204"/>
      <c r="AV353" s="204"/>
      <c r="AW353" s="204"/>
      <c r="AX353" s="204"/>
      <c r="AY353" s="204"/>
      <c r="AZ353" s="204"/>
      <c r="BA353" s="204"/>
      <c r="BB353" s="204"/>
      <c r="BC353" s="204"/>
      <c r="BD353" s="204"/>
      <c r="BE353" s="204"/>
      <c r="BF353" s="204"/>
      <c r="BG353" s="204"/>
      <c r="BH353" s="204"/>
      <c r="BI353" s="204"/>
      <c r="BJ353" s="204"/>
      <c r="BK353" s="204"/>
      <c r="BL353" s="204"/>
      <c r="BM353" s="204"/>
      <c r="BN353" s="204"/>
      <c r="BO353" s="204"/>
      <c r="BP353" s="204"/>
    </row>
    <row r="354" spans="1:68" ht="15" x14ac:dyDescent="0.2">
      <c r="A354" s="204"/>
      <c r="B354" s="204"/>
      <c r="C354" s="821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821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204"/>
      <c r="AC354" s="204"/>
      <c r="AD354" s="204"/>
      <c r="AE354" s="204"/>
      <c r="AF354" s="204"/>
      <c r="AG354" s="204"/>
      <c r="AH354" s="204"/>
      <c r="AI354" s="204"/>
      <c r="AJ354" s="204"/>
      <c r="AK354" s="821"/>
      <c r="AL354" s="204"/>
      <c r="AM354" s="204"/>
      <c r="AN354" s="204"/>
      <c r="AO354" s="204"/>
      <c r="AP354" s="204"/>
      <c r="AQ354" s="204"/>
      <c r="AR354" s="204"/>
      <c r="AS354" s="204"/>
      <c r="AT354" s="204"/>
      <c r="AU354" s="204"/>
      <c r="AV354" s="204"/>
      <c r="AW354" s="204"/>
      <c r="AX354" s="204"/>
      <c r="AY354" s="204"/>
      <c r="AZ354" s="204"/>
      <c r="BA354" s="204"/>
      <c r="BB354" s="204"/>
      <c r="BC354" s="204"/>
      <c r="BD354" s="204"/>
      <c r="BE354" s="204"/>
      <c r="BF354" s="204"/>
      <c r="BG354" s="204"/>
      <c r="BH354" s="204"/>
      <c r="BI354" s="204"/>
      <c r="BJ354" s="204"/>
      <c r="BK354" s="204"/>
      <c r="BL354" s="204"/>
      <c r="BM354" s="204"/>
      <c r="BN354" s="204"/>
      <c r="BO354" s="204"/>
      <c r="BP354" s="204"/>
    </row>
    <row r="355" spans="1:68" ht="15" x14ac:dyDescent="0.2">
      <c r="A355" s="204"/>
      <c r="B355" s="204"/>
      <c r="C355" s="821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821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204"/>
      <c r="AC355" s="204"/>
      <c r="AD355" s="204"/>
      <c r="AE355" s="204"/>
      <c r="AF355" s="204"/>
      <c r="AG355" s="204"/>
      <c r="AH355" s="204"/>
      <c r="AI355" s="204"/>
      <c r="AJ355" s="204"/>
      <c r="AK355" s="821"/>
      <c r="AL355" s="204"/>
      <c r="AM355" s="204"/>
      <c r="AN355" s="204"/>
      <c r="AO355" s="204"/>
      <c r="AP355" s="204"/>
      <c r="AQ355" s="204"/>
      <c r="AR355" s="204"/>
      <c r="AS355" s="204"/>
      <c r="AT355" s="204"/>
      <c r="AU355" s="204"/>
      <c r="AV355" s="204"/>
      <c r="AW355" s="204"/>
      <c r="AX355" s="204"/>
      <c r="AY355" s="204"/>
      <c r="AZ355" s="204"/>
      <c r="BA355" s="204"/>
      <c r="BB355" s="204"/>
      <c r="BC355" s="204"/>
      <c r="BD355" s="204"/>
      <c r="BE355" s="204"/>
      <c r="BF355" s="204"/>
      <c r="BG355" s="204"/>
      <c r="BH355" s="204"/>
      <c r="BI355" s="204"/>
      <c r="BJ355" s="204"/>
      <c r="BK355" s="204"/>
      <c r="BL355" s="204"/>
      <c r="BM355" s="204"/>
      <c r="BN355" s="204"/>
      <c r="BO355" s="204"/>
      <c r="BP355" s="204"/>
    </row>
    <row r="356" spans="1:68" ht="15" x14ac:dyDescent="0.2">
      <c r="A356" s="204"/>
      <c r="B356" s="204"/>
      <c r="C356" s="821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821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204"/>
      <c r="AK356" s="821"/>
      <c r="AL356" s="204"/>
      <c r="AM356" s="204"/>
      <c r="AN356" s="204"/>
      <c r="AO356" s="204"/>
      <c r="AP356" s="204"/>
      <c r="AQ356" s="204"/>
      <c r="AR356" s="204"/>
      <c r="AS356" s="204"/>
      <c r="AT356" s="204"/>
      <c r="AU356" s="204"/>
      <c r="AV356" s="204"/>
      <c r="AW356" s="204"/>
      <c r="AX356" s="204"/>
      <c r="AY356" s="204"/>
      <c r="AZ356" s="204"/>
      <c r="BA356" s="204"/>
      <c r="BB356" s="204"/>
      <c r="BC356" s="204"/>
      <c r="BD356" s="204"/>
      <c r="BE356" s="204"/>
      <c r="BF356" s="204"/>
      <c r="BG356" s="204"/>
      <c r="BH356" s="204"/>
      <c r="BI356" s="204"/>
      <c r="BJ356" s="204"/>
      <c r="BK356" s="204"/>
      <c r="BL356" s="204"/>
      <c r="BM356" s="204"/>
      <c r="BN356" s="204"/>
      <c r="BO356" s="204"/>
      <c r="BP356" s="204"/>
    </row>
    <row r="357" spans="1:68" ht="15" x14ac:dyDescent="0.2">
      <c r="A357" s="204"/>
      <c r="B357" s="204"/>
      <c r="C357" s="821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821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/>
      <c r="AF357" s="204"/>
      <c r="AG357" s="204"/>
      <c r="AH357" s="204"/>
      <c r="AI357" s="204"/>
      <c r="AJ357" s="204"/>
      <c r="AK357" s="821"/>
      <c r="AL357" s="204"/>
      <c r="AM357" s="204"/>
      <c r="AN357" s="204"/>
      <c r="AO357" s="204"/>
      <c r="AP357" s="204"/>
      <c r="AQ357" s="204"/>
      <c r="AR357" s="204"/>
      <c r="AS357" s="204"/>
      <c r="AT357" s="204"/>
      <c r="AU357" s="204"/>
      <c r="AV357" s="204"/>
      <c r="AW357" s="204"/>
      <c r="AX357" s="204"/>
      <c r="AY357" s="204"/>
      <c r="AZ357" s="204"/>
      <c r="BA357" s="204"/>
      <c r="BB357" s="204"/>
      <c r="BC357" s="204"/>
      <c r="BD357" s="204"/>
      <c r="BE357" s="204"/>
      <c r="BF357" s="204"/>
      <c r="BG357" s="204"/>
      <c r="BH357" s="204"/>
      <c r="BI357" s="204"/>
      <c r="BJ357" s="204"/>
      <c r="BK357" s="204"/>
      <c r="BL357" s="204"/>
      <c r="BM357" s="204"/>
      <c r="BN357" s="204"/>
      <c r="BO357" s="204"/>
      <c r="BP357" s="204"/>
    </row>
    <row r="358" spans="1:68" ht="15" x14ac:dyDescent="0.2">
      <c r="A358" s="204"/>
      <c r="B358" s="204"/>
      <c r="C358" s="821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821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204"/>
      <c r="AK358" s="821"/>
      <c r="AL358" s="204"/>
      <c r="AM358" s="204"/>
      <c r="AN358" s="204"/>
      <c r="AO358" s="204"/>
      <c r="AP358" s="204"/>
      <c r="AQ358" s="204"/>
      <c r="AR358" s="204"/>
      <c r="AS358" s="204"/>
      <c r="AT358" s="204"/>
      <c r="AU358" s="204"/>
      <c r="AV358" s="204"/>
      <c r="AW358" s="204"/>
      <c r="AX358" s="204"/>
      <c r="AY358" s="204"/>
      <c r="AZ358" s="204"/>
      <c r="BA358" s="204"/>
      <c r="BB358" s="204"/>
      <c r="BC358" s="204"/>
      <c r="BD358" s="204"/>
      <c r="BE358" s="204"/>
      <c r="BF358" s="204"/>
      <c r="BG358" s="204"/>
      <c r="BH358" s="204"/>
      <c r="BI358" s="204"/>
      <c r="BJ358" s="204"/>
      <c r="BK358" s="204"/>
      <c r="BL358" s="204"/>
      <c r="BM358" s="204"/>
      <c r="BN358" s="204"/>
      <c r="BO358" s="204"/>
      <c r="BP358" s="204"/>
    </row>
    <row r="359" spans="1:68" ht="15" x14ac:dyDescent="0.2">
      <c r="A359" s="204"/>
      <c r="B359" s="204"/>
      <c r="C359" s="821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821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/>
      <c r="AD359" s="204"/>
      <c r="AE359" s="204"/>
      <c r="AF359" s="204"/>
      <c r="AG359" s="204"/>
      <c r="AH359" s="204"/>
      <c r="AI359" s="204"/>
      <c r="AJ359" s="204"/>
      <c r="AK359" s="821"/>
      <c r="AL359" s="204"/>
      <c r="AM359" s="204"/>
      <c r="AN359" s="204"/>
      <c r="AO359" s="204"/>
      <c r="AP359" s="204"/>
      <c r="AQ359" s="204"/>
      <c r="AR359" s="204"/>
      <c r="AS359" s="204"/>
      <c r="AT359" s="204"/>
      <c r="AU359" s="204"/>
      <c r="AV359" s="204"/>
      <c r="AW359" s="204"/>
      <c r="AX359" s="204"/>
      <c r="AY359" s="204"/>
      <c r="AZ359" s="204"/>
      <c r="BA359" s="204"/>
      <c r="BB359" s="204"/>
      <c r="BC359" s="204"/>
      <c r="BD359" s="204"/>
      <c r="BE359" s="204"/>
      <c r="BF359" s="204"/>
      <c r="BG359" s="204"/>
      <c r="BH359" s="204"/>
      <c r="BI359" s="204"/>
      <c r="BJ359" s="204"/>
      <c r="BK359" s="204"/>
      <c r="BL359" s="204"/>
      <c r="BM359" s="204"/>
      <c r="BN359" s="204"/>
      <c r="BO359" s="204"/>
      <c r="BP359" s="204"/>
    </row>
    <row r="360" spans="1:68" ht="15" x14ac:dyDescent="0.2">
      <c r="A360" s="204"/>
      <c r="B360" s="204"/>
      <c r="C360" s="821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821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204"/>
      <c r="AC360" s="204"/>
      <c r="AD360" s="204"/>
      <c r="AE360" s="204"/>
      <c r="AF360" s="204"/>
      <c r="AG360" s="204"/>
      <c r="AH360" s="204"/>
      <c r="AI360" s="204"/>
      <c r="AJ360" s="204"/>
      <c r="AK360" s="821"/>
      <c r="AL360" s="204"/>
      <c r="AM360" s="204"/>
      <c r="AN360" s="204"/>
      <c r="AO360" s="204"/>
      <c r="AP360" s="204"/>
      <c r="AQ360" s="204"/>
      <c r="AR360" s="204"/>
      <c r="AS360" s="204"/>
      <c r="AT360" s="204"/>
      <c r="AU360" s="204"/>
      <c r="AV360" s="204"/>
      <c r="AW360" s="204"/>
      <c r="AX360" s="204"/>
      <c r="AY360" s="204"/>
      <c r="AZ360" s="204"/>
      <c r="BA360" s="204"/>
      <c r="BB360" s="204"/>
      <c r="BC360" s="204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</row>
    <row r="361" spans="1:68" ht="15" x14ac:dyDescent="0.2">
      <c r="A361" s="204"/>
      <c r="B361" s="204"/>
      <c r="C361" s="821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821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204"/>
      <c r="AC361" s="204"/>
      <c r="AD361" s="204"/>
      <c r="AE361" s="204"/>
      <c r="AF361" s="204"/>
      <c r="AG361" s="204"/>
      <c r="AH361" s="204"/>
      <c r="AI361" s="204"/>
      <c r="AJ361" s="204"/>
      <c r="AK361" s="821"/>
      <c r="AL361" s="204"/>
      <c r="AM361" s="204"/>
      <c r="AN361" s="204"/>
      <c r="AO361" s="204"/>
      <c r="AP361" s="204"/>
      <c r="AQ361" s="204"/>
      <c r="AR361" s="204"/>
      <c r="AS361" s="204"/>
      <c r="AT361" s="204"/>
      <c r="AU361" s="204"/>
      <c r="AV361" s="204"/>
      <c r="AW361" s="204"/>
      <c r="AX361" s="204"/>
      <c r="AY361" s="204"/>
      <c r="AZ361" s="204"/>
      <c r="BA361" s="204"/>
      <c r="BB361" s="204"/>
      <c r="BC361" s="204"/>
      <c r="BD361" s="204"/>
      <c r="BE361" s="204"/>
      <c r="BF361" s="204"/>
      <c r="BG361" s="204"/>
      <c r="BH361" s="204"/>
      <c r="BI361" s="204"/>
      <c r="BJ361" s="204"/>
      <c r="BK361" s="204"/>
      <c r="BL361" s="204"/>
      <c r="BM361" s="204"/>
      <c r="BN361" s="204"/>
      <c r="BO361" s="204"/>
      <c r="BP361" s="204"/>
    </row>
    <row r="362" spans="1:68" ht="15" x14ac:dyDescent="0.2">
      <c r="A362" s="204"/>
      <c r="B362" s="204"/>
      <c r="C362" s="821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821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204"/>
      <c r="AC362" s="204"/>
      <c r="AD362" s="204"/>
      <c r="AE362" s="204"/>
      <c r="AF362" s="204"/>
      <c r="AG362" s="204"/>
      <c r="AH362" s="204"/>
      <c r="AI362" s="204"/>
      <c r="AJ362" s="204"/>
      <c r="AK362" s="821"/>
      <c r="AL362" s="204"/>
      <c r="AM362" s="204"/>
      <c r="AN362" s="204"/>
      <c r="AO362" s="204"/>
      <c r="AP362" s="204"/>
      <c r="AQ362" s="204"/>
      <c r="AR362" s="204"/>
      <c r="AS362" s="204"/>
      <c r="AT362" s="204"/>
      <c r="AU362" s="204"/>
      <c r="AV362" s="204"/>
      <c r="AW362" s="204"/>
      <c r="AX362" s="204"/>
      <c r="AY362" s="204"/>
      <c r="AZ362" s="204"/>
      <c r="BA362" s="204"/>
      <c r="BB362" s="204"/>
      <c r="BC362" s="204"/>
      <c r="BD362" s="204"/>
      <c r="BE362" s="204"/>
      <c r="BF362" s="204"/>
      <c r="BG362" s="204"/>
      <c r="BH362" s="204"/>
      <c r="BI362" s="204"/>
      <c r="BJ362" s="204"/>
      <c r="BK362" s="204"/>
      <c r="BL362" s="204"/>
      <c r="BM362" s="204"/>
      <c r="BN362" s="204"/>
      <c r="BO362" s="204"/>
      <c r="BP362" s="204"/>
    </row>
    <row r="363" spans="1:68" ht="15" x14ac:dyDescent="0.2">
      <c r="A363" s="204"/>
      <c r="B363" s="204"/>
      <c r="C363" s="821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821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204"/>
      <c r="AC363" s="204"/>
      <c r="AD363" s="204"/>
      <c r="AE363" s="204"/>
      <c r="AF363" s="204"/>
      <c r="AG363" s="204"/>
      <c r="AH363" s="204"/>
      <c r="AI363" s="204"/>
      <c r="AJ363" s="204"/>
      <c r="AK363" s="821"/>
      <c r="AL363" s="204"/>
      <c r="AM363" s="204"/>
      <c r="AN363" s="204"/>
      <c r="AO363" s="204"/>
      <c r="AP363" s="204"/>
      <c r="AQ363" s="204"/>
      <c r="AR363" s="204"/>
      <c r="AS363" s="204"/>
      <c r="AT363" s="204"/>
      <c r="AU363" s="204"/>
      <c r="AV363" s="204"/>
      <c r="AW363" s="204"/>
      <c r="AX363" s="204"/>
      <c r="AY363" s="204"/>
      <c r="AZ363" s="204"/>
      <c r="BA363" s="204"/>
      <c r="BB363" s="204"/>
      <c r="BC363" s="204"/>
      <c r="BD363" s="204"/>
      <c r="BE363" s="204"/>
      <c r="BF363" s="204"/>
      <c r="BG363" s="204"/>
      <c r="BH363" s="204"/>
      <c r="BI363" s="204"/>
      <c r="BJ363" s="204"/>
      <c r="BK363" s="204"/>
      <c r="BL363" s="204"/>
      <c r="BM363" s="204"/>
      <c r="BN363" s="204"/>
      <c r="BO363" s="204"/>
      <c r="BP363" s="204"/>
    </row>
    <row r="364" spans="1:68" ht="15" x14ac:dyDescent="0.2">
      <c r="A364" s="204"/>
      <c r="B364" s="204"/>
      <c r="C364" s="821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821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204"/>
      <c r="AC364" s="204"/>
      <c r="AD364" s="204"/>
      <c r="AE364" s="204"/>
      <c r="AF364" s="204"/>
      <c r="AG364" s="204"/>
      <c r="AH364" s="204"/>
      <c r="AI364" s="204"/>
      <c r="AJ364" s="204"/>
      <c r="AK364" s="821"/>
      <c r="AL364" s="204"/>
      <c r="AM364" s="204"/>
      <c r="AN364" s="204"/>
      <c r="AO364" s="204"/>
      <c r="AP364" s="204"/>
      <c r="AQ364" s="204"/>
      <c r="AR364" s="204"/>
      <c r="AS364" s="204"/>
      <c r="AT364" s="204"/>
      <c r="AU364" s="204"/>
      <c r="AV364" s="204"/>
      <c r="AW364" s="204"/>
      <c r="AX364" s="204"/>
      <c r="AY364" s="204"/>
      <c r="AZ364" s="204"/>
      <c r="BA364" s="204"/>
      <c r="BB364" s="204"/>
      <c r="BC364" s="204"/>
      <c r="BD364" s="204"/>
      <c r="BE364" s="204"/>
      <c r="BF364" s="204"/>
      <c r="BG364" s="204"/>
      <c r="BH364" s="204"/>
      <c r="BI364" s="204"/>
      <c r="BJ364" s="204"/>
      <c r="BK364" s="204"/>
      <c r="BL364" s="204"/>
      <c r="BM364" s="204"/>
      <c r="BN364" s="204"/>
      <c r="BO364" s="204"/>
      <c r="BP364" s="204"/>
    </row>
    <row r="365" spans="1:68" ht="15" x14ac:dyDescent="0.2">
      <c r="A365" s="204"/>
      <c r="B365" s="204"/>
      <c r="C365" s="821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821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204"/>
      <c r="AC365" s="204"/>
      <c r="AD365" s="204"/>
      <c r="AE365" s="204"/>
      <c r="AF365" s="204"/>
      <c r="AG365" s="204"/>
      <c r="AH365" s="204"/>
      <c r="AI365" s="204"/>
      <c r="AJ365" s="204"/>
      <c r="AK365" s="821"/>
      <c r="AL365" s="204"/>
      <c r="AM365" s="204"/>
      <c r="AN365" s="204"/>
      <c r="AO365" s="204"/>
      <c r="AP365" s="204"/>
      <c r="AQ365" s="204"/>
      <c r="AR365" s="204"/>
      <c r="AS365" s="204"/>
      <c r="AT365" s="204"/>
      <c r="AU365" s="204"/>
      <c r="AV365" s="204"/>
      <c r="AW365" s="204"/>
      <c r="AX365" s="204"/>
      <c r="AY365" s="204"/>
      <c r="AZ365" s="204"/>
      <c r="BA365" s="204"/>
      <c r="BB365" s="204"/>
      <c r="BC365" s="204"/>
      <c r="BD365" s="204"/>
      <c r="BE365" s="204"/>
      <c r="BF365" s="204"/>
      <c r="BG365" s="204"/>
      <c r="BH365" s="204"/>
      <c r="BI365" s="204"/>
      <c r="BJ365" s="204"/>
      <c r="BK365" s="204"/>
      <c r="BL365" s="204"/>
      <c r="BM365" s="204"/>
      <c r="BN365" s="204"/>
      <c r="BO365" s="204"/>
      <c r="BP365" s="204"/>
    </row>
    <row r="366" spans="1:68" ht="15" x14ac:dyDescent="0.2">
      <c r="A366" s="204"/>
      <c r="B366" s="204"/>
      <c r="C366" s="821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821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821"/>
      <c r="AL366" s="204"/>
      <c r="AM366" s="204"/>
      <c r="AN366" s="204"/>
      <c r="AO366" s="204"/>
      <c r="AP366" s="204"/>
      <c r="AQ366" s="204"/>
      <c r="AR366" s="204"/>
      <c r="AS366" s="204"/>
      <c r="AT366" s="204"/>
      <c r="AU366" s="204"/>
      <c r="AV366" s="204"/>
      <c r="AW366" s="204"/>
      <c r="AX366" s="204"/>
      <c r="AY366" s="204"/>
      <c r="AZ366" s="204"/>
      <c r="BA366" s="204"/>
      <c r="BB366" s="204"/>
      <c r="BC366" s="204"/>
      <c r="BD366" s="204"/>
      <c r="BE366" s="204"/>
      <c r="BF366" s="204"/>
      <c r="BG366" s="204"/>
      <c r="BH366" s="204"/>
      <c r="BI366" s="204"/>
      <c r="BJ366" s="204"/>
      <c r="BK366" s="204"/>
      <c r="BL366" s="204"/>
      <c r="BM366" s="204"/>
      <c r="BN366" s="204"/>
      <c r="BO366" s="204"/>
      <c r="BP366" s="204"/>
    </row>
    <row r="367" spans="1:68" ht="15" x14ac:dyDescent="0.2">
      <c r="A367" s="204"/>
      <c r="B367" s="204"/>
      <c r="C367" s="821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821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821"/>
      <c r="AL367" s="204"/>
      <c r="AM367" s="204"/>
      <c r="AN367" s="204"/>
      <c r="AO367" s="204"/>
      <c r="AP367" s="204"/>
      <c r="AQ367" s="204"/>
      <c r="AR367" s="204"/>
      <c r="AS367" s="204"/>
      <c r="AT367" s="204"/>
      <c r="AU367" s="204"/>
      <c r="AV367" s="204"/>
      <c r="AW367" s="204"/>
      <c r="AX367" s="204"/>
      <c r="AY367" s="204"/>
      <c r="AZ367" s="204"/>
      <c r="BA367" s="204"/>
      <c r="BB367" s="204"/>
      <c r="BC367" s="204"/>
      <c r="BD367" s="204"/>
      <c r="BE367" s="204"/>
      <c r="BF367" s="204"/>
      <c r="BG367" s="204"/>
      <c r="BH367" s="204"/>
      <c r="BI367" s="204"/>
      <c r="BJ367" s="204"/>
      <c r="BK367" s="204"/>
      <c r="BL367" s="204"/>
      <c r="BM367" s="204"/>
      <c r="BN367" s="204"/>
      <c r="BO367" s="204"/>
      <c r="BP367" s="204"/>
    </row>
    <row r="368" spans="1:68" ht="15" x14ac:dyDescent="0.2">
      <c r="A368" s="204"/>
      <c r="B368" s="204"/>
      <c r="C368" s="821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821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821"/>
      <c r="AL368" s="204"/>
      <c r="AM368" s="204"/>
      <c r="AN368" s="204"/>
      <c r="AO368" s="204"/>
      <c r="AP368" s="204"/>
      <c r="AQ368" s="204"/>
      <c r="AR368" s="204"/>
      <c r="AS368" s="204"/>
      <c r="AT368" s="204"/>
      <c r="AU368" s="204"/>
      <c r="AV368" s="204"/>
      <c r="AW368" s="204"/>
      <c r="AX368" s="204"/>
      <c r="AY368" s="204"/>
      <c r="AZ368" s="204"/>
      <c r="BA368" s="204"/>
      <c r="BB368" s="204"/>
      <c r="BC368" s="204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</row>
    <row r="369" spans="1:68" ht="15" x14ac:dyDescent="0.2">
      <c r="A369" s="204"/>
      <c r="B369" s="204"/>
      <c r="C369" s="821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821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821"/>
      <c r="AL369" s="204"/>
      <c r="AM369" s="204"/>
      <c r="AN369" s="204"/>
      <c r="AO369" s="204"/>
      <c r="AP369" s="204"/>
      <c r="AQ369" s="204"/>
      <c r="AR369" s="204"/>
      <c r="AS369" s="204"/>
      <c r="AT369" s="204"/>
      <c r="AU369" s="204"/>
      <c r="AV369" s="204"/>
      <c r="AW369" s="204"/>
      <c r="AX369" s="204"/>
      <c r="AY369" s="204"/>
      <c r="AZ369" s="204"/>
      <c r="BA369" s="204"/>
      <c r="BB369" s="204"/>
      <c r="BC369" s="204"/>
      <c r="BD369" s="204"/>
      <c r="BE369" s="204"/>
      <c r="BF369" s="204"/>
      <c r="BG369" s="204"/>
      <c r="BH369" s="204"/>
      <c r="BI369" s="204"/>
      <c r="BJ369" s="204"/>
      <c r="BK369" s="204"/>
      <c r="BL369" s="204"/>
      <c r="BM369" s="204"/>
      <c r="BN369" s="204"/>
      <c r="BO369" s="204"/>
      <c r="BP369" s="204"/>
    </row>
    <row r="370" spans="1:68" ht="15" x14ac:dyDescent="0.2">
      <c r="A370" s="204"/>
      <c r="B370" s="204"/>
      <c r="C370" s="821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821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821"/>
      <c r="AL370" s="204"/>
      <c r="AM370" s="204"/>
      <c r="AN370" s="204"/>
      <c r="AO370" s="204"/>
      <c r="AP370" s="204"/>
      <c r="AQ370" s="204"/>
      <c r="AR370" s="204"/>
      <c r="AS370" s="204"/>
      <c r="AT370" s="204"/>
      <c r="AU370" s="204"/>
      <c r="AV370" s="204"/>
      <c r="AW370" s="204"/>
      <c r="AX370" s="204"/>
      <c r="AY370" s="204"/>
      <c r="AZ370" s="204"/>
      <c r="BA370" s="204"/>
      <c r="BB370" s="204"/>
      <c r="BC370" s="204"/>
      <c r="BD370" s="204"/>
      <c r="BE370" s="204"/>
      <c r="BF370" s="204"/>
      <c r="BG370" s="204"/>
      <c r="BH370" s="204"/>
      <c r="BI370" s="204"/>
      <c r="BJ370" s="204"/>
      <c r="BK370" s="204"/>
      <c r="BL370" s="204"/>
      <c r="BM370" s="204"/>
      <c r="BN370" s="204"/>
      <c r="BO370" s="204"/>
      <c r="BP370" s="204"/>
    </row>
    <row r="371" spans="1:68" ht="15" x14ac:dyDescent="0.2">
      <c r="A371" s="204"/>
      <c r="B371" s="204"/>
      <c r="C371" s="821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821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821"/>
      <c r="AL371" s="204"/>
      <c r="AM371" s="204"/>
      <c r="AN371" s="204"/>
      <c r="AO371" s="204"/>
      <c r="AP371" s="204"/>
      <c r="AQ371" s="204"/>
      <c r="AR371" s="204"/>
      <c r="AS371" s="204"/>
      <c r="AT371" s="204"/>
      <c r="AU371" s="204"/>
      <c r="AV371" s="204"/>
      <c r="AW371" s="204"/>
      <c r="AX371" s="204"/>
      <c r="AY371" s="204"/>
      <c r="AZ371" s="204"/>
      <c r="BA371" s="204"/>
      <c r="BB371" s="204"/>
      <c r="BC371" s="204"/>
      <c r="BD371" s="204"/>
      <c r="BE371" s="204"/>
      <c r="BF371" s="204"/>
      <c r="BG371" s="204"/>
      <c r="BH371" s="204"/>
      <c r="BI371" s="204"/>
      <c r="BJ371" s="204"/>
      <c r="BK371" s="204"/>
      <c r="BL371" s="204"/>
      <c r="BM371" s="204"/>
      <c r="BN371" s="204"/>
      <c r="BO371" s="204"/>
      <c r="BP371" s="204"/>
    </row>
    <row r="372" spans="1:68" ht="15" x14ac:dyDescent="0.2">
      <c r="A372" s="204"/>
      <c r="B372" s="204"/>
      <c r="C372" s="821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821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/>
      <c r="AF372" s="204"/>
      <c r="AG372" s="204"/>
      <c r="AH372" s="204"/>
      <c r="AI372" s="204"/>
      <c r="AJ372" s="204"/>
      <c r="AK372" s="821"/>
      <c r="AL372" s="204"/>
      <c r="AM372" s="204"/>
      <c r="AN372" s="204"/>
      <c r="AO372" s="204"/>
      <c r="AP372" s="204"/>
      <c r="AQ372" s="204"/>
      <c r="AR372" s="204"/>
      <c r="AS372" s="204"/>
      <c r="AT372" s="204"/>
      <c r="AU372" s="204"/>
      <c r="AV372" s="204"/>
      <c r="AW372" s="204"/>
      <c r="AX372" s="204"/>
      <c r="AY372" s="204"/>
      <c r="AZ372" s="204"/>
      <c r="BA372" s="204"/>
      <c r="BB372" s="204"/>
      <c r="BC372" s="204"/>
      <c r="BD372" s="204"/>
      <c r="BE372" s="204"/>
      <c r="BF372" s="204"/>
      <c r="BG372" s="204"/>
      <c r="BH372" s="204"/>
      <c r="BI372" s="204"/>
      <c r="BJ372" s="204"/>
      <c r="BK372" s="204"/>
      <c r="BL372" s="204"/>
      <c r="BM372" s="204"/>
      <c r="BN372" s="204"/>
      <c r="BO372" s="204"/>
      <c r="BP372" s="204"/>
    </row>
    <row r="373" spans="1:68" ht="15" x14ac:dyDescent="0.2">
      <c r="A373" s="204"/>
      <c r="B373" s="204"/>
      <c r="C373" s="821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821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821"/>
      <c r="AL373" s="204"/>
      <c r="AM373" s="204"/>
      <c r="AN373" s="204"/>
      <c r="AO373" s="204"/>
      <c r="AP373" s="204"/>
      <c r="AQ373" s="204"/>
      <c r="AR373" s="204"/>
      <c r="AS373" s="204"/>
      <c r="AT373" s="204"/>
      <c r="AU373" s="204"/>
      <c r="AV373" s="204"/>
      <c r="AW373" s="204"/>
      <c r="AX373" s="204"/>
      <c r="AY373" s="204"/>
      <c r="AZ373" s="204"/>
      <c r="BA373" s="204"/>
      <c r="BB373" s="204"/>
      <c r="BC373" s="204"/>
      <c r="BD373" s="204"/>
      <c r="BE373" s="204"/>
      <c r="BF373" s="204"/>
      <c r="BG373" s="204"/>
      <c r="BH373" s="204"/>
      <c r="BI373" s="204"/>
      <c r="BJ373" s="204"/>
      <c r="BK373" s="204"/>
      <c r="BL373" s="204"/>
      <c r="BM373" s="204"/>
      <c r="BN373" s="204"/>
      <c r="BO373" s="204"/>
      <c r="BP373" s="204"/>
    </row>
    <row r="374" spans="1:68" ht="15" x14ac:dyDescent="0.2">
      <c r="A374" s="204"/>
      <c r="B374" s="204"/>
      <c r="C374" s="821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821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  <c r="AD374" s="204"/>
      <c r="AE374" s="204"/>
      <c r="AF374" s="204"/>
      <c r="AG374" s="204"/>
      <c r="AH374" s="204"/>
      <c r="AI374" s="204"/>
      <c r="AJ374" s="204"/>
      <c r="AK374" s="821"/>
      <c r="AL374" s="204"/>
      <c r="AM374" s="204"/>
      <c r="AN374" s="204"/>
      <c r="AO374" s="204"/>
      <c r="AP374" s="204"/>
      <c r="AQ374" s="204"/>
      <c r="AR374" s="204"/>
      <c r="AS374" s="204"/>
      <c r="AT374" s="204"/>
      <c r="AU374" s="204"/>
      <c r="AV374" s="204"/>
      <c r="AW374" s="204"/>
      <c r="AX374" s="204"/>
      <c r="AY374" s="204"/>
      <c r="AZ374" s="204"/>
      <c r="BA374" s="204"/>
      <c r="BB374" s="204"/>
      <c r="BC374" s="204"/>
      <c r="BD374" s="204"/>
      <c r="BE374" s="204"/>
      <c r="BF374" s="204"/>
      <c r="BG374" s="204"/>
      <c r="BH374" s="204"/>
      <c r="BI374" s="204"/>
      <c r="BJ374" s="204"/>
      <c r="BK374" s="204"/>
      <c r="BL374" s="204"/>
      <c r="BM374" s="204"/>
      <c r="BN374" s="204"/>
      <c r="BO374" s="204"/>
      <c r="BP374" s="204"/>
    </row>
    <row r="375" spans="1:68" ht="15" x14ac:dyDescent="0.2">
      <c r="A375" s="204"/>
      <c r="B375" s="204"/>
      <c r="C375" s="821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821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204"/>
      <c r="AC375" s="204"/>
      <c r="AD375" s="204"/>
      <c r="AE375" s="204"/>
      <c r="AF375" s="204"/>
      <c r="AG375" s="204"/>
      <c r="AH375" s="204"/>
      <c r="AI375" s="204"/>
      <c r="AJ375" s="204"/>
      <c r="AK375" s="821"/>
      <c r="AL375" s="204"/>
      <c r="AM375" s="204"/>
      <c r="AN375" s="204"/>
      <c r="AO375" s="204"/>
      <c r="AP375" s="204"/>
      <c r="AQ375" s="204"/>
      <c r="AR375" s="204"/>
      <c r="AS375" s="204"/>
      <c r="AT375" s="204"/>
      <c r="AU375" s="204"/>
      <c r="AV375" s="204"/>
      <c r="AW375" s="204"/>
      <c r="AX375" s="204"/>
      <c r="AY375" s="204"/>
      <c r="AZ375" s="204"/>
      <c r="BA375" s="204"/>
      <c r="BB375" s="204"/>
      <c r="BC375" s="204"/>
      <c r="BD375" s="204"/>
      <c r="BE375" s="204"/>
      <c r="BF375" s="204"/>
      <c r="BG375" s="204"/>
      <c r="BH375" s="204"/>
      <c r="BI375" s="204"/>
      <c r="BJ375" s="204"/>
      <c r="BK375" s="204"/>
      <c r="BL375" s="204"/>
      <c r="BM375" s="204"/>
      <c r="BN375" s="204"/>
      <c r="BO375" s="204"/>
      <c r="BP375" s="204"/>
    </row>
    <row r="376" spans="1:68" ht="15" x14ac:dyDescent="0.2">
      <c r="A376" s="204"/>
      <c r="B376" s="204"/>
      <c r="C376" s="821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821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204"/>
      <c r="AC376" s="204"/>
      <c r="AD376" s="204"/>
      <c r="AE376" s="204"/>
      <c r="AF376" s="204"/>
      <c r="AG376" s="204"/>
      <c r="AH376" s="204"/>
      <c r="AI376" s="204"/>
      <c r="AJ376" s="204"/>
      <c r="AK376" s="821"/>
      <c r="AL376" s="204"/>
      <c r="AM376" s="204"/>
      <c r="AN376" s="204"/>
      <c r="AO376" s="204"/>
      <c r="AP376" s="204"/>
      <c r="AQ376" s="204"/>
      <c r="AR376" s="204"/>
      <c r="AS376" s="204"/>
      <c r="AT376" s="204"/>
      <c r="AU376" s="204"/>
      <c r="AV376" s="204"/>
      <c r="AW376" s="204"/>
      <c r="AX376" s="204"/>
      <c r="AY376" s="204"/>
      <c r="AZ376" s="204"/>
      <c r="BA376" s="204"/>
      <c r="BB376" s="204"/>
      <c r="BC376" s="204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</row>
    <row r="377" spans="1:68" ht="15" x14ac:dyDescent="0.2">
      <c r="A377" s="204"/>
      <c r="B377" s="204"/>
      <c r="C377" s="821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821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204"/>
      <c r="AC377" s="204"/>
      <c r="AD377" s="204"/>
      <c r="AE377" s="204"/>
      <c r="AF377" s="204"/>
      <c r="AG377" s="204"/>
      <c r="AH377" s="204"/>
      <c r="AI377" s="204"/>
      <c r="AJ377" s="204"/>
      <c r="AK377" s="821"/>
      <c r="AL377" s="204"/>
      <c r="AM377" s="204"/>
      <c r="AN377" s="204"/>
      <c r="AO377" s="204"/>
      <c r="AP377" s="204"/>
      <c r="AQ377" s="204"/>
      <c r="AR377" s="204"/>
      <c r="AS377" s="204"/>
      <c r="AT377" s="204"/>
      <c r="AU377" s="204"/>
      <c r="AV377" s="204"/>
      <c r="AW377" s="204"/>
      <c r="AX377" s="204"/>
      <c r="AY377" s="204"/>
      <c r="AZ377" s="204"/>
      <c r="BA377" s="204"/>
      <c r="BB377" s="204"/>
      <c r="BC377" s="204"/>
      <c r="BD377" s="204"/>
      <c r="BE377" s="204"/>
      <c r="BF377" s="204"/>
      <c r="BG377" s="204"/>
      <c r="BH377" s="204"/>
      <c r="BI377" s="204"/>
      <c r="BJ377" s="204"/>
      <c r="BK377" s="204"/>
      <c r="BL377" s="204"/>
      <c r="BM377" s="204"/>
      <c r="BN377" s="204"/>
      <c r="BO377" s="204"/>
      <c r="BP377" s="204"/>
    </row>
    <row r="378" spans="1:68" ht="15" x14ac:dyDescent="0.2">
      <c r="A378" s="204"/>
      <c r="B378" s="204"/>
      <c r="C378" s="821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821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204"/>
      <c r="AC378" s="204"/>
      <c r="AD378" s="204"/>
      <c r="AE378" s="204"/>
      <c r="AF378" s="204"/>
      <c r="AG378" s="204"/>
      <c r="AH378" s="204"/>
      <c r="AI378" s="204"/>
      <c r="AJ378" s="204"/>
      <c r="AK378" s="821"/>
      <c r="AL378" s="204"/>
      <c r="AM378" s="204"/>
      <c r="AN378" s="204"/>
      <c r="AO378" s="204"/>
      <c r="AP378" s="204"/>
      <c r="AQ378" s="204"/>
      <c r="AR378" s="204"/>
      <c r="AS378" s="204"/>
      <c r="AT378" s="204"/>
      <c r="AU378" s="204"/>
      <c r="AV378" s="204"/>
      <c r="AW378" s="204"/>
      <c r="AX378" s="204"/>
      <c r="AY378" s="204"/>
      <c r="AZ378" s="204"/>
      <c r="BA378" s="204"/>
      <c r="BB378" s="204"/>
      <c r="BC378" s="204"/>
      <c r="BD378" s="204"/>
      <c r="BE378" s="204"/>
      <c r="BF378" s="204"/>
      <c r="BG378" s="204"/>
      <c r="BH378" s="204"/>
      <c r="BI378" s="204"/>
      <c r="BJ378" s="204"/>
      <c r="BK378" s="204"/>
      <c r="BL378" s="204"/>
      <c r="BM378" s="204"/>
      <c r="BN378" s="204"/>
      <c r="BO378" s="204"/>
      <c r="BP378" s="204"/>
    </row>
    <row r="379" spans="1:68" ht="15" x14ac:dyDescent="0.2">
      <c r="A379" s="204"/>
      <c r="B379" s="204"/>
      <c r="C379" s="821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821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  <c r="AD379" s="204"/>
      <c r="AE379" s="204"/>
      <c r="AF379" s="204"/>
      <c r="AG379" s="204"/>
      <c r="AH379" s="204"/>
      <c r="AI379" s="204"/>
      <c r="AJ379" s="204"/>
      <c r="AK379" s="821"/>
      <c r="AL379" s="204"/>
      <c r="AM379" s="204"/>
      <c r="AN379" s="204"/>
      <c r="AO379" s="204"/>
      <c r="AP379" s="204"/>
      <c r="AQ379" s="204"/>
      <c r="AR379" s="204"/>
      <c r="AS379" s="204"/>
      <c r="AT379" s="204"/>
      <c r="AU379" s="204"/>
      <c r="AV379" s="204"/>
      <c r="AW379" s="204"/>
      <c r="AX379" s="204"/>
      <c r="AY379" s="204"/>
      <c r="AZ379" s="204"/>
      <c r="BA379" s="204"/>
      <c r="BB379" s="204"/>
      <c r="BC379" s="204"/>
      <c r="BD379" s="204"/>
      <c r="BE379" s="204"/>
      <c r="BF379" s="204"/>
      <c r="BG379" s="204"/>
      <c r="BH379" s="204"/>
      <c r="BI379" s="204"/>
      <c r="BJ379" s="204"/>
      <c r="BK379" s="204"/>
      <c r="BL379" s="204"/>
      <c r="BM379" s="204"/>
      <c r="BN379" s="204"/>
      <c r="BO379" s="204"/>
      <c r="BP379" s="204"/>
    </row>
    <row r="380" spans="1:68" ht="15" x14ac:dyDescent="0.2">
      <c r="A380" s="204"/>
      <c r="B380" s="204"/>
      <c r="C380" s="821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821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  <c r="AD380" s="204"/>
      <c r="AE380" s="204"/>
      <c r="AF380" s="204"/>
      <c r="AG380" s="204"/>
      <c r="AH380" s="204"/>
      <c r="AI380" s="204"/>
      <c r="AJ380" s="204"/>
      <c r="AK380" s="821"/>
      <c r="AL380" s="204"/>
      <c r="AM380" s="204"/>
      <c r="AN380" s="204"/>
      <c r="AO380" s="204"/>
      <c r="AP380" s="204"/>
      <c r="AQ380" s="204"/>
      <c r="AR380" s="204"/>
      <c r="AS380" s="204"/>
      <c r="AT380" s="204"/>
      <c r="AU380" s="204"/>
      <c r="AV380" s="204"/>
      <c r="AW380" s="204"/>
      <c r="AX380" s="204"/>
      <c r="AY380" s="204"/>
      <c r="AZ380" s="204"/>
      <c r="BA380" s="204"/>
      <c r="BB380" s="204"/>
      <c r="BC380" s="204"/>
      <c r="BD380" s="204"/>
      <c r="BE380" s="204"/>
      <c r="BF380" s="204"/>
      <c r="BG380" s="204"/>
      <c r="BH380" s="204"/>
      <c r="BI380" s="204"/>
      <c r="BJ380" s="204"/>
      <c r="BK380" s="204"/>
      <c r="BL380" s="204"/>
      <c r="BM380" s="204"/>
      <c r="BN380" s="204"/>
      <c r="BO380" s="204"/>
      <c r="BP380" s="204"/>
    </row>
    <row r="381" spans="1:68" ht="15" x14ac:dyDescent="0.2">
      <c r="A381" s="204"/>
      <c r="B381" s="204"/>
      <c r="C381" s="821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821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  <c r="AD381" s="204"/>
      <c r="AE381" s="204"/>
      <c r="AF381" s="204"/>
      <c r="AG381" s="204"/>
      <c r="AH381" s="204"/>
      <c r="AI381" s="204"/>
      <c r="AJ381" s="204"/>
      <c r="AK381" s="821"/>
      <c r="AL381" s="204"/>
      <c r="AM381" s="204"/>
      <c r="AN381" s="204"/>
      <c r="AO381" s="204"/>
      <c r="AP381" s="204"/>
      <c r="AQ381" s="204"/>
      <c r="AR381" s="204"/>
      <c r="AS381" s="204"/>
      <c r="AT381" s="204"/>
      <c r="AU381" s="204"/>
      <c r="AV381" s="204"/>
      <c r="AW381" s="204"/>
      <c r="AX381" s="204"/>
      <c r="AY381" s="204"/>
      <c r="AZ381" s="204"/>
      <c r="BA381" s="204"/>
      <c r="BB381" s="204"/>
      <c r="BC381" s="204"/>
      <c r="BD381" s="204"/>
      <c r="BE381" s="204"/>
      <c r="BF381" s="204"/>
      <c r="BG381" s="204"/>
      <c r="BH381" s="204"/>
      <c r="BI381" s="204"/>
      <c r="BJ381" s="204"/>
      <c r="BK381" s="204"/>
      <c r="BL381" s="204"/>
      <c r="BM381" s="204"/>
      <c r="BN381" s="204"/>
      <c r="BO381" s="204"/>
      <c r="BP381" s="204"/>
    </row>
    <row r="382" spans="1:68" ht="15" x14ac:dyDescent="0.2">
      <c r="A382" s="204"/>
      <c r="B382" s="204"/>
      <c r="C382" s="821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821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  <c r="AD382" s="204"/>
      <c r="AE382" s="204"/>
      <c r="AF382" s="204"/>
      <c r="AG382" s="204"/>
      <c r="AH382" s="204"/>
      <c r="AI382" s="204"/>
      <c r="AJ382" s="204"/>
      <c r="AK382" s="821"/>
      <c r="AL382" s="204"/>
      <c r="AM382" s="204"/>
      <c r="AN382" s="204"/>
      <c r="AO382" s="204"/>
      <c r="AP382" s="204"/>
      <c r="AQ382" s="204"/>
      <c r="AR382" s="204"/>
      <c r="AS382" s="204"/>
      <c r="AT382" s="204"/>
      <c r="AU382" s="204"/>
      <c r="AV382" s="204"/>
      <c r="AW382" s="204"/>
      <c r="AX382" s="204"/>
      <c r="AY382" s="204"/>
      <c r="AZ382" s="204"/>
      <c r="BA382" s="204"/>
      <c r="BB382" s="204"/>
      <c r="BC382" s="204"/>
      <c r="BD382" s="204"/>
      <c r="BE382" s="204"/>
      <c r="BF382" s="204"/>
      <c r="BG382" s="204"/>
      <c r="BH382" s="204"/>
      <c r="BI382" s="204"/>
      <c r="BJ382" s="204"/>
      <c r="BK382" s="204"/>
      <c r="BL382" s="204"/>
      <c r="BM382" s="204"/>
      <c r="BN382" s="204"/>
      <c r="BO382" s="204"/>
      <c r="BP382" s="204"/>
    </row>
    <row r="383" spans="1:68" ht="15" x14ac:dyDescent="0.2">
      <c r="A383" s="204"/>
      <c r="B383" s="204"/>
      <c r="C383" s="821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821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821"/>
      <c r="AL383" s="204"/>
      <c r="AM383" s="204"/>
      <c r="AN383" s="204"/>
      <c r="AO383" s="204"/>
      <c r="AP383" s="204"/>
      <c r="AQ383" s="204"/>
      <c r="AR383" s="204"/>
      <c r="AS383" s="204"/>
      <c r="AT383" s="204"/>
      <c r="AU383" s="204"/>
      <c r="AV383" s="204"/>
      <c r="AW383" s="204"/>
      <c r="AX383" s="204"/>
      <c r="AY383" s="204"/>
      <c r="AZ383" s="204"/>
      <c r="BA383" s="204"/>
      <c r="BB383" s="204"/>
      <c r="BC383" s="204"/>
      <c r="BD383" s="204"/>
      <c r="BE383" s="204"/>
      <c r="BF383" s="204"/>
      <c r="BG383" s="204"/>
      <c r="BH383" s="204"/>
      <c r="BI383" s="204"/>
      <c r="BJ383" s="204"/>
      <c r="BK383" s="204"/>
      <c r="BL383" s="204"/>
      <c r="BM383" s="204"/>
      <c r="BN383" s="204"/>
      <c r="BO383" s="204"/>
      <c r="BP383" s="204"/>
    </row>
    <row r="384" spans="1:68" ht="15" x14ac:dyDescent="0.2">
      <c r="A384" s="204"/>
      <c r="B384" s="204"/>
      <c r="C384" s="821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821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821"/>
      <c r="AL384" s="204"/>
      <c r="AM384" s="204"/>
      <c r="AN384" s="204"/>
      <c r="AO384" s="204"/>
      <c r="AP384" s="204"/>
      <c r="AQ384" s="204"/>
      <c r="AR384" s="204"/>
      <c r="AS384" s="204"/>
      <c r="AT384" s="204"/>
      <c r="AU384" s="204"/>
      <c r="AV384" s="204"/>
      <c r="AW384" s="204"/>
      <c r="AX384" s="204"/>
      <c r="AY384" s="204"/>
      <c r="AZ384" s="204"/>
      <c r="BA384" s="204"/>
      <c r="BB384" s="204"/>
      <c r="BC384" s="204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</row>
    <row r="385" spans="1:68" ht="15" x14ac:dyDescent="0.2">
      <c r="A385" s="204"/>
      <c r="B385" s="204"/>
      <c r="C385" s="821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821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821"/>
      <c r="AL385" s="204"/>
      <c r="AM385" s="204"/>
      <c r="AN385" s="204"/>
      <c r="AO385" s="204"/>
      <c r="AP385" s="204"/>
      <c r="AQ385" s="204"/>
      <c r="AR385" s="204"/>
      <c r="AS385" s="204"/>
      <c r="AT385" s="204"/>
      <c r="AU385" s="204"/>
      <c r="AV385" s="204"/>
      <c r="AW385" s="204"/>
      <c r="AX385" s="204"/>
      <c r="AY385" s="204"/>
      <c r="AZ385" s="204"/>
      <c r="BA385" s="204"/>
      <c r="BB385" s="204"/>
      <c r="BC385" s="204"/>
      <c r="BD385" s="204"/>
      <c r="BE385" s="204"/>
      <c r="BF385" s="204"/>
      <c r="BG385" s="204"/>
      <c r="BH385" s="204"/>
      <c r="BI385" s="204"/>
      <c r="BJ385" s="204"/>
      <c r="BK385" s="204"/>
      <c r="BL385" s="204"/>
      <c r="BM385" s="204"/>
      <c r="BN385" s="204"/>
      <c r="BO385" s="204"/>
      <c r="BP385" s="204"/>
    </row>
    <row r="386" spans="1:68" ht="15" x14ac:dyDescent="0.2">
      <c r="A386" s="204"/>
      <c r="B386" s="204"/>
      <c r="C386" s="821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821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821"/>
      <c r="AL386" s="204"/>
      <c r="AM386" s="204"/>
      <c r="AN386" s="204"/>
      <c r="AO386" s="204"/>
      <c r="AP386" s="204"/>
      <c r="AQ386" s="204"/>
      <c r="AR386" s="204"/>
      <c r="AS386" s="204"/>
      <c r="AT386" s="204"/>
      <c r="AU386" s="204"/>
      <c r="AV386" s="204"/>
      <c r="AW386" s="204"/>
      <c r="AX386" s="204"/>
      <c r="AY386" s="204"/>
      <c r="AZ386" s="204"/>
      <c r="BA386" s="204"/>
      <c r="BB386" s="204"/>
      <c r="BC386" s="204"/>
      <c r="BD386" s="204"/>
      <c r="BE386" s="204"/>
      <c r="BF386" s="204"/>
      <c r="BG386" s="204"/>
      <c r="BH386" s="204"/>
      <c r="BI386" s="204"/>
      <c r="BJ386" s="204"/>
      <c r="BK386" s="204"/>
      <c r="BL386" s="204"/>
      <c r="BM386" s="204"/>
      <c r="BN386" s="204"/>
      <c r="BO386" s="204"/>
      <c r="BP386" s="204"/>
    </row>
    <row r="387" spans="1:68" ht="15" x14ac:dyDescent="0.2">
      <c r="A387" s="204"/>
      <c r="B387" s="204"/>
      <c r="C387" s="821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821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204"/>
      <c r="AC387" s="204"/>
      <c r="AD387" s="204"/>
      <c r="AE387" s="204"/>
      <c r="AF387" s="204"/>
      <c r="AG387" s="204"/>
      <c r="AH387" s="204"/>
      <c r="AI387" s="204"/>
      <c r="AJ387" s="204"/>
      <c r="AK387" s="821"/>
      <c r="AL387" s="204"/>
      <c r="AM387" s="204"/>
      <c r="AN387" s="204"/>
      <c r="AO387" s="204"/>
      <c r="AP387" s="204"/>
      <c r="AQ387" s="204"/>
      <c r="AR387" s="204"/>
      <c r="AS387" s="204"/>
      <c r="AT387" s="204"/>
      <c r="AU387" s="204"/>
      <c r="AV387" s="204"/>
      <c r="AW387" s="204"/>
      <c r="AX387" s="204"/>
      <c r="AY387" s="204"/>
      <c r="AZ387" s="204"/>
      <c r="BA387" s="204"/>
      <c r="BB387" s="204"/>
      <c r="BC387" s="204"/>
      <c r="BD387" s="204"/>
      <c r="BE387" s="204"/>
      <c r="BF387" s="204"/>
      <c r="BG387" s="204"/>
      <c r="BH387" s="204"/>
      <c r="BI387" s="204"/>
      <c r="BJ387" s="204"/>
      <c r="BK387" s="204"/>
      <c r="BL387" s="204"/>
      <c r="BM387" s="204"/>
      <c r="BN387" s="204"/>
      <c r="BO387" s="204"/>
      <c r="BP387" s="204"/>
    </row>
    <row r="388" spans="1:68" ht="15" x14ac:dyDescent="0.2">
      <c r="A388" s="204"/>
      <c r="B388" s="204"/>
      <c r="C388" s="821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821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204"/>
      <c r="AC388" s="204"/>
      <c r="AD388" s="204"/>
      <c r="AE388" s="204"/>
      <c r="AF388" s="204"/>
      <c r="AG388" s="204"/>
      <c r="AH388" s="204"/>
      <c r="AI388" s="204"/>
      <c r="AJ388" s="204"/>
      <c r="AK388" s="821"/>
      <c r="AL388" s="204"/>
      <c r="AM388" s="204"/>
      <c r="AN388" s="204"/>
      <c r="AO388" s="204"/>
      <c r="AP388" s="204"/>
      <c r="AQ388" s="204"/>
      <c r="AR388" s="204"/>
      <c r="AS388" s="204"/>
      <c r="AT388" s="204"/>
      <c r="AU388" s="204"/>
      <c r="AV388" s="204"/>
      <c r="AW388" s="204"/>
      <c r="AX388" s="204"/>
      <c r="AY388" s="204"/>
      <c r="AZ388" s="204"/>
      <c r="BA388" s="204"/>
      <c r="BB388" s="204"/>
      <c r="BC388" s="204"/>
      <c r="BD388" s="204"/>
      <c r="BE388" s="204"/>
      <c r="BF388" s="204"/>
      <c r="BG388" s="204"/>
      <c r="BH388" s="204"/>
      <c r="BI388" s="204"/>
      <c r="BJ388" s="204"/>
      <c r="BK388" s="204"/>
      <c r="BL388" s="204"/>
      <c r="BM388" s="204"/>
      <c r="BN388" s="204"/>
      <c r="BO388" s="204"/>
      <c r="BP388" s="204"/>
    </row>
    <row r="389" spans="1:68" ht="15" x14ac:dyDescent="0.2">
      <c r="A389" s="204"/>
      <c r="B389" s="204"/>
      <c r="C389" s="821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821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204"/>
      <c r="AC389" s="204"/>
      <c r="AD389" s="204"/>
      <c r="AE389" s="204"/>
      <c r="AF389" s="204"/>
      <c r="AG389" s="204"/>
      <c r="AH389" s="204"/>
      <c r="AI389" s="204"/>
      <c r="AJ389" s="204"/>
      <c r="AK389" s="821"/>
      <c r="AL389" s="204"/>
      <c r="AM389" s="204"/>
      <c r="AN389" s="204"/>
      <c r="AO389" s="204"/>
      <c r="AP389" s="204"/>
      <c r="AQ389" s="204"/>
      <c r="AR389" s="204"/>
      <c r="AS389" s="204"/>
      <c r="AT389" s="204"/>
      <c r="AU389" s="204"/>
      <c r="AV389" s="204"/>
      <c r="AW389" s="204"/>
      <c r="AX389" s="204"/>
      <c r="AY389" s="204"/>
      <c r="AZ389" s="204"/>
      <c r="BA389" s="204"/>
      <c r="BB389" s="204"/>
      <c r="BC389" s="204"/>
      <c r="BD389" s="204"/>
      <c r="BE389" s="204"/>
      <c r="BF389" s="204"/>
      <c r="BG389" s="204"/>
      <c r="BH389" s="204"/>
      <c r="BI389" s="204"/>
      <c r="BJ389" s="204"/>
      <c r="BK389" s="204"/>
      <c r="BL389" s="204"/>
      <c r="BM389" s="204"/>
      <c r="BN389" s="204"/>
      <c r="BO389" s="204"/>
      <c r="BP389" s="204"/>
    </row>
    <row r="390" spans="1:68" ht="15" x14ac:dyDescent="0.2">
      <c r="A390" s="204"/>
      <c r="B390" s="204"/>
      <c r="C390" s="821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821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204"/>
      <c r="AC390" s="204"/>
      <c r="AD390" s="204"/>
      <c r="AE390" s="204"/>
      <c r="AF390" s="204"/>
      <c r="AG390" s="204"/>
      <c r="AH390" s="204"/>
      <c r="AI390" s="204"/>
      <c r="AJ390" s="204"/>
      <c r="AK390" s="821"/>
      <c r="AL390" s="204"/>
      <c r="AM390" s="204"/>
      <c r="AN390" s="204"/>
      <c r="AO390" s="204"/>
      <c r="AP390" s="204"/>
      <c r="AQ390" s="204"/>
      <c r="AR390" s="204"/>
      <c r="AS390" s="204"/>
      <c r="AT390" s="204"/>
      <c r="AU390" s="204"/>
      <c r="AV390" s="204"/>
      <c r="AW390" s="204"/>
      <c r="AX390" s="204"/>
      <c r="AY390" s="204"/>
      <c r="AZ390" s="204"/>
      <c r="BA390" s="204"/>
      <c r="BB390" s="204"/>
      <c r="BC390" s="204"/>
      <c r="BD390" s="204"/>
      <c r="BE390" s="204"/>
      <c r="BF390" s="204"/>
      <c r="BG390" s="204"/>
      <c r="BH390" s="204"/>
      <c r="BI390" s="204"/>
      <c r="BJ390" s="204"/>
      <c r="BK390" s="204"/>
      <c r="BL390" s="204"/>
      <c r="BM390" s="204"/>
      <c r="BN390" s="204"/>
      <c r="BO390" s="204"/>
      <c r="BP390" s="204"/>
    </row>
    <row r="391" spans="1:68" ht="15" x14ac:dyDescent="0.2">
      <c r="A391" s="204"/>
      <c r="B391" s="204"/>
      <c r="C391" s="821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821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204"/>
      <c r="AC391" s="204"/>
      <c r="AD391" s="204"/>
      <c r="AE391" s="204"/>
      <c r="AF391" s="204"/>
      <c r="AG391" s="204"/>
      <c r="AH391" s="204"/>
      <c r="AI391" s="204"/>
      <c r="AJ391" s="204"/>
      <c r="AK391" s="821"/>
      <c r="AL391" s="204"/>
      <c r="AM391" s="204"/>
      <c r="AN391" s="204"/>
      <c r="AO391" s="204"/>
      <c r="AP391" s="204"/>
      <c r="AQ391" s="204"/>
      <c r="AR391" s="204"/>
      <c r="AS391" s="204"/>
      <c r="AT391" s="204"/>
      <c r="AU391" s="204"/>
      <c r="AV391" s="204"/>
      <c r="AW391" s="204"/>
      <c r="AX391" s="204"/>
      <c r="AY391" s="204"/>
      <c r="AZ391" s="204"/>
      <c r="BA391" s="204"/>
      <c r="BB391" s="204"/>
      <c r="BC391" s="204"/>
      <c r="BD391" s="204"/>
      <c r="BE391" s="204"/>
      <c r="BF391" s="204"/>
      <c r="BG391" s="204"/>
      <c r="BH391" s="204"/>
      <c r="BI391" s="204"/>
      <c r="BJ391" s="204"/>
      <c r="BK391" s="204"/>
      <c r="BL391" s="204"/>
      <c r="BM391" s="204"/>
      <c r="BN391" s="204"/>
      <c r="BO391" s="204"/>
      <c r="BP391" s="204"/>
    </row>
    <row r="392" spans="1:68" ht="15" x14ac:dyDescent="0.2">
      <c r="A392" s="204"/>
      <c r="B392" s="204"/>
      <c r="C392" s="821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821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204"/>
      <c r="AC392" s="204"/>
      <c r="AD392" s="204"/>
      <c r="AE392" s="204"/>
      <c r="AF392" s="204"/>
      <c r="AG392" s="204"/>
      <c r="AH392" s="204"/>
      <c r="AI392" s="204"/>
      <c r="AJ392" s="204"/>
      <c r="AK392" s="821"/>
      <c r="AL392" s="204"/>
      <c r="AM392" s="204"/>
      <c r="AN392" s="204"/>
      <c r="AO392" s="204"/>
      <c r="AP392" s="204"/>
      <c r="AQ392" s="204"/>
      <c r="AR392" s="204"/>
      <c r="AS392" s="204"/>
      <c r="AT392" s="204"/>
      <c r="AU392" s="204"/>
      <c r="AV392" s="204"/>
      <c r="AW392" s="204"/>
      <c r="AX392" s="204"/>
      <c r="AY392" s="204"/>
      <c r="AZ392" s="204"/>
      <c r="BA392" s="204"/>
      <c r="BB392" s="204"/>
      <c r="BC392" s="204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</row>
    <row r="393" spans="1:68" ht="15" x14ac:dyDescent="0.2">
      <c r="A393" s="204"/>
      <c r="B393" s="204"/>
      <c r="C393" s="821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821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204"/>
      <c r="AC393" s="204"/>
      <c r="AD393" s="204"/>
      <c r="AE393" s="204"/>
      <c r="AF393" s="204"/>
      <c r="AG393" s="204"/>
      <c r="AH393" s="204"/>
      <c r="AI393" s="204"/>
      <c r="AJ393" s="204"/>
      <c r="AK393" s="821"/>
      <c r="AL393" s="204"/>
      <c r="AM393" s="204"/>
      <c r="AN393" s="204"/>
      <c r="AO393" s="204"/>
      <c r="AP393" s="204"/>
      <c r="AQ393" s="204"/>
      <c r="AR393" s="204"/>
      <c r="AS393" s="204"/>
      <c r="AT393" s="204"/>
      <c r="AU393" s="204"/>
      <c r="AV393" s="204"/>
      <c r="AW393" s="204"/>
      <c r="AX393" s="204"/>
      <c r="AY393" s="204"/>
      <c r="AZ393" s="204"/>
      <c r="BA393" s="204"/>
      <c r="BB393" s="204"/>
      <c r="BC393" s="204"/>
      <c r="BD393" s="204"/>
      <c r="BE393" s="204"/>
      <c r="BF393" s="204"/>
      <c r="BG393" s="204"/>
      <c r="BH393" s="204"/>
      <c r="BI393" s="204"/>
      <c r="BJ393" s="204"/>
      <c r="BK393" s="204"/>
      <c r="BL393" s="204"/>
      <c r="BM393" s="204"/>
      <c r="BN393" s="204"/>
      <c r="BO393" s="204"/>
      <c r="BP393" s="204"/>
    </row>
    <row r="394" spans="1:68" ht="15" x14ac:dyDescent="0.2">
      <c r="A394" s="204"/>
      <c r="B394" s="204"/>
      <c r="C394" s="821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821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204"/>
      <c r="AC394" s="204"/>
      <c r="AD394" s="204"/>
      <c r="AE394" s="204"/>
      <c r="AF394" s="204"/>
      <c r="AG394" s="204"/>
      <c r="AH394" s="204"/>
      <c r="AI394" s="204"/>
      <c r="AJ394" s="204"/>
      <c r="AK394" s="821"/>
      <c r="AL394" s="204"/>
      <c r="AM394" s="204"/>
      <c r="AN394" s="204"/>
      <c r="AO394" s="204"/>
      <c r="AP394" s="204"/>
      <c r="AQ394" s="204"/>
      <c r="AR394" s="204"/>
      <c r="AS394" s="204"/>
      <c r="AT394" s="204"/>
      <c r="AU394" s="204"/>
      <c r="AV394" s="204"/>
      <c r="AW394" s="204"/>
      <c r="AX394" s="204"/>
      <c r="AY394" s="204"/>
      <c r="AZ394" s="204"/>
      <c r="BA394" s="204"/>
      <c r="BB394" s="204"/>
      <c r="BC394" s="204"/>
      <c r="BD394" s="204"/>
      <c r="BE394" s="204"/>
      <c r="BF394" s="204"/>
      <c r="BG394" s="204"/>
      <c r="BH394" s="204"/>
      <c r="BI394" s="204"/>
      <c r="BJ394" s="204"/>
      <c r="BK394" s="204"/>
      <c r="BL394" s="204"/>
      <c r="BM394" s="204"/>
      <c r="BN394" s="204"/>
      <c r="BO394" s="204"/>
      <c r="BP394" s="204"/>
    </row>
    <row r="395" spans="1:68" ht="15" x14ac:dyDescent="0.2">
      <c r="A395" s="204"/>
      <c r="B395" s="204"/>
      <c r="C395" s="821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821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204"/>
      <c r="AC395" s="204"/>
      <c r="AD395" s="204"/>
      <c r="AE395" s="204"/>
      <c r="AF395" s="204"/>
      <c r="AG395" s="204"/>
      <c r="AH395" s="204"/>
      <c r="AI395" s="204"/>
      <c r="AJ395" s="204"/>
      <c r="AK395" s="821"/>
      <c r="AL395" s="204"/>
      <c r="AM395" s="204"/>
      <c r="AN395" s="204"/>
      <c r="AO395" s="204"/>
      <c r="AP395" s="204"/>
      <c r="AQ395" s="204"/>
      <c r="AR395" s="204"/>
      <c r="AS395" s="204"/>
      <c r="AT395" s="204"/>
      <c r="AU395" s="204"/>
      <c r="AV395" s="204"/>
      <c r="AW395" s="204"/>
      <c r="AX395" s="204"/>
      <c r="AY395" s="204"/>
      <c r="AZ395" s="204"/>
      <c r="BA395" s="204"/>
      <c r="BB395" s="204"/>
      <c r="BC395" s="204"/>
      <c r="BD395" s="204"/>
      <c r="BE395" s="204"/>
      <c r="BF395" s="204"/>
      <c r="BG395" s="204"/>
      <c r="BH395" s="204"/>
      <c r="BI395" s="204"/>
      <c r="BJ395" s="204"/>
      <c r="BK395" s="204"/>
      <c r="BL395" s="204"/>
      <c r="BM395" s="204"/>
      <c r="BN395" s="204"/>
      <c r="BO395" s="204"/>
      <c r="BP395" s="204"/>
    </row>
    <row r="396" spans="1:68" ht="15" x14ac:dyDescent="0.2">
      <c r="A396" s="204"/>
      <c r="B396" s="204"/>
      <c r="C396" s="821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821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204"/>
      <c r="AC396" s="204"/>
      <c r="AD396" s="204"/>
      <c r="AE396" s="204"/>
      <c r="AF396" s="204"/>
      <c r="AG396" s="204"/>
      <c r="AH396" s="204"/>
      <c r="AI396" s="204"/>
      <c r="AJ396" s="204"/>
      <c r="AK396" s="821"/>
      <c r="AL396" s="204"/>
      <c r="AM396" s="204"/>
      <c r="AN396" s="204"/>
      <c r="AO396" s="204"/>
      <c r="AP396" s="204"/>
      <c r="AQ396" s="204"/>
      <c r="AR396" s="204"/>
      <c r="AS396" s="204"/>
      <c r="AT396" s="204"/>
      <c r="AU396" s="204"/>
      <c r="AV396" s="204"/>
      <c r="AW396" s="204"/>
      <c r="AX396" s="204"/>
      <c r="AY396" s="204"/>
      <c r="AZ396" s="204"/>
      <c r="BA396" s="204"/>
      <c r="BB396" s="204"/>
      <c r="BC396" s="204"/>
      <c r="BD396" s="204"/>
      <c r="BE396" s="204"/>
      <c r="BF396" s="204"/>
      <c r="BG396" s="204"/>
      <c r="BH396" s="204"/>
      <c r="BI396" s="204"/>
      <c r="BJ396" s="204"/>
      <c r="BK396" s="204"/>
      <c r="BL396" s="204"/>
      <c r="BM396" s="204"/>
      <c r="BN396" s="204"/>
      <c r="BO396" s="204"/>
      <c r="BP396" s="204"/>
    </row>
    <row r="397" spans="1:68" ht="15" x14ac:dyDescent="0.2">
      <c r="A397" s="204"/>
      <c r="B397" s="204"/>
      <c r="C397" s="821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821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204"/>
      <c r="AC397" s="204"/>
      <c r="AD397" s="204"/>
      <c r="AE397" s="204"/>
      <c r="AF397" s="204"/>
      <c r="AG397" s="204"/>
      <c r="AH397" s="204"/>
      <c r="AI397" s="204"/>
      <c r="AJ397" s="204"/>
      <c r="AK397" s="821"/>
      <c r="AL397" s="204"/>
      <c r="AM397" s="204"/>
      <c r="AN397" s="204"/>
      <c r="AO397" s="204"/>
      <c r="AP397" s="204"/>
      <c r="AQ397" s="204"/>
      <c r="AR397" s="204"/>
      <c r="AS397" s="204"/>
      <c r="AT397" s="204"/>
      <c r="AU397" s="204"/>
      <c r="AV397" s="204"/>
      <c r="AW397" s="204"/>
      <c r="AX397" s="204"/>
      <c r="AY397" s="204"/>
      <c r="AZ397" s="204"/>
      <c r="BA397" s="204"/>
      <c r="BB397" s="204"/>
      <c r="BC397" s="204"/>
      <c r="BD397" s="204"/>
      <c r="BE397" s="204"/>
      <c r="BF397" s="204"/>
      <c r="BG397" s="204"/>
      <c r="BH397" s="204"/>
      <c r="BI397" s="204"/>
      <c r="BJ397" s="204"/>
      <c r="BK397" s="204"/>
      <c r="BL397" s="204"/>
      <c r="BM397" s="204"/>
      <c r="BN397" s="204"/>
      <c r="BO397" s="204"/>
      <c r="BP397" s="204"/>
    </row>
    <row r="398" spans="1:68" ht="15" x14ac:dyDescent="0.2">
      <c r="A398" s="204"/>
      <c r="B398" s="204"/>
      <c r="C398" s="821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821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204"/>
      <c r="AC398" s="204"/>
      <c r="AD398" s="204"/>
      <c r="AE398" s="204"/>
      <c r="AF398" s="204"/>
      <c r="AG398" s="204"/>
      <c r="AH398" s="204"/>
      <c r="AI398" s="204"/>
      <c r="AJ398" s="204"/>
      <c r="AK398" s="821"/>
      <c r="AL398" s="204"/>
      <c r="AM398" s="204"/>
      <c r="AN398" s="204"/>
      <c r="AO398" s="204"/>
      <c r="AP398" s="204"/>
      <c r="AQ398" s="204"/>
      <c r="AR398" s="204"/>
      <c r="AS398" s="204"/>
      <c r="AT398" s="204"/>
      <c r="AU398" s="204"/>
      <c r="AV398" s="204"/>
      <c r="AW398" s="204"/>
      <c r="AX398" s="204"/>
      <c r="AY398" s="204"/>
      <c r="AZ398" s="204"/>
      <c r="BA398" s="204"/>
      <c r="BB398" s="204"/>
      <c r="BC398" s="204"/>
      <c r="BD398" s="204"/>
      <c r="BE398" s="204"/>
      <c r="BF398" s="204"/>
      <c r="BG398" s="204"/>
      <c r="BH398" s="204"/>
      <c r="BI398" s="204"/>
      <c r="BJ398" s="204"/>
      <c r="BK398" s="204"/>
      <c r="BL398" s="204"/>
      <c r="BM398" s="204"/>
      <c r="BN398" s="204"/>
      <c r="BO398" s="204"/>
      <c r="BP398" s="204"/>
    </row>
    <row r="399" spans="1:68" ht="15" x14ac:dyDescent="0.2">
      <c r="A399" s="204"/>
      <c r="B399" s="204"/>
      <c r="C399" s="821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821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204"/>
      <c r="AC399" s="204"/>
      <c r="AD399" s="204"/>
      <c r="AE399" s="204"/>
      <c r="AF399" s="204"/>
      <c r="AG399" s="204"/>
      <c r="AH399" s="204"/>
      <c r="AI399" s="204"/>
      <c r="AJ399" s="204"/>
      <c r="AK399" s="821"/>
      <c r="AL399" s="204"/>
      <c r="AM399" s="204"/>
      <c r="AN399" s="204"/>
      <c r="AO399" s="204"/>
      <c r="AP399" s="204"/>
      <c r="AQ399" s="204"/>
      <c r="AR399" s="204"/>
      <c r="AS399" s="204"/>
      <c r="AT399" s="204"/>
      <c r="AU399" s="204"/>
      <c r="AV399" s="204"/>
      <c r="AW399" s="204"/>
      <c r="AX399" s="204"/>
      <c r="AY399" s="204"/>
      <c r="AZ399" s="204"/>
      <c r="BA399" s="204"/>
      <c r="BB399" s="204"/>
      <c r="BC399" s="204"/>
      <c r="BD399" s="204"/>
      <c r="BE399" s="204"/>
      <c r="BF399" s="204"/>
      <c r="BG399" s="204"/>
      <c r="BH399" s="204"/>
      <c r="BI399" s="204"/>
      <c r="BJ399" s="204"/>
      <c r="BK399" s="204"/>
      <c r="BL399" s="204"/>
      <c r="BM399" s="204"/>
      <c r="BN399" s="204"/>
      <c r="BO399" s="204"/>
      <c r="BP399" s="204"/>
    </row>
    <row r="400" spans="1:68" ht="15" x14ac:dyDescent="0.2">
      <c r="A400" s="204"/>
      <c r="B400" s="204"/>
      <c r="C400" s="821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821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204"/>
      <c r="AC400" s="204"/>
      <c r="AD400" s="204"/>
      <c r="AE400" s="204"/>
      <c r="AF400" s="204"/>
      <c r="AG400" s="204"/>
      <c r="AH400" s="204"/>
      <c r="AI400" s="204"/>
      <c r="AJ400" s="204"/>
      <c r="AK400" s="821"/>
      <c r="AL400" s="204"/>
      <c r="AM400" s="204"/>
      <c r="AN400" s="204"/>
      <c r="AO400" s="204"/>
      <c r="AP400" s="204"/>
      <c r="AQ400" s="204"/>
      <c r="AR400" s="204"/>
      <c r="AS400" s="204"/>
      <c r="AT400" s="204"/>
      <c r="AU400" s="204"/>
      <c r="AV400" s="204"/>
      <c r="AW400" s="204"/>
      <c r="AX400" s="204"/>
      <c r="AY400" s="204"/>
      <c r="AZ400" s="204"/>
      <c r="BA400" s="204"/>
      <c r="BB400" s="204"/>
      <c r="BC400" s="204"/>
      <c r="BD400" s="204"/>
      <c r="BE400" s="204"/>
      <c r="BF400" s="204"/>
      <c r="BG400" s="204"/>
      <c r="BH400" s="204"/>
      <c r="BI400" s="204"/>
      <c r="BJ400" s="204"/>
      <c r="BK400" s="204"/>
      <c r="BL400" s="204"/>
      <c r="BM400" s="204"/>
      <c r="BN400" s="204"/>
      <c r="BO400" s="204"/>
      <c r="BP400" s="204"/>
    </row>
    <row r="401" spans="1:68" ht="15" x14ac:dyDescent="0.2">
      <c r="A401" s="204"/>
      <c r="B401" s="204"/>
      <c r="C401" s="821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821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204"/>
      <c r="AC401" s="204"/>
      <c r="AD401" s="204"/>
      <c r="AE401" s="204"/>
      <c r="AF401" s="204"/>
      <c r="AG401" s="204"/>
      <c r="AH401" s="204"/>
      <c r="AI401" s="204"/>
      <c r="AJ401" s="204"/>
      <c r="AK401" s="821"/>
      <c r="AL401" s="204"/>
      <c r="AM401" s="204"/>
      <c r="AN401" s="204"/>
      <c r="AO401" s="204"/>
      <c r="AP401" s="204"/>
      <c r="AQ401" s="204"/>
      <c r="AR401" s="204"/>
      <c r="AS401" s="204"/>
      <c r="AT401" s="204"/>
      <c r="AU401" s="204"/>
      <c r="AV401" s="204"/>
      <c r="AW401" s="204"/>
      <c r="AX401" s="204"/>
      <c r="AY401" s="204"/>
      <c r="AZ401" s="204"/>
      <c r="BA401" s="204"/>
      <c r="BB401" s="204"/>
      <c r="BC401" s="204"/>
      <c r="BD401" s="204"/>
      <c r="BE401" s="204"/>
      <c r="BF401" s="204"/>
      <c r="BG401" s="204"/>
      <c r="BH401" s="204"/>
      <c r="BI401" s="204"/>
      <c r="BJ401" s="204"/>
      <c r="BK401" s="204"/>
      <c r="BL401" s="204"/>
      <c r="BM401" s="204"/>
      <c r="BN401" s="204"/>
      <c r="BO401" s="204"/>
      <c r="BP401" s="204"/>
    </row>
    <row r="402" spans="1:68" ht="15" x14ac:dyDescent="0.2">
      <c r="A402" s="204"/>
      <c r="B402" s="204"/>
      <c r="C402" s="821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821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204"/>
      <c r="AC402" s="204"/>
      <c r="AD402" s="204"/>
      <c r="AE402" s="204"/>
      <c r="AF402" s="204"/>
      <c r="AG402" s="204"/>
      <c r="AH402" s="204"/>
      <c r="AI402" s="204"/>
      <c r="AJ402" s="204"/>
      <c r="AK402" s="821"/>
      <c r="AL402" s="204"/>
      <c r="AM402" s="204"/>
      <c r="AN402" s="204"/>
      <c r="AO402" s="204"/>
      <c r="AP402" s="204"/>
      <c r="AQ402" s="204"/>
      <c r="AR402" s="204"/>
      <c r="AS402" s="204"/>
      <c r="AT402" s="204"/>
      <c r="AU402" s="204"/>
      <c r="AV402" s="204"/>
      <c r="AW402" s="204"/>
      <c r="AX402" s="204"/>
      <c r="AY402" s="204"/>
      <c r="AZ402" s="204"/>
      <c r="BA402" s="204"/>
      <c r="BB402" s="204"/>
      <c r="BC402" s="204"/>
      <c r="BD402" s="204"/>
      <c r="BE402" s="204"/>
      <c r="BF402" s="204"/>
      <c r="BG402" s="204"/>
      <c r="BH402" s="204"/>
      <c r="BI402" s="204"/>
      <c r="BJ402" s="204"/>
      <c r="BK402" s="204"/>
      <c r="BL402" s="204"/>
      <c r="BM402" s="204"/>
      <c r="BN402" s="204"/>
      <c r="BO402" s="204"/>
      <c r="BP402" s="204"/>
    </row>
    <row r="403" spans="1:68" ht="15" x14ac:dyDescent="0.2">
      <c r="A403" s="204"/>
      <c r="B403" s="204"/>
      <c r="C403" s="821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821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204"/>
      <c r="AC403" s="204"/>
      <c r="AD403" s="204"/>
      <c r="AE403" s="204"/>
      <c r="AF403" s="204"/>
      <c r="AG403" s="204"/>
      <c r="AH403" s="204"/>
      <c r="AI403" s="204"/>
      <c r="AJ403" s="204"/>
      <c r="AK403" s="821"/>
      <c r="AL403" s="204"/>
      <c r="AM403" s="204"/>
      <c r="AN403" s="204"/>
      <c r="AO403" s="204"/>
      <c r="AP403" s="204"/>
      <c r="AQ403" s="204"/>
      <c r="AR403" s="204"/>
      <c r="AS403" s="204"/>
      <c r="AT403" s="204"/>
      <c r="AU403" s="204"/>
      <c r="AV403" s="204"/>
      <c r="AW403" s="204"/>
      <c r="AX403" s="204"/>
      <c r="AY403" s="204"/>
      <c r="AZ403" s="204"/>
      <c r="BA403" s="204"/>
      <c r="BB403" s="204"/>
      <c r="BC403" s="204"/>
      <c r="BD403" s="204"/>
      <c r="BE403" s="204"/>
      <c r="BF403" s="204"/>
      <c r="BG403" s="204"/>
      <c r="BH403" s="204"/>
      <c r="BI403" s="204"/>
      <c r="BJ403" s="204"/>
      <c r="BK403" s="204"/>
      <c r="BL403" s="204"/>
      <c r="BM403" s="204"/>
      <c r="BN403" s="204"/>
      <c r="BO403" s="204"/>
      <c r="BP403" s="204"/>
    </row>
    <row r="404" spans="1:68" ht="15" x14ac:dyDescent="0.2">
      <c r="A404" s="204"/>
      <c r="B404" s="204"/>
      <c r="C404" s="821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821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204"/>
      <c r="AC404" s="204"/>
      <c r="AD404" s="204"/>
      <c r="AE404" s="204"/>
      <c r="AF404" s="204"/>
      <c r="AG404" s="204"/>
      <c r="AH404" s="204"/>
      <c r="AI404" s="204"/>
      <c r="AJ404" s="204"/>
      <c r="AK404" s="821"/>
      <c r="AL404" s="204"/>
      <c r="AM404" s="204"/>
      <c r="AN404" s="204"/>
      <c r="AO404" s="204"/>
      <c r="AP404" s="204"/>
      <c r="AQ404" s="204"/>
      <c r="AR404" s="204"/>
      <c r="AS404" s="204"/>
      <c r="AT404" s="204"/>
      <c r="AU404" s="204"/>
      <c r="AV404" s="204"/>
      <c r="AW404" s="204"/>
      <c r="AX404" s="204"/>
      <c r="AY404" s="204"/>
      <c r="AZ404" s="204"/>
      <c r="BA404" s="204"/>
      <c r="BB404" s="204"/>
      <c r="BC404" s="204"/>
      <c r="BD404" s="204"/>
      <c r="BE404" s="204"/>
      <c r="BF404" s="204"/>
      <c r="BG404" s="204"/>
      <c r="BH404" s="204"/>
      <c r="BI404" s="204"/>
      <c r="BJ404" s="204"/>
      <c r="BK404" s="204"/>
      <c r="BL404" s="204"/>
      <c r="BM404" s="204"/>
      <c r="BN404" s="204"/>
      <c r="BO404" s="204"/>
      <c r="BP404" s="204"/>
    </row>
    <row r="405" spans="1:68" ht="15" x14ac:dyDescent="0.2">
      <c r="A405" s="204"/>
      <c r="B405" s="204"/>
      <c r="C405" s="821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821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204"/>
      <c r="AC405" s="204"/>
      <c r="AD405" s="204"/>
      <c r="AE405" s="204"/>
      <c r="AF405" s="204"/>
      <c r="AG405" s="204"/>
      <c r="AH405" s="204"/>
      <c r="AI405" s="204"/>
      <c r="AJ405" s="204"/>
      <c r="AK405" s="821"/>
      <c r="AL405" s="204"/>
      <c r="AM405" s="204"/>
      <c r="AN405" s="204"/>
      <c r="AO405" s="204"/>
      <c r="AP405" s="204"/>
      <c r="AQ405" s="204"/>
      <c r="AR405" s="204"/>
      <c r="AS405" s="204"/>
      <c r="AT405" s="204"/>
      <c r="AU405" s="204"/>
      <c r="AV405" s="204"/>
      <c r="AW405" s="204"/>
      <c r="AX405" s="204"/>
      <c r="AY405" s="204"/>
      <c r="AZ405" s="204"/>
      <c r="BA405" s="204"/>
      <c r="BB405" s="204"/>
      <c r="BC405" s="204"/>
      <c r="BD405" s="204"/>
      <c r="BE405" s="204"/>
      <c r="BF405" s="204"/>
      <c r="BG405" s="204"/>
      <c r="BH405" s="204"/>
      <c r="BI405" s="204"/>
      <c r="BJ405" s="204"/>
      <c r="BK405" s="204"/>
      <c r="BL405" s="204"/>
      <c r="BM405" s="204"/>
      <c r="BN405" s="204"/>
      <c r="BO405" s="204"/>
      <c r="BP405" s="204"/>
    </row>
    <row r="406" spans="1:68" ht="15" x14ac:dyDescent="0.2">
      <c r="A406" s="204"/>
      <c r="B406" s="204"/>
      <c r="C406" s="821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821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204"/>
      <c r="AC406" s="204"/>
      <c r="AD406" s="204"/>
      <c r="AE406" s="204"/>
      <c r="AF406" s="204"/>
      <c r="AG406" s="204"/>
      <c r="AH406" s="204"/>
      <c r="AI406" s="204"/>
      <c r="AJ406" s="204"/>
      <c r="AK406" s="821"/>
      <c r="AL406" s="204"/>
      <c r="AM406" s="204"/>
      <c r="AN406" s="204"/>
      <c r="AO406" s="204"/>
      <c r="AP406" s="204"/>
      <c r="AQ406" s="204"/>
      <c r="AR406" s="204"/>
      <c r="AS406" s="204"/>
      <c r="AT406" s="204"/>
      <c r="AU406" s="204"/>
      <c r="AV406" s="204"/>
      <c r="AW406" s="204"/>
      <c r="AX406" s="204"/>
      <c r="AY406" s="204"/>
      <c r="AZ406" s="204"/>
      <c r="BA406" s="204"/>
      <c r="BB406" s="204"/>
      <c r="BC406" s="204"/>
      <c r="BD406" s="204"/>
      <c r="BE406" s="204"/>
      <c r="BF406" s="204"/>
      <c r="BG406" s="204"/>
      <c r="BH406" s="204"/>
      <c r="BI406" s="204"/>
      <c r="BJ406" s="204"/>
      <c r="BK406" s="204"/>
      <c r="BL406" s="204"/>
      <c r="BM406" s="204"/>
      <c r="BN406" s="204"/>
      <c r="BO406" s="204"/>
      <c r="BP406" s="204"/>
    </row>
    <row r="407" spans="1:68" ht="15" x14ac:dyDescent="0.2">
      <c r="A407" s="204"/>
      <c r="B407" s="204"/>
      <c r="C407" s="821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821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204"/>
      <c r="AC407" s="204"/>
      <c r="AD407" s="204"/>
      <c r="AE407" s="204"/>
      <c r="AF407" s="204"/>
      <c r="AG407" s="204"/>
      <c r="AH407" s="204"/>
      <c r="AI407" s="204"/>
      <c r="AJ407" s="204"/>
      <c r="AK407" s="821"/>
      <c r="AL407" s="204"/>
      <c r="AM407" s="204"/>
      <c r="AN407" s="204"/>
      <c r="AO407" s="204"/>
      <c r="AP407" s="204"/>
      <c r="AQ407" s="204"/>
      <c r="AR407" s="204"/>
      <c r="AS407" s="204"/>
      <c r="AT407" s="204"/>
      <c r="AU407" s="204"/>
      <c r="AV407" s="204"/>
      <c r="AW407" s="204"/>
      <c r="AX407" s="204"/>
      <c r="AY407" s="204"/>
      <c r="AZ407" s="204"/>
      <c r="BA407" s="204"/>
      <c r="BB407" s="204"/>
      <c r="BC407" s="204"/>
      <c r="BD407" s="204"/>
      <c r="BE407" s="204"/>
      <c r="BF407" s="204"/>
      <c r="BG407" s="204"/>
      <c r="BH407" s="204"/>
      <c r="BI407" s="204"/>
      <c r="BJ407" s="204"/>
      <c r="BK407" s="204"/>
      <c r="BL407" s="204"/>
      <c r="BM407" s="204"/>
      <c r="BN407" s="204"/>
      <c r="BO407" s="204"/>
      <c r="BP407" s="204"/>
    </row>
    <row r="408" spans="1:68" ht="15" x14ac:dyDescent="0.2">
      <c r="A408" s="204"/>
      <c r="B408" s="204"/>
      <c r="C408" s="821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821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204"/>
      <c r="AC408" s="204"/>
      <c r="AD408" s="204"/>
      <c r="AE408" s="204"/>
      <c r="AF408" s="204"/>
      <c r="AG408" s="204"/>
      <c r="AH408" s="204"/>
      <c r="AI408" s="204"/>
      <c r="AJ408" s="204"/>
      <c r="AK408" s="821"/>
      <c r="AL408" s="204"/>
      <c r="AM408" s="204"/>
      <c r="AN408" s="204"/>
      <c r="AO408" s="204"/>
      <c r="AP408" s="204"/>
      <c r="AQ408" s="204"/>
      <c r="AR408" s="204"/>
      <c r="AS408" s="204"/>
      <c r="AT408" s="204"/>
      <c r="AU408" s="204"/>
      <c r="AV408" s="204"/>
      <c r="AW408" s="204"/>
      <c r="AX408" s="204"/>
      <c r="AY408" s="204"/>
      <c r="AZ408" s="204"/>
      <c r="BA408" s="204"/>
      <c r="BB408" s="204"/>
      <c r="BC408" s="204"/>
      <c r="BD408" s="204"/>
      <c r="BE408" s="204"/>
      <c r="BF408" s="204"/>
      <c r="BG408" s="204"/>
      <c r="BH408" s="204"/>
      <c r="BI408" s="204"/>
      <c r="BJ408" s="204"/>
      <c r="BK408" s="204"/>
      <c r="BL408" s="204"/>
      <c r="BM408" s="204"/>
      <c r="BN408" s="204"/>
      <c r="BO408" s="204"/>
      <c r="BP408" s="204"/>
    </row>
    <row r="409" spans="1:68" ht="15" x14ac:dyDescent="0.2">
      <c r="A409" s="204"/>
      <c r="B409" s="204"/>
      <c r="C409" s="821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821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204"/>
      <c r="AC409" s="204"/>
      <c r="AD409" s="204"/>
      <c r="AE409" s="204"/>
      <c r="AF409" s="204"/>
      <c r="AG409" s="204"/>
      <c r="AH409" s="204"/>
      <c r="AI409" s="204"/>
      <c r="AJ409" s="204"/>
      <c r="AK409" s="821"/>
      <c r="AL409" s="204"/>
      <c r="AM409" s="204"/>
      <c r="AN409" s="204"/>
      <c r="AO409" s="204"/>
      <c r="AP409" s="204"/>
      <c r="AQ409" s="204"/>
      <c r="AR409" s="204"/>
      <c r="AS409" s="204"/>
      <c r="AT409" s="204"/>
      <c r="AU409" s="204"/>
      <c r="AV409" s="204"/>
      <c r="AW409" s="204"/>
      <c r="AX409" s="204"/>
      <c r="AY409" s="204"/>
      <c r="AZ409" s="204"/>
      <c r="BA409" s="204"/>
      <c r="BB409" s="204"/>
      <c r="BC409" s="204"/>
      <c r="BD409" s="204"/>
      <c r="BE409" s="204"/>
      <c r="BF409" s="204"/>
      <c r="BG409" s="204"/>
      <c r="BH409" s="204"/>
      <c r="BI409" s="204"/>
      <c r="BJ409" s="204"/>
      <c r="BK409" s="204"/>
      <c r="BL409" s="204"/>
      <c r="BM409" s="204"/>
      <c r="BN409" s="204"/>
      <c r="BO409" s="204"/>
      <c r="BP409" s="204"/>
    </row>
    <row r="410" spans="1:68" ht="15" x14ac:dyDescent="0.2">
      <c r="A410" s="204"/>
      <c r="B410" s="204"/>
      <c r="C410" s="821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821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821"/>
      <c r="AL410" s="204"/>
      <c r="AM410" s="204"/>
      <c r="AN410" s="204"/>
      <c r="AO410" s="204"/>
      <c r="AP410" s="204"/>
      <c r="AQ410" s="204"/>
      <c r="AR410" s="204"/>
      <c r="AS410" s="204"/>
      <c r="AT410" s="204"/>
      <c r="AU410" s="204"/>
      <c r="AV410" s="204"/>
      <c r="AW410" s="204"/>
      <c r="AX410" s="204"/>
      <c r="AY410" s="204"/>
      <c r="AZ410" s="204"/>
      <c r="BA410" s="204"/>
      <c r="BB410" s="204"/>
      <c r="BC410" s="204"/>
      <c r="BD410" s="204"/>
      <c r="BE410" s="204"/>
      <c r="BF410" s="204"/>
      <c r="BG410" s="204"/>
      <c r="BH410" s="204"/>
      <c r="BI410" s="204"/>
      <c r="BJ410" s="204"/>
      <c r="BK410" s="204"/>
      <c r="BL410" s="204"/>
      <c r="BM410" s="204"/>
      <c r="BN410" s="204"/>
      <c r="BO410" s="204"/>
      <c r="BP410" s="204"/>
    </row>
    <row r="411" spans="1:68" ht="15" x14ac:dyDescent="0.2">
      <c r="A411" s="204"/>
      <c r="B411" s="204"/>
      <c r="C411" s="821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821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821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204"/>
      <c r="BN411" s="204"/>
      <c r="BO411" s="204"/>
      <c r="BP411" s="204"/>
    </row>
    <row r="412" spans="1:68" ht="15" x14ac:dyDescent="0.2">
      <c r="A412" s="204"/>
      <c r="B412" s="204"/>
      <c r="C412" s="821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821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821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204"/>
      <c r="BN412" s="204"/>
      <c r="BO412" s="204"/>
      <c r="BP412" s="204"/>
    </row>
    <row r="413" spans="1:68" ht="15" x14ac:dyDescent="0.2">
      <c r="A413" s="204"/>
      <c r="B413" s="204"/>
      <c r="C413" s="821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821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821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/>
      <c r="AV413" s="204"/>
      <c r="AW413" s="204"/>
      <c r="AX413" s="204"/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04"/>
      <c r="BN413" s="204"/>
      <c r="BO413" s="204"/>
      <c r="BP413" s="204"/>
    </row>
    <row r="414" spans="1:68" ht="15" x14ac:dyDescent="0.2">
      <c r="A414" s="204"/>
      <c r="B414" s="204"/>
      <c r="C414" s="821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821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821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/>
      <c r="AV414" s="204"/>
      <c r="AW414" s="204"/>
      <c r="AX414" s="204"/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204"/>
      <c r="BN414" s="204"/>
      <c r="BO414" s="204"/>
      <c r="BP414" s="204"/>
    </row>
    <row r="415" spans="1:68" ht="15" x14ac:dyDescent="0.2">
      <c r="A415" s="204"/>
      <c r="B415" s="204"/>
      <c r="C415" s="821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821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821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/>
      <c r="AV415" s="204"/>
      <c r="AW415" s="204"/>
      <c r="AX415" s="204"/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204"/>
      <c r="BN415" s="204"/>
      <c r="BO415" s="204"/>
      <c r="BP415" s="204"/>
    </row>
    <row r="416" spans="1:68" ht="15" x14ac:dyDescent="0.2">
      <c r="A416" s="204"/>
      <c r="B416" s="204"/>
      <c r="C416" s="821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821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821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/>
      <c r="AV416" s="204"/>
      <c r="AW416" s="204"/>
      <c r="AX416" s="204"/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204"/>
      <c r="BN416" s="204"/>
      <c r="BO416" s="204"/>
      <c r="BP416" s="204"/>
    </row>
    <row r="417" spans="1:68" ht="15" x14ac:dyDescent="0.2">
      <c r="A417" s="204"/>
      <c r="B417" s="204"/>
      <c r="C417" s="821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821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204"/>
      <c r="AC417" s="204"/>
      <c r="AD417" s="204"/>
      <c r="AE417" s="204"/>
      <c r="AF417" s="204"/>
      <c r="AG417" s="204"/>
      <c r="AH417" s="204"/>
      <c r="AI417" s="204"/>
      <c r="AJ417" s="204"/>
      <c r="AK417" s="821"/>
      <c r="AL417" s="204"/>
      <c r="AM417" s="204"/>
      <c r="AN417" s="204"/>
      <c r="AO417" s="204"/>
      <c r="AP417" s="204"/>
      <c r="AQ417" s="204"/>
      <c r="AR417" s="204"/>
      <c r="AS417" s="204"/>
      <c r="AT417" s="204"/>
      <c r="AU417" s="204"/>
      <c r="AV417" s="204"/>
      <c r="AW417" s="204"/>
      <c r="AX417" s="204"/>
      <c r="AY417" s="204"/>
      <c r="AZ417" s="204"/>
      <c r="BA417" s="204"/>
      <c r="BB417" s="204"/>
      <c r="BC417" s="204"/>
      <c r="BD417" s="204"/>
      <c r="BE417" s="204"/>
      <c r="BF417" s="204"/>
      <c r="BG417" s="204"/>
      <c r="BH417" s="204"/>
      <c r="BI417" s="204"/>
      <c r="BJ417" s="204"/>
      <c r="BK417" s="204"/>
      <c r="BL417" s="204"/>
      <c r="BM417" s="204"/>
      <c r="BN417" s="204"/>
      <c r="BO417" s="204"/>
      <c r="BP417" s="204"/>
    </row>
    <row r="418" spans="1:68" ht="15" x14ac:dyDescent="0.2">
      <c r="A418" s="204"/>
      <c r="B418" s="204"/>
      <c r="C418" s="821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821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204"/>
      <c r="AC418" s="204"/>
      <c r="AD418" s="204"/>
      <c r="AE418" s="204"/>
      <c r="AF418" s="204"/>
      <c r="AG418" s="204"/>
      <c r="AH418" s="204"/>
      <c r="AI418" s="204"/>
      <c r="AJ418" s="204"/>
      <c r="AK418" s="821"/>
      <c r="AL418" s="204"/>
      <c r="AM418" s="204"/>
      <c r="AN418" s="204"/>
      <c r="AO418" s="204"/>
      <c r="AP418" s="204"/>
      <c r="AQ418" s="204"/>
      <c r="AR418" s="204"/>
      <c r="AS418" s="204"/>
      <c r="AT418" s="204"/>
      <c r="AU418" s="204"/>
      <c r="AV418" s="204"/>
      <c r="AW418" s="204"/>
      <c r="AX418" s="204"/>
      <c r="AY418" s="204"/>
      <c r="AZ418" s="204"/>
      <c r="BA418" s="204"/>
      <c r="BB418" s="204"/>
      <c r="BC418" s="204"/>
      <c r="BD418" s="204"/>
      <c r="BE418" s="204"/>
      <c r="BF418" s="204"/>
      <c r="BG418" s="204"/>
      <c r="BH418" s="204"/>
      <c r="BI418" s="204"/>
      <c r="BJ418" s="204"/>
      <c r="BK418" s="204"/>
      <c r="BL418" s="204"/>
      <c r="BM418" s="204"/>
      <c r="BN418" s="204"/>
      <c r="BO418" s="204"/>
      <c r="BP418" s="204"/>
    </row>
    <row r="419" spans="1:68" ht="15" x14ac:dyDescent="0.2">
      <c r="A419" s="204"/>
      <c r="B419" s="204"/>
      <c r="C419" s="821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821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204"/>
      <c r="AC419" s="204"/>
      <c r="AD419" s="204"/>
      <c r="AE419" s="204"/>
      <c r="AF419" s="204"/>
      <c r="AG419" s="204"/>
      <c r="AH419" s="204"/>
      <c r="AI419" s="204"/>
      <c r="AJ419" s="204"/>
      <c r="AK419" s="821"/>
      <c r="AL419" s="204"/>
      <c r="AM419" s="204"/>
      <c r="AN419" s="204"/>
      <c r="AO419" s="204"/>
      <c r="AP419" s="204"/>
      <c r="AQ419" s="204"/>
      <c r="AR419" s="204"/>
      <c r="AS419" s="204"/>
      <c r="AT419" s="204"/>
      <c r="AU419" s="204"/>
      <c r="AV419" s="204"/>
      <c r="AW419" s="204"/>
      <c r="AX419" s="204"/>
      <c r="AY419" s="204"/>
      <c r="AZ419" s="204"/>
      <c r="BA419" s="204"/>
      <c r="BB419" s="204"/>
      <c r="BC419" s="204"/>
      <c r="BD419" s="204"/>
      <c r="BE419" s="204"/>
      <c r="BF419" s="204"/>
      <c r="BG419" s="204"/>
      <c r="BH419" s="204"/>
      <c r="BI419" s="204"/>
      <c r="BJ419" s="204"/>
      <c r="BK419" s="204"/>
      <c r="BL419" s="204"/>
      <c r="BM419" s="204"/>
      <c r="BN419" s="204"/>
      <c r="BO419" s="204"/>
      <c r="BP419" s="204"/>
    </row>
    <row r="420" spans="1:68" ht="15" x14ac:dyDescent="0.2">
      <c r="A420" s="204"/>
      <c r="B420" s="204"/>
      <c r="C420" s="821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821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204"/>
      <c r="AC420" s="204"/>
      <c r="AD420" s="204"/>
      <c r="AE420" s="204"/>
      <c r="AF420" s="204"/>
      <c r="AG420" s="204"/>
      <c r="AH420" s="204"/>
      <c r="AI420" s="204"/>
      <c r="AJ420" s="204"/>
      <c r="AK420" s="821"/>
      <c r="AL420" s="204"/>
      <c r="AM420" s="204"/>
      <c r="AN420" s="204"/>
      <c r="AO420" s="204"/>
      <c r="AP420" s="204"/>
      <c r="AQ420" s="204"/>
      <c r="AR420" s="204"/>
      <c r="AS420" s="204"/>
      <c r="AT420" s="204"/>
      <c r="AU420" s="204"/>
      <c r="AV420" s="204"/>
      <c r="AW420" s="204"/>
      <c r="AX420" s="204"/>
      <c r="AY420" s="204"/>
      <c r="AZ420" s="204"/>
      <c r="BA420" s="204"/>
      <c r="BB420" s="204"/>
      <c r="BC420" s="204"/>
      <c r="BD420" s="204"/>
      <c r="BE420" s="204"/>
      <c r="BF420" s="204"/>
      <c r="BG420" s="204"/>
      <c r="BH420" s="204"/>
      <c r="BI420" s="204"/>
      <c r="BJ420" s="204"/>
      <c r="BK420" s="204"/>
      <c r="BL420" s="204"/>
      <c r="BM420" s="204"/>
      <c r="BN420" s="204"/>
      <c r="BO420" s="204"/>
      <c r="BP420" s="204"/>
    </row>
    <row r="421" spans="1:68" ht="15" x14ac:dyDescent="0.2">
      <c r="A421" s="204"/>
      <c r="B421" s="204"/>
      <c r="C421" s="821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821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204"/>
      <c r="AC421" s="204"/>
      <c r="AD421" s="204"/>
      <c r="AE421" s="204"/>
      <c r="AF421" s="204"/>
      <c r="AG421" s="204"/>
      <c r="AH421" s="204"/>
      <c r="AI421" s="204"/>
      <c r="AJ421" s="204"/>
      <c r="AK421" s="821"/>
      <c r="AL421" s="204"/>
      <c r="AM421" s="204"/>
      <c r="AN421" s="204"/>
      <c r="AO421" s="204"/>
      <c r="AP421" s="204"/>
      <c r="AQ421" s="204"/>
      <c r="AR421" s="204"/>
      <c r="AS421" s="204"/>
      <c r="AT421" s="204"/>
      <c r="AU421" s="204"/>
      <c r="AV421" s="204"/>
      <c r="AW421" s="204"/>
      <c r="AX421" s="204"/>
      <c r="AY421" s="204"/>
      <c r="AZ421" s="204"/>
      <c r="BA421" s="204"/>
      <c r="BB421" s="204"/>
      <c r="BC421" s="204"/>
      <c r="BD421" s="204"/>
      <c r="BE421" s="204"/>
      <c r="BF421" s="204"/>
      <c r="BG421" s="204"/>
      <c r="BH421" s="204"/>
      <c r="BI421" s="204"/>
      <c r="BJ421" s="204"/>
      <c r="BK421" s="204"/>
      <c r="BL421" s="204"/>
      <c r="BM421" s="204"/>
      <c r="BN421" s="204"/>
      <c r="BO421" s="204"/>
      <c r="BP421" s="204"/>
    </row>
    <row r="422" spans="1:68" ht="15" x14ac:dyDescent="0.2">
      <c r="A422" s="204"/>
      <c r="B422" s="204"/>
      <c r="C422" s="821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821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204"/>
      <c r="AC422" s="204"/>
      <c r="AD422" s="204"/>
      <c r="AE422" s="204"/>
      <c r="AF422" s="204"/>
      <c r="AG422" s="204"/>
      <c r="AH422" s="204"/>
      <c r="AI422" s="204"/>
      <c r="AJ422" s="204"/>
      <c r="AK422" s="821"/>
      <c r="AL422" s="204"/>
      <c r="AM422" s="204"/>
      <c r="AN422" s="204"/>
      <c r="AO422" s="204"/>
      <c r="AP422" s="204"/>
      <c r="AQ422" s="204"/>
      <c r="AR422" s="204"/>
      <c r="AS422" s="204"/>
      <c r="AT422" s="204"/>
      <c r="AU422" s="204"/>
      <c r="AV422" s="204"/>
      <c r="AW422" s="204"/>
      <c r="AX422" s="204"/>
      <c r="AY422" s="204"/>
      <c r="AZ422" s="204"/>
      <c r="BA422" s="204"/>
      <c r="BB422" s="204"/>
      <c r="BC422" s="204"/>
      <c r="BD422" s="204"/>
      <c r="BE422" s="204"/>
      <c r="BF422" s="204"/>
      <c r="BG422" s="204"/>
      <c r="BH422" s="204"/>
      <c r="BI422" s="204"/>
      <c r="BJ422" s="204"/>
      <c r="BK422" s="204"/>
      <c r="BL422" s="204"/>
      <c r="BM422" s="204"/>
      <c r="BN422" s="204"/>
      <c r="BO422" s="204"/>
      <c r="BP422" s="204"/>
    </row>
    <row r="423" spans="1:68" ht="15" x14ac:dyDescent="0.2">
      <c r="A423" s="204"/>
      <c r="B423" s="204"/>
      <c r="C423" s="821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821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204"/>
      <c r="AC423" s="204"/>
      <c r="AD423" s="204"/>
      <c r="AE423" s="204"/>
      <c r="AF423" s="204"/>
      <c r="AG423" s="204"/>
      <c r="AH423" s="204"/>
      <c r="AI423" s="204"/>
      <c r="AJ423" s="204"/>
      <c r="AK423" s="821"/>
      <c r="AL423" s="204"/>
      <c r="AM423" s="204"/>
      <c r="AN423" s="204"/>
      <c r="AO423" s="204"/>
      <c r="AP423" s="204"/>
      <c r="AQ423" s="204"/>
      <c r="AR423" s="204"/>
      <c r="AS423" s="204"/>
      <c r="AT423" s="204"/>
      <c r="AU423" s="204"/>
      <c r="AV423" s="204"/>
      <c r="AW423" s="204"/>
      <c r="AX423" s="204"/>
      <c r="AY423" s="204"/>
      <c r="AZ423" s="204"/>
      <c r="BA423" s="204"/>
      <c r="BB423" s="204"/>
      <c r="BC423" s="204"/>
      <c r="BD423" s="204"/>
      <c r="BE423" s="204"/>
      <c r="BF423" s="204"/>
      <c r="BG423" s="204"/>
      <c r="BH423" s="204"/>
      <c r="BI423" s="204"/>
      <c r="BJ423" s="204"/>
      <c r="BK423" s="204"/>
      <c r="BL423" s="204"/>
      <c r="BM423" s="204"/>
      <c r="BN423" s="204"/>
      <c r="BO423" s="204"/>
      <c r="BP423" s="204"/>
    </row>
    <row r="424" spans="1:68" ht="15" x14ac:dyDescent="0.2">
      <c r="A424" s="204"/>
      <c r="B424" s="204"/>
      <c r="C424" s="821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821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204"/>
      <c r="AC424" s="204"/>
      <c r="AD424" s="204"/>
      <c r="AE424" s="204"/>
      <c r="AF424" s="204"/>
      <c r="AG424" s="204"/>
      <c r="AH424" s="204"/>
      <c r="AI424" s="204"/>
      <c r="AJ424" s="204"/>
      <c r="AK424" s="821"/>
      <c r="AL424" s="204"/>
      <c r="AM424" s="204"/>
      <c r="AN424" s="204"/>
      <c r="AO424" s="204"/>
      <c r="AP424" s="204"/>
      <c r="AQ424" s="204"/>
      <c r="AR424" s="204"/>
      <c r="AS424" s="204"/>
      <c r="AT424" s="204"/>
      <c r="AU424" s="204"/>
      <c r="AV424" s="204"/>
      <c r="AW424" s="204"/>
      <c r="AX424" s="204"/>
      <c r="AY424" s="204"/>
      <c r="AZ424" s="204"/>
      <c r="BA424" s="204"/>
      <c r="BB424" s="204"/>
      <c r="BC424" s="204"/>
      <c r="BD424" s="204"/>
      <c r="BE424" s="204"/>
      <c r="BF424" s="204"/>
      <c r="BG424" s="204"/>
      <c r="BH424" s="204"/>
      <c r="BI424" s="204"/>
      <c r="BJ424" s="204"/>
      <c r="BK424" s="204"/>
      <c r="BL424" s="204"/>
      <c r="BM424" s="204"/>
      <c r="BN424" s="204"/>
      <c r="BO424" s="204"/>
      <c r="BP424" s="204"/>
    </row>
    <row r="425" spans="1:68" ht="15" x14ac:dyDescent="0.2">
      <c r="A425" s="204"/>
      <c r="B425" s="204"/>
      <c r="C425" s="821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821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204"/>
      <c r="AD425" s="204"/>
      <c r="AE425" s="204"/>
      <c r="AF425" s="204"/>
      <c r="AG425" s="204"/>
      <c r="AH425" s="204"/>
      <c r="AI425" s="204"/>
      <c r="AJ425" s="204"/>
      <c r="AK425" s="821"/>
      <c r="AL425" s="204"/>
      <c r="AM425" s="204"/>
      <c r="AN425" s="204"/>
      <c r="AO425" s="204"/>
      <c r="AP425" s="204"/>
      <c r="AQ425" s="204"/>
      <c r="AR425" s="204"/>
      <c r="AS425" s="204"/>
      <c r="AT425" s="204"/>
      <c r="AU425" s="204"/>
      <c r="AV425" s="204"/>
      <c r="AW425" s="204"/>
      <c r="AX425" s="204"/>
      <c r="AY425" s="204"/>
      <c r="AZ425" s="204"/>
      <c r="BA425" s="204"/>
      <c r="BB425" s="204"/>
      <c r="BC425" s="204"/>
      <c r="BD425" s="204"/>
      <c r="BE425" s="204"/>
      <c r="BF425" s="204"/>
      <c r="BG425" s="204"/>
      <c r="BH425" s="204"/>
      <c r="BI425" s="204"/>
      <c r="BJ425" s="204"/>
      <c r="BK425" s="204"/>
      <c r="BL425" s="204"/>
      <c r="BM425" s="204"/>
      <c r="BN425" s="204"/>
      <c r="BO425" s="204"/>
      <c r="BP425" s="204"/>
    </row>
    <row r="426" spans="1:68" ht="15" x14ac:dyDescent="0.2">
      <c r="A426" s="204"/>
      <c r="B426" s="204"/>
      <c r="C426" s="821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821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821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04"/>
      <c r="BN426" s="204"/>
      <c r="BO426" s="204"/>
      <c r="BP426" s="204"/>
    </row>
    <row r="427" spans="1:68" ht="15" x14ac:dyDescent="0.2">
      <c r="A427" s="204"/>
      <c r="B427" s="204"/>
      <c r="C427" s="821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821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821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04"/>
      <c r="BN427" s="204"/>
      <c r="BO427" s="204"/>
      <c r="BP427" s="204"/>
    </row>
    <row r="428" spans="1:68" ht="15" x14ac:dyDescent="0.2">
      <c r="A428" s="204"/>
      <c r="B428" s="204"/>
      <c r="C428" s="821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821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821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04"/>
      <c r="BN428" s="204"/>
      <c r="BO428" s="204"/>
      <c r="BP428" s="204"/>
    </row>
    <row r="429" spans="1:68" ht="15" x14ac:dyDescent="0.2">
      <c r="A429" s="204"/>
      <c r="B429" s="204"/>
      <c r="C429" s="821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821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821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04"/>
      <c r="BN429" s="204"/>
      <c r="BO429" s="204"/>
      <c r="BP429" s="204"/>
    </row>
    <row r="430" spans="1:68" ht="15" x14ac:dyDescent="0.2">
      <c r="A430" s="204"/>
      <c r="B430" s="204"/>
      <c r="C430" s="821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821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821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04"/>
      <c r="BN430" s="204"/>
      <c r="BO430" s="204"/>
      <c r="BP430" s="204"/>
    </row>
    <row r="431" spans="1:68" ht="15" x14ac:dyDescent="0.2">
      <c r="A431" s="204"/>
      <c r="B431" s="204"/>
      <c r="C431" s="821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821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821"/>
      <c r="AL431" s="204"/>
      <c r="AM431" s="204"/>
      <c r="AN431" s="204"/>
      <c r="AO431" s="204"/>
      <c r="AP431" s="204"/>
      <c r="AQ431" s="204"/>
      <c r="AR431" s="204"/>
      <c r="AS431" s="204"/>
      <c r="AT431" s="204"/>
      <c r="AU431" s="204"/>
      <c r="AV431" s="204"/>
      <c r="AW431" s="204"/>
      <c r="AX431" s="204"/>
      <c r="AY431" s="204"/>
      <c r="AZ431" s="204"/>
      <c r="BA431" s="204"/>
      <c r="BB431" s="204"/>
      <c r="BC431" s="204"/>
      <c r="BD431" s="204"/>
      <c r="BE431" s="204"/>
      <c r="BF431" s="204"/>
      <c r="BG431" s="204"/>
      <c r="BH431" s="204"/>
      <c r="BI431" s="204"/>
      <c r="BJ431" s="204"/>
      <c r="BK431" s="204"/>
      <c r="BL431" s="204"/>
      <c r="BM431" s="204"/>
      <c r="BN431" s="204"/>
      <c r="BO431" s="204"/>
      <c r="BP431" s="204"/>
    </row>
    <row r="432" spans="1:68" ht="15" x14ac:dyDescent="0.2">
      <c r="A432" s="204"/>
      <c r="B432" s="204"/>
      <c r="C432" s="821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821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204"/>
      <c r="AC432" s="204"/>
      <c r="AD432" s="204"/>
      <c r="AE432" s="204"/>
      <c r="AF432" s="204"/>
      <c r="AG432" s="204"/>
      <c r="AH432" s="204"/>
      <c r="AI432" s="204"/>
      <c r="AJ432" s="204"/>
      <c r="AK432" s="821"/>
      <c r="AL432" s="204"/>
      <c r="AM432" s="204"/>
      <c r="AN432" s="204"/>
      <c r="AO432" s="204"/>
      <c r="AP432" s="204"/>
      <c r="AQ432" s="204"/>
      <c r="AR432" s="204"/>
      <c r="AS432" s="204"/>
      <c r="AT432" s="204"/>
      <c r="AU432" s="204"/>
      <c r="AV432" s="204"/>
      <c r="AW432" s="204"/>
      <c r="AX432" s="204"/>
      <c r="AY432" s="204"/>
      <c r="AZ432" s="204"/>
      <c r="BA432" s="204"/>
      <c r="BB432" s="204"/>
      <c r="BC432" s="204"/>
      <c r="BD432" s="204"/>
      <c r="BE432" s="204"/>
      <c r="BF432" s="204"/>
      <c r="BG432" s="204"/>
      <c r="BH432" s="204"/>
      <c r="BI432" s="204"/>
      <c r="BJ432" s="204"/>
      <c r="BK432" s="204"/>
      <c r="BL432" s="204"/>
      <c r="BM432" s="204"/>
      <c r="BN432" s="204"/>
      <c r="BO432" s="204"/>
      <c r="BP432" s="204"/>
    </row>
    <row r="433" spans="1:68" ht="15" x14ac:dyDescent="0.2">
      <c r="A433" s="204"/>
      <c r="B433" s="204"/>
      <c r="C433" s="821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821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204"/>
      <c r="AC433" s="204"/>
      <c r="AD433" s="204"/>
      <c r="AE433" s="204"/>
      <c r="AF433" s="204"/>
      <c r="AG433" s="204"/>
      <c r="AH433" s="204"/>
      <c r="AI433" s="204"/>
      <c r="AJ433" s="204"/>
      <c r="AK433" s="821"/>
      <c r="AL433" s="204"/>
      <c r="AM433" s="204"/>
      <c r="AN433" s="204"/>
      <c r="AO433" s="204"/>
      <c r="AP433" s="204"/>
      <c r="AQ433" s="204"/>
      <c r="AR433" s="204"/>
      <c r="AS433" s="204"/>
      <c r="AT433" s="204"/>
      <c r="AU433" s="204"/>
      <c r="AV433" s="204"/>
      <c r="AW433" s="204"/>
      <c r="AX433" s="204"/>
      <c r="AY433" s="204"/>
      <c r="AZ433" s="204"/>
      <c r="BA433" s="204"/>
      <c r="BB433" s="204"/>
      <c r="BC433" s="204"/>
      <c r="BD433" s="204"/>
      <c r="BE433" s="204"/>
      <c r="BF433" s="204"/>
      <c r="BG433" s="204"/>
      <c r="BH433" s="204"/>
      <c r="BI433" s="204"/>
      <c r="BJ433" s="204"/>
      <c r="BK433" s="204"/>
      <c r="BL433" s="204"/>
      <c r="BM433" s="204"/>
      <c r="BN433" s="204"/>
      <c r="BO433" s="204"/>
      <c r="BP433" s="204"/>
    </row>
    <row r="434" spans="1:68" ht="15" x14ac:dyDescent="0.2">
      <c r="A434" s="204"/>
      <c r="B434" s="204"/>
      <c r="C434" s="821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821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204"/>
      <c r="AC434" s="204"/>
      <c r="AD434" s="204"/>
      <c r="AE434" s="204"/>
      <c r="AF434" s="204"/>
      <c r="AG434" s="204"/>
      <c r="AH434" s="204"/>
      <c r="AI434" s="204"/>
      <c r="AJ434" s="204"/>
      <c r="AK434" s="821"/>
      <c r="AL434" s="204"/>
      <c r="AM434" s="204"/>
      <c r="AN434" s="204"/>
      <c r="AO434" s="204"/>
      <c r="AP434" s="204"/>
      <c r="AQ434" s="204"/>
      <c r="AR434" s="204"/>
      <c r="AS434" s="204"/>
      <c r="AT434" s="204"/>
      <c r="AU434" s="204"/>
      <c r="AV434" s="204"/>
      <c r="AW434" s="204"/>
      <c r="AX434" s="204"/>
      <c r="AY434" s="204"/>
      <c r="AZ434" s="204"/>
      <c r="BA434" s="204"/>
      <c r="BB434" s="204"/>
      <c r="BC434" s="204"/>
      <c r="BD434" s="204"/>
      <c r="BE434" s="204"/>
      <c r="BF434" s="204"/>
      <c r="BG434" s="204"/>
      <c r="BH434" s="204"/>
      <c r="BI434" s="204"/>
      <c r="BJ434" s="204"/>
      <c r="BK434" s="204"/>
      <c r="BL434" s="204"/>
      <c r="BM434" s="204"/>
      <c r="BN434" s="204"/>
      <c r="BO434" s="204"/>
      <c r="BP434" s="204"/>
    </row>
    <row r="435" spans="1:68" ht="15" x14ac:dyDescent="0.2">
      <c r="A435" s="204"/>
      <c r="B435" s="204"/>
      <c r="C435" s="821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821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204"/>
      <c r="AC435" s="204"/>
      <c r="AD435" s="204"/>
      <c r="AE435" s="204"/>
      <c r="AF435" s="204"/>
      <c r="AG435" s="204"/>
      <c r="AH435" s="204"/>
      <c r="AI435" s="204"/>
      <c r="AJ435" s="204"/>
      <c r="AK435" s="821"/>
      <c r="AL435" s="204"/>
      <c r="AM435" s="204"/>
      <c r="AN435" s="204"/>
      <c r="AO435" s="204"/>
      <c r="AP435" s="204"/>
      <c r="AQ435" s="204"/>
      <c r="AR435" s="204"/>
      <c r="AS435" s="204"/>
      <c r="AT435" s="204"/>
      <c r="AU435" s="204"/>
      <c r="AV435" s="204"/>
      <c r="AW435" s="204"/>
      <c r="AX435" s="204"/>
      <c r="AY435" s="204"/>
      <c r="AZ435" s="204"/>
      <c r="BA435" s="204"/>
      <c r="BB435" s="204"/>
      <c r="BC435" s="204"/>
      <c r="BD435" s="204"/>
      <c r="BE435" s="204"/>
      <c r="BF435" s="204"/>
      <c r="BG435" s="204"/>
      <c r="BH435" s="204"/>
      <c r="BI435" s="204"/>
      <c r="BJ435" s="204"/>
      <c r="BK435" s="204"/>
      <c r="BL435" s="204"/>
      <c r="BM435" s="204"/>
      <c r="BN435" s="204"/>
      <c r="BO435" s="204"/>
      <c r="BP435" s="204"/>
    </row>
    <row r="436" spans="1:68" ht="15" x14ac:dyDescent="0.2">
      <c r="A436" s="204"/>
      <c r="B436" s="204"/>
      <c r="C436" s="821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821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204"/>
      <c r="AC436" s="204"/>
      <c r="AD436" s="204"/>
      <c r="AE436" s="204"/>
      <c r="AF436" s="204"/>
      <c r="AG436" s="204"/>
      <c r="AH436" s="204"/>
      <c r="AI436" s="204"/>
      <c r="AJ436" s="204"/>
      <c r="AK436" s="821"/>
      <c r="AL436" s="204"/>
      <c r="AM436" s="204"/>
      <c r="AN436" s="204"/>
      <c r="AO436" s="204"/>
      <c r="AP436" s="204"/>
      <c r="AQ436" s="204"/>
      <c r="AR436" s="204"/>
      <c r="AS436" s="204"/>
      <c r="AT436" s="204"/>
      <c r="AU436" s="204"/>
      <c r="AV436" s="204"/>
      <c r="AW436" s="204"/>
      <c r="AX436" s="204"/>
      <c r="AY436" s="204"/>
      <c r="AZ436" s="204"/>
      <c r="BA436" s="204"/>
      <c r="BB436" s="204"/>
      <c r="BC436" s="204"/>
      <c r="BD436" s="204"/>
      <c r="BE436" s="204"/>
      <c r="BF436" s="204"/>
      <c r="BG436" s="204"/>
      <c r="BH436" s="204"/>
      <c r="BI436" s="204"/>
      <c r="BJ436" s="204"/>
      <c r="BK436" s="204"/>
      <c r="BL436" s="204"/>
      <c r="BM436" s="204"/>
      <c r="BN436" s="204"/>
      <c r="BO436" s="204"/>
      <c r="BP436" s="204"/>
    </row>
    <row r="437" spans="1:68" ht="15" x14ac:dyDescent="0.2">
      <c r="A437" s="204"/>
      <c r="B437" s="204"/>
      <c r="C437" s="821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821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204"/>
      <c r="AC437" s="204"/>
      <c r="AD437" s="204"/>
      <c r="AE437" s="204"/>
      <c r="AF437" s="204"/>
      <c r="AG437" s="204"/>
      <c r="AH437" s="204"/>
      <c r="AI437" s="204"/>
      <c r="AJ437" s="204"/>
      <c r="AK437" s="821"/>
      <c r="AL437" s="204"/>
      <c r="AM437" s="204"/>
      <c r="AN437" s="204"/>
      <c r="AO437" s="204"/>
      <c r="AP437" s="204"/>
      <c r="AQ437" s="204"/>
      <c r="AR437" s="204"/>
      <c r="AS437" s="204"/>
      <c r="AT437" s="204"/>
      <c r="AU437" s="204"/>
      <c r="AV437" s="204"/>
      <c r="AW437" s="204"/>
      <c r="AX437" s="204"/>
      <c r="AY437" s="204"/>
      <c r="AZ437" s="204"/>
      <c r="BA437" s="204"/>
      <c r="BB437" s="204"/>
      <c r="BC437" s="204"/>
      <c r="BD437" s="204"/>
      <c r="BE437" s="204"/>
      <c r="BF437" s="204"/>
      <c r="BG437" s="204"/>
      <c r="BH437" s="204"/>
      <c r="BI437" s="204"/>
      <c r="BJ437" s="204"/>
      <c r="BK437" s="204"/>
      <c r="BL437" s="204"/>
      <c r="BM437" s="204"/>
      <c r="BN437" s="204"/>
      <c r="BO437" s="204"/>
      <c r="BP437" s="204"/>
    </row>
    <row r="438" spans="1:68" ht="15" x14ac:dyDescent="0.2">
      <c r="A438" s="204"/>
      <c r="B438" s="204"/>
      <c r="C438" s="821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821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204"/>
      <c r="AC438" s="204"/>
      <c r="AD438" s="204"/>
      <c r="AE438" s="204"/>
      <c r="AF438" s="204"/>
      <c r="AG438" s="204"/>
      <c r="AH438" s="204"/>
      <c r="AI438" s="204"/>
      <c r="AJ438" s="204"/>
      <c r="AK438" s="821"/>
      <c r="AL438" s="204"/>
      <c r="AM438" s="204"/>
      <c r="AN438" s="204"/>
      <c r="AO438" s="204"/>
      <c r="AP438" s="204"/>
      <c r="AQ438" s="204"/>
      <c r="AR438" s="204"/>
      <c r="AS438" s="204"/>
      <c r="AT438" s="204"/>
      <c r="AU438" s="204"/>
      <c r="AV438" s="204"/>
      <c r="AW438" s="204"/>
      <c r="AX438" s="204"/>
      <c r="AY438" s="204"/>
      <c r="AZ438" s="204"/>
      <c r="BA438" s="204"/>
      <c r="BB438" s="204"/>
      <c r="BC438" s="204"/>
      <c r="BD438" s="204"/>
      <c r="BE438" s="204"/>
      <c r="BF438" s="204"/>
      <c r="BG438" s="204"/>
      <c r="BH438" s="204"/>
      <c r="BI438" s="204"/>
      <c r="BJ438" s="204"/>
      <c r="BK438" s="204"/>
      <c r="BL438" s="204"/>
      <c r="BM438" s="204"/>
      <c r="BN438" s="204"/>
      <c r="BO438" s="204"/>
      <c r="BP438" s="204"/>
    </row>
    <row r="439" spans="1:68" ht="15" x14ac:dyDescent="0.2">
      <c r="A439" s="204"/>
      <c r="B439" s="204"/>
      <c r="C439" s="821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821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821"/>
      <c r="AL439" s="204"/>
      <c r="AM439" s="204"/>
      <c r="AN439" s="204"/>
      <c r="AO439" s="204"/>
      <c r="AP439" s="204"/>
      <c r="AQ439" s="204"/>
      <c r="AR439" s="204"/>
      <c r="AS439" s="204"/>
      <c r="AT439" s="204"/>
      <c r="AU439" s="204"/>
      <c r="AV439" s="204"/>
      <c r="AW439" s="204"/>
      <c r="AX439" s="204"/>
      <c r="AY439" s="204"/>
      <c r="AZ439" s="204"/>
      <c r="BA439" s="204"/>
      <c r="BB439" s="204"/>
      <c r="BC439" s="204"/>
      <c r="BD439" s="204"/>
      <c r="BE439" s="204"/>
      <c r="BF439" s="204"/>
      <c r="BG439" s="204"/>
      <c r="BH439" s="204"/>
      <c r="BI439" s="204"/>
      <c r="BJ439" s="204"/>
      <c r="BK439" s="204"/>
      <c r="BL439" s="204"/>
      <c r="BM439" s="204"/>
      <c r="BN439" s="204"/>
      <c r="BO439" s="204"/>
      <c r="BP439" s="204"/>
    </row>
    <row r="440" spans="1:68" ht="15" x14ac:dyDescent="0.2">
      <c r="A440" s="204"/>
      <c r="B440" s="204"/>
      <c r="C440" s="821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821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821"/>
      <c r="AL440" s="204"/>
      <c r="AM440" s="204"/>
      <c r="AN440" s="204"/>
      <c r="AO440" s="204"/>
      <c r="AP440" s="204"/>
      <c r="AQ440" s="204"/>
      <c r="AR440" s="204"/>
      <c r="AS440" s="204"/>
      <c r="AT440" s="204"/>
      <c r="AU440" s="204"/>
      <c r="AV440" s="204"/>
      <c r="AW440" s="204"/>
      <c r="AX440" s="204"/>
      <c r="AY440" s="204"/>
      <c r="AZ440" s="204"/>
      <c r="BA440" s="204"/>
      <c r="BB440" s="204"/>
      <c r="BC440" s="204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</row>
    <row r="441" spans="1:68" ht="15" x14ac:dyDescent="0.2">
      <c r="A441" s="204"/>
      <c r="B441" s="204"/>
      <c r="C441" s="821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821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821"/>
      <c r="AL441" s="204"/>
      <c r="AM441" s="204"/>
      <c r="AN441" s="204"/>
      <c r="AO441" s="204"/>
      <c r="AP441" s="204"/>
      <c r="AQ441" s="204"/>
      <c r="AR441" s="204"/>
      <c r="AS441" s="204"/>
      <c r="AT441" s="204"/>
      <c r="AU441" s="204"/>
      <c r="AV441" s="204"/>
      <c r="AW441" s="204"/>
      <c r="AX441" s="204"/>
      <c r="AY441" s="204"/>
      <c r="AZ441" s="204"/>
      <c r="BA441" s="204"/>
      <c r="BB441" s="204"/>
      <c r="BC441" s="204"/>
      <c r="BD441" s="204"/>
      <c r="BE441" s="204"/>
      <c r="BF441" s="204"/>
      <c r="BG441" s="204"/>
      <c r="BH441" s="204"/>
      <c r="BI441" s="204"/>
      <c r="BJ441" s="204"/>
      <c r="BK441" s="204"/>
      <c r="BL441" s="204"/>
      <c r="BM441" s="204"/>
      <c r="BN441" s="204"/>
      <c r="BO441" s="204"/>
      <c r="BP441" s="204"/>
    </row>
    <row r="442" spans="1:68" ht="15" x14ac:dyDescent="0.2">
      <c r="A442" s="204"/>
      <c r="B442" s="204"/>
      <c r="C442" s="821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821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821"/>
      <c r="AL442" s="204"/>
      <c r="AM442" s="204"/>
      <c r="AN442" s="204"/>
      <c r="AO442" s="204"/>
      <c r="AP442" s="204"/>
      <c r="AQ442" s="204"/>
      <c r="AR442" s="204"/>
      <c r="AS442" s="204"/>
      <c r="AT442" s="204"/>
      <c r="AU442" s="204"/>
      <c r="AV442" s="204"/>
      <c r="AW442" s="204"/>
      <c r="AX442" s="204"/>
      <c r="AY442" s="204"/>
      <c r="AZ442" s="204"/>
      <c r="BA442" s="204"/>
      <c r="BB442" s="204"/>
      <c r="BC442" s="204"/>
      <c r="BD442" s="204"/>
      <c r="BE442" s="204"/>
      <c r="BF442" s="204"/>
      <c r="BG442" s="204"/>
      <c r="BH442" s="204"/>
      <c r="BI442" s="204"/>
      <c r="BJ442" s="204"/>
      <c r="BK442" s="204"/>
      <c r="BL442" s="204"/>
      <c r="BM442" s="204"/>
      <c r="BN442" s="204"/>
      <c r="BO442" s="204"/>
      <c r="BP442" s="204"/>
    </row>
    <row r="443" spans="1:68" ht="15" x14ac:dyDescent="0.2">
      <c r="A443" s="204"/>
      <c r="B443" s="204"/>
      <c r="C443" s="821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821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821"/>
      <c r="AL443" s="204"/>
      <c r="AM443" s="204"/>
      <c r="AN443" s="204"/>
      <c r="AO443" s="204"/>
      <c r="AP443" s="204"/>
      <c r="AQ443" s="204"/>
      <c r="AR443" s="204"/>
      <c r="AS443" s="204"/>
      <c r="AT443" s="204"/>
      <c r="AU443" s="204"/>
      <c r="AV443" s="204"/>
      <c r="AW443" s="204"/>
      <c r="AX443" s="204"/>
      <c r="AY443" s="204"/>
      <c r="AZ443" s="204"/>
      <c r="BA443" s="204"/>
      <c r="BB443" s="204"/>
      <c r="BC443" s="204"/>
      <c r="BD443" s="204"/>
      <c r="BE443" s="204"/>
      <c r="BF443" s="204"/>
      <c r="BG443" s="204"/>
      <c r="BH443" s="204"/>
      <c r="BI443" s="204"/>
      <c r="BJ443" s="204"/>
      <c r="BK443" s="204"/>
      <c r="BL443" s="204"/>
      <c r="BM443" s="204"/>
      <c r="BN443" s="204"/>
      <c r="BO443" s="204"/>
      <c r="BP443" s="204"/>
    </row>
    <row r="444" spans="1:68" ht="15" x14ac:dyDescent="0.2">
      <c r="A444" s="204"/>
      <c r="B444" s="204"/>
      <c r="C444" s="821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821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821"/>
      <c r="AL444" s="204"/>
      <c r="AM444" s="204"/>
      <c r="AN444" s="204"/>
      <c r="AO444" s="204"/>
      <c r="AP444" s="204"/>
      <c r="AQ444" s="204"/>
      <c r="AR444" s="204"/>
      <c r="AS444" s="204"/>
      <c r="AT444" s="204"/>
      <c r="AU444" s="204"/>
      <c r="AV444" s="204"/>
      <c r="AW444" s="204"/>
      <c r="AX444" s="204"/>
      <c r="AY444" s="204"/>
      <c r="AZ444" s="204"/>
      <c r="BA444" s="204"/>
      <c r="BB444" s="204"/>
      <c r="BC444" s="204"/>
      <c r="BD444" s="204"/>
      <c r="BE444" s="204"/>
      <c r="BF444" s="204"/>
      <c r="BG444" s="204"/>
      <c r="BH444" s="204"/>
      <c r="BI444" s="204"/>
      <c r="BJ444" s="204"/>
      <c r="BK444" s="204"/>
      <c r="BL444" s="204"/>
      <c r="BM444" s="204"/>
      <c r="BN444" s="204"/>
      <c r="BO444" s="204"/>
      <c r="BP444" s="204"/>
    </row>
    <row r="445" spans="1:68" ht="15" x14ac:dyDescent="0.2">
      <c r="A445" s="204"/>
      <c r="B445" s="204"/>
      <c r="C445" s="821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821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821"/>
      <c r="AL445" s="204"/>
      <c r="AM445" s="204"/>
      <c r="AN445" s="204"/>
      <c r="AO445" s="204"/>
      <c r="AP445" s="204"/>
      <c r="AQ445" s="204"/>
      <c r="AR445" s="204"/>
      <c r="AS445" s="204"/>
      <c r="AT445" s="204"/>
      <c r="AU445" s="204"/>
      <c r="AV445" s="204"/>
      <c r="AW445" s="204"/>
      <c r="AX445" s="204"/>
      <c r="AY445" s="204"/>
      <c r="AZ445" s="204"/>
      <c r="BA445" s="204"/>
      <c r="BB445" s="204"/>
      <c r="BC445" s="204"/>
      <c r="BD445" s="204"/>
      <c r="BE445" s="204"/>
      <c r="BF445" s="204"/>
      <c r="BG445" s="204"/>
      <c r="BH445" s="204"/>
      <c r="BI445" s="204"/>
      <c r="BJ445" s="204"/>
      <c r="BK445" s="204"/>
      <c r="BL445" s="204"/>
      <c r="BM445" s="204"/>
      <c r="BN445" s="204"/>
      <c r="BO445" s="204"/>
      <c r="BP445" s="204"/>
    </row>
    <row r="446" spans="1:68" ht="15" x14ac:dyDescent="0.2">
      <c r="A446" s="204"/>
      <c r="B446" s="204"/>
      <c r="C446" s="821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821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821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204"/>
      <c r="BN446" s="204"/>
      <c r="BO446" s="204"/>
      <c r="BP446" s="204"/>
    </row>
    <row r="447" spans="1:68" ht="15" x14ac:dyDescent="0.2">
      <c r="A447" s="204"/>
      <c r="B447" s="204"/>
      <c r="C447" s="821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821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821"/>
      <c r="AL447" s="204"/>
      <c r="AM447" s="204"/>
      <c r="AN447" s="204"/>
      <c r="AO447" s="204"/>
      <c r="AP447" s="204"/>
      <c r="AQ447" s="204"/>
      <c r="AR447" s="204"/>
      <c r="AS447" s="204"/>
      <c r="AT447" s="204"/>
      <c r="AU447" s="204"/>
      <c r="AV447" s="204"/>
      <c r="AW447" s="204"/>
      <c r="AX447" s="204"/>
      <c r="AY447" s="204"/>
      <c r="AZ447" s="204"/>
      <c r="BA447" s="204"/>
      <c r="BB447" s="204"/>
      <c r="BC447" s="204"/>
      <c r="BD447" s="204"/>
      <c r="BE447" s="204"/>
      <c r="BF447" s="204"/>
      <c r="BG447" s="204"/>
      <c r="BH447" s="204"/>
      <c r="BI447" s="204"/>
      <c r="BJ447" s="204"/>
      <c r="BK447" s="204"/>
      <c r="BL447" s="204"/>
      <c r="BM447" s="204"/>
      <c r="BN447" s="204"/>
      <c r="BO447" s="204"/>
      <c r="BP447" s="204"/>
    </row>
    <row r="448" spans="1:68" ht="15" x14ac:dyDescent="0.2">
      <c r="A448" s="204"/>
      <c r="B448" s="204"/>
      <c r="C448" s="821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821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821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</row>
    <row r="449" spans="1:68" ht="15" x14ac:dyDescent="0.2">
      <c r="A449" s="204"/>
      <c r="B449" s="204"/>
      <c r="C449" s="821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821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821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04"/>
      <c r="BN449" s="204"/>
      <c r="BO449" s="204"/>
      <c r="BP449" s="204"/>
    </row>
    <row r="450" spans="1:68" ht="15" x14ac:dyDescent="0.2">
      <c r="A450" s="204"/>
      <c r="B450" s="204"/>
      <c r="C450" s="821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821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  <c r="AA450" s="204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821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204"/>
      <c r="BN450" s="204"/>
      <c r="BO450" s="204"/>
      <c r="BP450" s="204"/>
    </row>
    <row r="451" spans="1:68" ht="15" x14ac:dyDescent="0.2">
      <c r="A451" s="204"/>
      <c r="B451" s="204"/>
      <c r="C451" s="821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821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  <c r="AA451" s="204"/>
      <c r="AB451" s="204"/>
      <c r="AC451" s="204"/>
      <c r="AD451" s="204"/>
      <c r="AE451" s="204"/>
      <c r="AF451" s="204"/>
      <c r="AG451" s="204"/>
      <c r="AH451" s="204"/>
      <c r="AI451" s="204"/>
      <c r="AJ451" s="204"/>
      <c r="AK451" s="821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204"/>
      <c r="BN451" s="204"/>
      <c r="BO451" s="204"/>
      <c r="BP451" s="204"/>
    </row>
    <row r="452" spans="1:68" ht="15" x14ac:dyDescent="0.2">
      <c r="A452" s="204"/>
      <c r="B452" s="204"/>
      <c r="C452" s="821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821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  <c r="AA452" s="204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821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204"/>
      <c r="BN452" s="204"/>
      <c r="BO452" s="204"/>
      <c r="BP452" s="204"/>
    </row>
    <row r="453" spans="1:68" ht="15" x14ac:dyDescent="0.2">
      <c r="A453" s="204"/>
      <c r="B453" s="204"/>
      <c r="C453" s="821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821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  <c r="AA453" s="204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821"/>
      <c r="AL453" s="204"/>
      <c r="AM453" s="204"/>
      <c r="AN453" s="204"/>
      <c r="AO453" s="204"/>
      <c r="AP453" s="204"/>
      <c r="AQ453" s="204"/>
      <c r="AR453" s="204"/>
      <c r="AS453" s="204"/>
      <c r="AT453" s="204"/>
      <c r="AU453" s="204"/>
      <c r="AV453" s="204"/>
      <c r="AW453" s="204"/>
      <c r="AX453" s="204"/>
      <c r="AY453" s="204"/>
      <c r="AZ453" s="204"/>
      <c r="BA453" s="204"/>
      <c r="BB453" s="204"/>
      <c r="BC453" s="204"/>
      <c r="BD453" s="204"/>
      <c r="BE453" s="204"/>
      <c r="BF453" s="204"/>
      <c r="BG453" s="204"/>
      <c r="BH453" s="204"/>
      <c r="BI453" s="204"/>
      <c r="BJ453" s="204"/>
      <c r="BK453" s="204"/>
      <c r="BL453" s="204"/>
      <c r="BM453" s="204"/>
      <c r="BN453" s="204"/>
      <c r="BO453" s="204"/>
      <c r="BP453" s="204"/>
    </row>
    <row r="454" spans="1:68" ht="15" x14ac:dyDescent="0.2">
      <c r="A454" s="204"/>
      <c r="B454" s="204"/>
      <c r="C454" s="821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821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821"/>
      <c r="AL454" s="204"/>
      <c r="AM454" s="204"/>
      <c r="AN454" s="204"/>
      <c r="AO454" s="204"/>
      <c r="AP454" s="204"/>
      <c r="AQ454" s="204"/>
      <c r="AR454" s="204"/>
      <c r="AS454" s="204"/>
      <c r="AT454" s="204"/>
      <c r="AU454" s="204"/>
      <c r="AV454" s="204"/>
      <c r="AW454" s="204"/>
      <c r="AX454" s="204"/>
      <c r="AY454" s="204"/>
      <c r="AZ454" s="204"/>
      <c r="BA454" s="204"/>
      <c r="BB454" s="204"/>
      <c r="BC454" s="204"/>
      <c r="BD454" s="204"/>
      <c r="BE454" s="204"/>
      <c r="BF454" s="204"/>
      <c r="BG454" s="204"/>
      <c r="BH454" s="204"/>
      <c r="BI454" s="204"/>
      <c r="BJ454" s="204"/>
      <c r="BK454" s="204"/>
      <c r="BL454" s="204"/>
      <c r="BM454" s="204"/>
      <c r="BN454" s="204"/>
      <c r="BO454" s="204"/>
      <c r="BP454" s="204"/>
    </row>
    <row r="455" spans="1:68" ht="15" x14ac:dyDescent="0.2">
      <c r="A455" s="204"/>
      <c r="B455" s="204"/>
      <c r="C455" s="821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821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821"/>
      <c r="AL455" s="204"/>
      <c r="AM455" s="204"/>
      <c r="AN455" s="204"/>
      <c r="AO455" s="204"/>
      <c r="AP455" s="204"/>
      <c r="AQ455" s="204"/>
      <c r="AR455" s="204"/>
      <c r="AS455" s="204"/>
      <c r="AT455" s="204"/>
      <c r="AU455" s="204"/>
      <c r="AV455" s="204"/>
      <c r="AW455" s="204"/>
      <c r="AX455" s="204"/>
      <c r="AY455" s="204"/>
      <c r="AZ455" s="204"/>
      <c r="BA455" s="204"/>
      <c r="BB455" s="204"/>
      <c r="BC455" s="204"/>
      <c r="BD455" s="204"/>
      <c r="BE455" s="204"/>
      <c r="BF455" s="204"/>
      <c r="BG455" s="204"/>
      <c r="BH455" s="204"/>
      <c r="BI455" s="204"/>
      <c r="BJ455" s="204"/>
      <c r="BK455" s="204"/>
      <c r="BL455" s="204"/>
      <c r="BM455" s="204"/>
      <c r="BN455" s="204"/>
      <c r="BO455" s="204"/>
      <c r="BP455" s="204"/>
    </row>
    <row r="456" spans="1:68" ht="15" x14ac:dyDescent="0.2">
      <c r="A456" s="204"/>
      <c r="B456" s="204"/>
      <c r="C456" s="821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821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821"/>
      <c r="AL456" s="204"/>
      <c r="AM456" s="204"/>
      <c r="AN456" s="204"/>
      <c r="AO456" s="204"/>
      <c r="AP456" s="204"/>
      <c r="AQ456" s="204"/>
      <c r="AR456" s="204"/>
      <c r="AS456" s="204"/>
      <c r="AT456" s="204"/>
      <c r="AU456" s="204"/>
      <c r="AV456" s="204"/>
      <c r="AW456" s="204"/>
      <c r="AX456" s="204"/>
      <c r="AY456" s="204"/>
      <c r="AZ456" s="204"/>
      <c r="BA456" s="204"/>
      <c r="BB456" s="204"/>
      <c r="BC456" s="204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</row>
    <row r="457" spans="1:68" ht="15" x14ac:dyDescent="0.2">
      <c r="A457" s="204"/>
      <c r="B457" s="204"/>
      <c r="C457" s="821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821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821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4"/>
      <c r="BN457" s="204"/>
      <c r="BO457" s="204"/>
      <c r="BP457" s="204"/>
    </row>
    <row r="458" spans="1:68" ht="15" x14ac:dyDescent="0.2">
      <c r="A458" s="204"/>
      <c r="B458" s="204"/>
      <c r="C458" s="821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821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821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4"/>
      <c r="BN458" s="204"/>
      <c r="BO458" s="204"/>
      <c r="BP458" s="204"/>
    </row>
    <row r="459" spans="1:68" ht="15" x14ac:dyDescent="0.2">
      <c r="A459" s="204"/>
      <c r="B459" s="204"/>
      <c r="C459" s="821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821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821"/>
      <c r="AL459" s="204"/>
      <c r="AM459" s="204"/>
      <c r="AN459" s="204"/>
      <c r="AO459" s="204"/>
      <c r="AP459" s="204"/>
      <c r="AQ459" s="204"/>
      <c r="AR459" s="204"/>
      <c r="AS459" s="204"/>
      <c r="AT459" s="204"/>
      <c r="AU459" s="204"/>
      <c r="AV459" s="204"/>
      <c r="AW459" s="204"/>
      <c r="AX459" s="204"/>
      <c r="AY459" s="204"/>
      <c r="AZ459" s="204"/>
      <c r="BA459" s="204"/>
      <c r="BB459" s="204"/>
      <c r="BC459" s="204"/>
      <c r="BD459" s="204"/>
      <c r="BE459" s="204"/>
      <c r="BF459" s="204"/>
      <c r="BG459" s="204"/>
      <c r="BH459" s="204"/>
      <c r="BI459" s="204"/>
      <c r="BJ459" s="204"/>
      <c r="BK459" s="204"/>
      <c r="BL459" s="204"/>
      <c r="BM459" s="204"/>
      <c r="BN459" s="204"/>
      <c r="BO459" s="204"/>
      <c r="BP459" s="204"/>
    </row>
    <row r="460" spans="1:68" ht="15" x14ac:dyDescent="0.2">
      <c r="A460" s="204"/>
      <c r="B460" s="204"/>
      <c r="C460" s="821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821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821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04"/>
      <c r="BN460" s="204"/>
      <c r="BO460" s="204"/>
      <c r="BP460" s="204"/>
    </row>
    <row r="461" spans="1:68" ht="15" x14ac:dyDescent="0.2">
      <c r="A461" s="204"/>
      <c r="B461" s="204"/>
      <c r="C461" s="821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821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821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04"/>
      <c r="BN461" s="204"/>
      <c r="BO461" s="204"/>
      <c r="BP461" s="204"/>
    </row>
    <row r="462" spans="1:68" ht="15" x14ac:dyDescent="0.2">
      <c r="A462" s="204"/>
      <c r="B462" s="204"/>
      <c r="C462" s="821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821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821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04"/>
      <c r="BN462" s="204"/>
      <c r="BO462" s="204"/>
      <c r="BP462" s="204"/>
    </row>
    <row r="463" spans="1:68" ht="15" x14ac:dyDescent="0.2">
      <c r="A463" s="204"/>
      <c r="B463" s="204"/>
      <c r="C463" s="821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821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821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04"/>
      <c r="BN463" s="204"/>
      <c r="BO463" s="204"/>
      <c r="BP463" s="204"/>
    </row>
    <row r="464" spans="1:68" ht="15" x14ac:dyDescent="0.2">
      <c r="A464" s="204"/>
      <c r="B464" s="204"/>
      <c r="C464" s="821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821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821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</row>
    <row r="465" spans="1:68" ht="15" x14ac:dyDescent="0.2">
      <c r="A465" s="204"/>
      <c r="B465" s="204"/>
      <c r="C465" s="821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821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821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04"/>
      <c r="BN465" s="204"/>
      <c r="BO465" s="204"/>
      <c r="BP465" s="204"/>
    </row>
    <row r="466" spans="1:68" ht="15" x14ac:dyDescent="0.2">
      <c r="A466" s="204"/>
      <c r="B466" s="204"/>
      <c r="C466" s="821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821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821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04"/>
      <c r="BN466" s="204"/>
      <c r="BO466" s="204"/>
      <c r="BP466" s="204"/>
    </row>
    <row r="467" spans="1:68" ht="15" x14ac:dyDescent="0.2">
      <c r="A467" s="204"/>
      <c r="B467" s="204"/>
      <c r="C467" s="821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821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821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04"/>
      <c r="BN467" s="204"/>
      <c r="BO467" s="204"/>
      <c r="BP467" s="204"/>
    </row>
    <row r="468" spans="1:68" ht="15" x14ac:dyDescent="0.2">
      <c r="A468" s="204"/>
      <c r="B468" s="204"/>
      <c r="C468" s="821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821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821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04"/>
      <c r="BN468" s="204"/>
      <c r="BO468" s="204"/>
      <c r="BP468" s="204"/>
    </row>
    <row r="469" spans="1:68" ht="15" x14ac:dyDescent="0.2">
      <c r="A469" s="204"/>
      <c r="B469" s="204"/>
      <c r="C469" s="821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821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821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04"/>
      <c r="BN469" s="204"/>
      <c r="BO469" s="204"/>
      <c r="BP469" s="204"/>
    </row>
    <row r="470" spans="1:68" ht="15" x14ac:dyDescent="0.2">
      <c r="A470" s="204"/>
      <c r="B470" s="204"/>
      <c r="C470" s="821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821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821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04"/>
      <c r="BN470" s="204"/>
      <c r="BO470" s="204"/>
      <c r="BP470" s="204"/>
    </row>
    <row r="471" spans="1:68" ht="15" x14ac:dyDescent="0.2">
      <c r="A471" s="204"/>
      <c r="B471" s="204"/>
      <c r="C471" s="821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821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821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204"/>
      <c r="BN471" s="204"/>
      <c r="BO471" s="204"/>
      <c r="BP471" s="204"/>
    </row>
    <row r="472" spans="1:68" ht="15" x14ac:dyDescent="0.2">
      <c r="A472" s="204"/>
      <c r="B472" s="204"/>
      <c r="C472" s="821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821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821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204"/>
      <c r="BN472" s="204"/>
      <c r="BO472" s="204"/>
      <c r="BP472" s="204"/>
    </row>
    <row r="473" spans="1:68" ht="15" x14ac:dyDescent="0.2">
      <c r="A473" s="204"/>
      <c r="B473" s="204"/>
      <c r="C473" s="821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821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821"/>
      <c r="AL473" s="204"/>
      <c r="AM473" s="204"/>
      <c r="AN473" s="204"/>
      <c r="AO473" s="204"/>
      <c r="AP473" s="204"/>
      <c r="AQ473" s="204"/>
      <c r="AR473" s="204"/>
      <c r="AS473" s="204"/>
      <c r="AT473" s="204"/>
      <c r="AU473" s="204"/>
      <c r="AV473" s="204"/>
      <c r="AW473" s="204"/>
      <c r="AX473" s="204"/>
      <c r="AY473" s="204"/>
      <c r="AZ473" s="204"/>
      <c r="BA473" s="204"/>
      <c r="BB473" s="204"/>
      <c r="BC473" s="204"/>
      <c r="BD473" s="204"/>
      <c r="BE473" s="204"/>
      <c r="BF473" s="204"/>
      <c r="BG473" s="204"/>
      <c r="BH473" s="204"/>
      <c r="BI473" s="204"/>
      <c r="BJ473" s="204"/>
      <c r="BK473" s="204"/>
      <c r="BL473" s="204"/>
      <c r="BM473" s="204"/>
      <c r="BN473" s="204"/>
      <c r="BO473" s="204"/>
      <c r="BP473" s="204"/>
    </row>
    <row r="474" spans="1:68" ht="15" x14ac:dyDescent="0.2">
      <c r="A474" s="204"/>
      <c r="B474" s="204"/>
      <c r="C474" s="821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821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821"/>
      <c r="AL474" s="204"/>
      <c r="AM474" s="204"/>
      <c r="AN474" s="204"/>
      <c r="AO474" s="204"/>
      <c r="AP474" s="204"/>
      <c r="AQ474" s="204"/>
      <c r="AR474" s="204"/>
      <c r="AS474" s="204"/>
      <c r="AT474" s="204"/>
      <c r="AU474" s="204"/>
      <c r="AV474" s="204"/>
      <c r="AW474" s="204"/>
      <c r="AX474" s="204"/>
      <c r="AY474" s="204"/>
      <c r="AZ474" s="204"/>
      <c r="BA474" s="204"/>
      <c r="BB474" s="204"/>
      <c r="BC474" s="204"/>
      <c r="BD474" s="204"/>
      <c r="BE474" s="204"/>
      <c r="BF474" s="204"/>
      <c r="BG474" s="204"/>
      <c r="BH474" s="204"/>
      <c r="BI474" s="204"/>
      <c r="BJ474" s="204"/>
      <c r="BK474" s="204"/>
      <c r="BL474" s="204"/>
      <c r="BM474" s="204"/>
      <c r="BN474" s="204"/>
      <c r="BO474" s="204"/>
      <c r="BP474" s="204"/>
    </row>
    <row r="475" spans="1:68" ht="15" x14ac:dyDescent="0.2">
      <c r="A475" s="204"/>
      <c r="B475" s="204"/>
      <c r="C475" s="821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821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821"/>
      <c r="AL475" s="204"/>
      <c r="AM475" s="204"/>
      <c r="AN475" s="204"/>
      <c r="AO475" s="204"/>
      <c r="AP475" s="204"/>
      <c r="AQ475" s="204"/>
      <c r="AR475" s="204"/>
      <c r="AS475" s="204"/>
      <c r="AT475" s="204"/>
      <c r="AU475" s="204"/>
      <c r="AV475" s="204"/>
      <c r="AW475" s="204"/>
      <c r="AX475" s="204"/>
      <c r="AY475" s="204"/>
      <c r="AZ475" s="204"/>
      <c r="BA475" s="204"/>
      <c r="BB475" s="204"/>
      <c r="BC475" s="204"/>
      <c r="BD475" s="204"/>
      <c r="BE475" s="204"/>
      <c r="BF475" s="204"/>
      <c r="BG475" s="204"/>
      <c r="BH475" s="204"/>
      <c r="BI475" s="204"/>
      <c r="BJ475" s="204"/>
      <c r="BK475" s="204"/>
      <c r="BL475" s="204"/>
      <c r="BM475" s="204"/>
      <c r="BN475" s="204"/>
      <c r="BO475" s="204"/>
      <c r="BP475" s="204"/>
    </row>
    <row r="476" spans="1:68" ht="15" x14ac:dyDescent="0.2">
      <c r="A476" s="204"/>
      <c r="B476" s="204"/>
      <c r="C476" s="821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821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821"/>
      <c r="AL476" s="204"/>
      <c r="AM476" s="204"/>
      <c r="AN476" s="204"/>
      <c r="AO476" s="204"/>
      <c r="AP476" s="204"/>
      <c r="AQ476" s="204"/>
      <c r="AR476" s="204"/>
      <c r="AS476" s="204"/>
      <c r="AT476" s="204"/>
      <c r="AU476" s="204"/>
      <c r="AV476" s="204"/>
      <c r="AW476" s="204"/>
      <c r="AX476" s="204"/>
      <c r="AY476" s="204"/>
      <c r="AZ476" s="204"/>
      <c r="BA476" s="204"/>
      <c r="BB476" s="204"/>
      <c r="BC476" s="204"/>
      <c r="BD476" s="204"/>
      <c r="BE476" s="204"/>
      <c r="BF476" s="204"/>
      <c r="BG476" s="204"/>
      <c r="BH476" s="204"/>
      <c r="BI476" s="204"/>
      <c r="BJ476" s="204"/>
      <c r="BK476" s="204"/>
      <c r="BL476" s="204"/>
      <c r="BM476" s="204"/>
      <c r="BN476" s="204"/>
      <c r="BO476" s="204"/>
      <c r="BP476" s="204"/>
    </row>
    <row r="477" spans="1:68" ht="15" x14ac:dyDescent="0.2">
      <c r="A477" s="204"/>
      <c r="B477" s="204"/>
      <c r="C477" s="821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821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821"/>
      <c r="AL477" s="204"/>
      <c r="AM477" s="204"/>
      <c r="AN477" s="204"/>
      <c r="AO477" s="204"/>
      <c r="AP477" s="204"/>
      <c r="AQ477" s="204"/>
      <c r="AR477" s="204"/>
      <c r="AS477" s="204"/>
      <c r="AT477" s="204"/>
      <c r="AU477" s="204"/>
      <c r="AV477" s="204"/>
      <c r="AW477" s="204"/>
      <c r="AX477" s="204"/>
      <c r="AY477" s="204"/>
      <c r="AZ477" s="204"/>
      <c r="BA477" s="204"/>
      <c r="BB477" s="204"/>
      <c r="BC477" s="204"/>
      <c r="BD477" s="204"/>
      <c r="BE477" s="204"/>
      <c r="BF477" s="204"/>
      <c r="BG477" s="204"/>
      <c r="BH477" s="204"/>
      <c r="BI477" s="204"/>
      <c r="BJ477" s="204"/>
      <c r="BK477" s="204"/>
      <c r="BL477" s="204"/>
      <c r="BM477" s="204"/>
      <c r="BN477" s="204"/>
      <c r="BO477" s="204"/>
      <c r="BP477" s="204"/>
    </row>
    <row r="478" spans="1:68" ht="15" x14ac:dyDescent="0.2">
      <c r="A478" s="204"/>
      <c r="B478" s="204"/>
      <c r="C478" s="821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821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821"/>
      <c r="AL478" s="204"/>
      <c r="AM478" s="204"/>
      <c r="AN478" s="204"/>
      <c r="AO478" s="204"/>
      <c r="AP478" s="204"/>
      <c r="AQ478" s="204"/>
      <c r="AR478" s="204"/>
      <c r="AS478" s="204"/>
      <c r="AT478" s="204"/>
      <c r="AU478" s="204"/>
      <c r="AV478" s="204"/>
      <c r="AW478" s="204"/>
      <c r="AX478" s="204"/>
      <c r="AY478" s="204"/>
      <c r="AZ478" s="204"/>
      <c r="BA478" s="204"/>
      <c r="BB478" s="204"/>
      <c r="BC478" s="204"/>
      <c r="BD478" s="204"/>
      <c r="BE478" s="204"/>
      <c r="BF478" s="204"/>
      <c r="BG478" s="204"/>
      <c r="BH478" s="204"/>
      <c r="BI478" s="204"/>
      <c r="BJ478" s="204"/>
      <c r="BK478" s="204"/>
      <c r="BL478" s="204"/>
      <c r="BM478" s="204"/>
      <c r="BN478" s="204"/>
      <c r="BO478" s="204"/>
      <c r="BP478" s="204"/>
    </row>
    <row r="479" spans="1:68" ht="15" x14ac:dyDescent="0.2">
      <c r="A479" s="204"/>
      <c r="B479" s="204"/>
      <c r="C479" s="821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821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821"/>
      <c r="AL479" s="204"/>
      <c r="AM479" s="204"/>
      <c r="AN479" s="204"/>
      <c r="AO479" s="204"/>
      <c r="AP479" s="204"/>
      <c r="AQ479" s="204"/>
      <c r="AR479" s="204"/>
      <c r="AS479" s="204"/>
      <c r="AT479" s="204"/>
      <c r="AU479" s="204"/>
      <c r="AV479" s="204"/>
      <c r="AW479" s="204"/>
      <c r="AX479" s="204"/>
      <c r="AY479" s="204"/>
      <c r="AZ479" s="204"/>
      <c r="BA479" s="204"/>
      <c r="BB479" s="204"/>
      <c r="BC479" s="204"/>
      <c r="BD479" s="204"/>
      <c r="BE479" s="204"/>
      <c r="BF479" s="204"/>
      <c r="BG479" s="204"/>
      <c r="BH479" s="204"/>
      <c r="BI479" s="204"/>
      <c r="BJ479" s="204"/>
      <c r="BK479" s="204"/>
      <c r="BL479" s="204"/>
      <c r="BM479" s="204"/>
      <c r="BN479" s="204"/>
      <c r="BO479" s="204"/>
      <c r="BP479" s="204"/>
    </row>
    <row r="480" spans="1:68" ht="15" x14ac:dyDescent="0.2">
      <c r="A480" s="204"/>
      <c r="B480" s="204"/>
      <c r="C480" s="821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821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821"/>
      <c r="AL480" s="204"/>
      <c r="AM480" s="204"/>
      <c r="AN480" s="204"/>
      <c r="AO480" s="204"/>
      <c r="AP480" s="204"/>
      <c r="AQ480" s="204"/>
      <c r="AR480" s="204"/>
      <c r="AS480" s="204"/>
      <c r="AT480" s="204"/>
      <c r="AU480" s="204"/>
      <c r="AV480" s="204"/>
      <c r="AW480" s="204"/>
      <c r="AX480" s="204"/>
      <c r="AY480" s="204"/>
      <c r="AZ480" s="204"/>
      <c r="BA480" s="204"/>
      <c r="BB480" s="204"/>
      <c r="BC480" s="204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</row>
    <row r="481" spans="1:68" ht="15" x14ac:dyDescent="0.2">
      <c r="A481" s="204"/>
      <c r="B481" s="204"/>
      <c r="C481" s="821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821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821"/>
      <c r="AL481" s="204"/>
      <c r="AM481" s="204"/>
      <c r="AN481" s="204"/>
      <c r="AO481" s="204"/>
      <c r="AP481" s="204"/>
      <c r="AQ481" s="204"/>
      <c r="AR481" s="204"/>
      <c r="AS481" s="204"/>
      <c r="AT481" s="204"/>
      <c r="AU481" s="204"/>
      <c r="AV481" s="204"/>
      <c r="AW481" s="204"/>
      <c r="AX481" s="204"/>
      <c r="AY481" s="204"/>
      <c r="AZ481" s="204"/>
      <c r="BA481" s="204"/>
      <c r="BB481" s="204"/>
      <c r="BC481" s="204"/>
      <c r="BD481" s="204"/>
      <c r="BE481" s="204"/>
      <c r="BF481" s="204"/>
      <c r="BG481" s="204"/>
      <c r="BH481" s="204"/>
      <c r="BI481" s="204"/>
      <c r="BJ481" s="204"/>
      <c r="BK481" s="204"/>
      <c r="BL481" s="204"/>
      <c r="BM481" s="204"/>
      <c r="BN481" s="204"/>
      <c r="BO481" s="204"/>
      <c r="BP481" s="204"/>
    </row>
    <row r="482" spans="1:68" ht="15" x14ac:dyDescent="0.2">
      <c r="A482" s="204"/>
      <c r="B482" s="204"/>
      <c r="C482" s="821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821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821"/>
      <c r="AL482" s="204"/>
      <c r="AM482" s="204"/>
      <c r="AN482" s="204"/>
      <c r="AO482" s="204"/>
      <c r="AP482" s="204"/>
      <c r="AQ482" s="204"/>
      <c r="AR482" s="204"/>
      <c r="AS482" s="204"/>
      <c r="AT482" s="204"/>
      <c r="AU482" s="204"/>
      <c r="AV482" s="204"/>
      <c r="AW482" s="204"/>
      <c r="AX482" s="204"/>
      <c r="AY482" s="204"/>
      <c r="AZ482" s="204"/>
      <c r="BA482" s="204"/>
      <c r="BB482" s="204"/>
      <c r="BC482" s="204"/>
      <c r="BD482" s="204"/>
      <c r="BE482" s="204"/>
      <c r="BF482" s="204"/>
      <c r="BG482" s="204"/>
      <c r="BH482" s="204"/>
      <c r="BI482" s="204"/>
      <c r="BJ482" s="204"/>
      <c r="BK482" s="204"/>
      <c r="BL482" s="204"/>
      <c r="BM482" s="204"/>
      <c r="BN482" s="204"/>
      <c r="BO482" s="204"/>
      <c r="BP482" s="204"/>
    </row>
    <row r="483" spans="1:68" ht="15" x14ac:dyDescent="0.2">
      <c r="A483" s="204"/>
      <c r="B483" s="204"/>
      <c r="C483" s="821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821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  <c r="AA483" s="204"/>
      <c r="AB483" s="204"/>
      <c r="AC483" s="204"/>
      <c r="AD483" s="204"/>
      <c r="AE483" s="204"/>
      <c r="AF483" s="204"/>
      <c r="AG483" s="204"/>
      <c r="AH483" s="204"/>
      <c r="AI483" s="204"/>
      <c r="AJ483" s="204"/>
      <c r="AK483" s="821"/>
      <c r="AL483" s="204"/>
      <c r="AM483" s="204"/>
      <c r="AN483" s="204"/>
      <c r="AO483" s="204"/>
      <c r="AP483" s="204"/>
      <c r="AQ483" s="204"/>
      <c r="AR483" s="204"/>
      <c r="AS483" s="204"/>
      <c r="AT483" s="204"/>
      <c r="AU483" s="204"/>
      <c r="AV483" s="204"/>
      <c r="AW483" s="204"/>
      <c r="AX483" s="204"/>
      <c r="AY483" s="204"/>
      <c r="AZ483" s="204"/>
      <c r="BA483" s="204"/>
      <c r="BB483" s="204"/>
      <c r="BC483" s="204"/>
      <c r="BD483" s="204"/>
      <c r="BE483" s="204"/>
      <c r="BF483" s="204"/>
      <c r="BG483" s="204"/>
      <c r="BH483" s="204"/>
      <c r="BI483" s="204"/>
      <c r="BJ483" s="204"/>
      <c r="BK483" s="204"/>
      <c r="BL483" s="204"/>
      <c r="BM483" s="204"/>
      <c r="BN483" s="204"/>
      <c r="BO483" s="204"/>
      <c r="BP483" s="204"/>
    </row>
    <row r="484" spans="1:68" ht="15" x14ac:dyDescent="0.2">
      <c r="A484" s="204"/>
      <c r="B484" s="204"/>
      <c r="C484" s="821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821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  <c r="AA484" s="204"/>
      <c r="AB484" s="204"/>
      <c r="AC484" s="204"/>
      <c r="AD484" s="204"/>
      <c r="AE484" s="204"/>
      <c r="AF484" s="204"/>
      <c r="AG484" s="204"/>
      <c r="AH484" s="204"/>
      <c r="AI484" s="204"/>
      <c r="AJ484" s="204"/>
      <c r="AK484" s="821"/>
      <c r="AL484" s="204"/>
      <c r="AM484" s="204"/>
      <c r="AN484" s="204"/>
      <c r="AO484" s="204"/>
      <c r="AP484" s="204"/>
      <c r="AQ484" s="204"/>
      <c r="AR484" s="204"/>
      <c r="AS484" s="204"/>
      <c r="AT484" s="204"/>
      <c r="AU484" s="204"/>
      <c r="AV484" s="204"/>
      <c r="AW484" s="204"/>
      <c r="AX484" s="204"/>
      <c r="AY484" s="204"/>
      <c r="AZ484" s="204"/>
      <c r="BA484" s="204"/>
      <c r="BB484" s="204"/>
      <c r="BC484" s="204"/>
      <c r="BD484" s="204"/>
      <c r="BE484" s="204"/>
      <c r="BF484" s="204"/>
      <c r="BG484" s="204"/>
      <c r="BH484" s="204"/>
      <c r="BI484" s="204"/>
      <c r="BJ484" s="204"/>
      <c r="BK484" s="204"/>
      <c r="BL484" s="204"/>
      <c r="BM484" s="204"/>
      <c r="BN484" s="204"/>
      <c r="BO484" s="204"/>
      <c r="BP484" s="204"/>
    </row>
    <row r="485" spans="1:68" ht="15" x14ac:dyDescent="0.2">
      <c r="A485" s="204"/>
      <c r="B485" s="204"/>
      <c r="C485" s="821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821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  <c r="AA485" s="204"/>
      <c r="AB485" s="204"/>
      <c r="AC485" s="204"/>
      <c r="AD485" s="204"/>
      <c r="AE485" s="204"/>
      <c r="AF485" s="204"/>
      <c r="AG485" s="204"/>
      <c r="AH485" s="204"/>
      <c r="AI485" s="204"/>
      <c r="AJ485" s="204"/>
      <c r="AK485" s="821"/>
      <c r="AL485" s="204"/>
      <c r="AM485" s="204"/>
      <c r="AN485" s="204"/>
      <c r="AO485" s="204"/>
      <c r="AP485" s="204"/>
      <c r="AQ485" s="204"/>
      <c r="AR485" s="204"/>
      <c r="AS485" s="204"/>
      <c r="AT485" s="204"/>
      <c r="AU485" s="204"/>
      <c r="AV485" s="204"/>
      <c r="AW485" s="204"/>
      <c r="AX485" s="204"/>
      <c r="AY485" s="204"/>
      <c r="AZ485" s="204"/>
      <c r="BA485" s="204"/>
      <c r="BB485" s="204"/>
      <c r="BC485" s="204"/>
      <c r="BD485" s="204"/>
      <c r="BE485" s="204"/>
      <c r="BF485" s="204"/>
      <c r="BG485" s="204"/>
      <c r="BH485" s="204"/>
      <c r="BI485" s="204"/>
      <c r="BJ485" s="204"/>
      <c r="BK485" s="204"/>
      <c r="BL485" s="204"/>
      <c r="BM485" s="204"/>
      <c r="BN485" s="204"/>
      <c r="BO485" s="204"/>
      <c r="BP485" s="204"/>
    </row>
    <row r="486" spans="1:68" ht="15" x14ac:dyDescent="0.2">
      <c r="A486" s="204"/>
      <c r="B486" s="204"/>
      <c r="C486" s="821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821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  <c r="AC486" s="204"/>
      <c r="AD486" s="204"/>
      <c r="AE486" s="204"/>
      <c r="AF486" s="204"/>
      <c r="AG486" s="204"/>
      <c r="AH486" s="204"/>
      <c r="AI486" s="204"/>
      <c r="AJ486" s="204"/>
      <c r="AK486" s="821"/>
      <c r="AL486" s="204"/>
      <c r="AM486" s="204"/>
      <c r="AN486" s="204"/>
      <c r="AO486" s="204"/>
      <c r="AP486" s="204"/>
      <c r="AQ486" s="204"/>
      <c r="AR486" s="204"/>
      <c r="AS486" s="204"/>
      <c r="AT486" s="204"/>
      <c r="AU486" s="204"/>
      <c r="AV486" s="204"/>
      <c r="AW486" s="204"/>
      <c r="AX486" s="204"/>
      <c r="AY486" s="204"/>
      <c r="AZ486" s="204"/>
      <c r="BA486" s="204"/>
      <c r="BB486" s="204"/>
      <c r="BC486" s="204"/>
      <c r="BD486" s="204"/>
      <c r="BE486" s="204"/>
      <c r="BF486" s="204"/>
      <c r="BG486" s="204"/>
      <c r="BH486" s="204"/>
      <c r="BI486" s="204"/>
      <c r="BJ486" s="204"/>
      <c r="BK486" s="204"/>
      <c r="BL486" s="204"/>
      <c r="BM486" s="204"/>
      <c r="BN486" s="204"/>
      <c r="BO486" s="204"/>
      <c r="BP486" s="204"/>
    </row>
    <row r="487" spans="1:68" ht="15" x14ac:dyDescent="0.2">
      <c r="A487" s="204"/>
      <c r="B487" s="204"/>
      <c r="C487" s="821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821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  <c r="AC487" s="204"/>
      <c r="AD487" s="204"/>
      <c r="AE487" s="204"/>
      <c r="AF487" s="204"/>
      <c r="AG487" s="204"/>
      <c r="AH487" s="204"/>
      <c r="AI487" s="204"/>
      <c r="AJ487" s="204"/>
      <c r="AK487" s="821"/>
      <c r="AL487" s="204"/>
      <c r="AM487" s="204"/>
      <c r="AN487" s="204"/>
      <c r="AO487" s="204"/>
      <c r="AP487" s="204"/>
      <c r="AQ487" s="204"/>
      <c r="AR487" s="204"/>
      <c r="AS487" s="204"/>
      <c r="AT487" s="204"/>
      <c r="AU487" s="204"/>
      <c r="AV487" s="204"/>
      <c r="AW487" s="204"/>
      <c r="AX487" s="204"/>
      <c r="AY487" s="204"/>
      <c r="AZ487" s="204"/>
      <c r="BA487" s="204"/>
      <c r="BB487" s="204"/>
      <c r="BC487" s="204"/>
      <c r="BD487" s="204"/>
      <c r="BE487" s="204"/>
      <c r="BF487" s="204"/>
      <c r="BG487" s="204"/>
      <c r="BH487" s="204"/>
      <c r="BI487" s="204"/>
      <c r="BJ487" s="204"/>
      <c r="BK487" s="204"/>
      <c r="BL487" s="204"/>
      <c r="BM487" s="204"/>
      <c r="BN487" s="204"/>
      <c r="BO487" s="204"/>
      <c r="BP487" s="204"/>
    </row>
    <row r="488" spans="1:68" ht="15" x14ac:dyDescent="0.2">
      <c r="A488" s="204"/>
      <c r="B488" s="204"/>
      <c r="C488" s="821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821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  <c r="AC488" s="204"/>
      <c r="AD488" s="204"/>
      <c r="AE488" s="204"/>
      <c r="AF488" s="204"/>
      <c r="AG488" s="204"/>
      <c r="AH488" s="204"/>
      <c r="AI488" s="204"/>
      <c r="AJ488" s="204"/>
      <c r="AK488" s="821"/>
      <c r="AL488" s="204"/>
      <c r="AM488" s="204"/>
      <c r="AN488" s="204"/>
      <c r="AO488" s="204"/>
      <c r="AP488" s="204"/>
      <c r="AQ488" s="204"/>
      <c r="AR488" s="204"/>
      <c r="AS488" s="204"/>
      <c r="AT488" s="204"/>
      <c r="AU488" s="204"/>
      <c r="AV488" s="204"/>
      <c r="AW488" s="204"/>
      <c r="AX488" s="204"/>
      <c r="AY488" s="204"/>
      <c r="AZ488" s="204"/>
      <c r="BA488" s="204"/>
      <c r="BB488" s="204"/>
      <c r="BC488" s="204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</row>
    <row r="489" spans="1:68" ht="15" x14ac:dyDescent="0.2">
      <c r="A489" s="204"/>
      <c r="B489" s="204"/>
      <c r="C489" s="821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821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  <c r="AA489" s="204"/>
      <c r="AB489" s="204"/>
      <c r="AC489" s="204"/>
      <c r="AD489" s="204"/>
      <c r="AE489" s="204"/>
      <c r="AF489" s="204"/>
      <c r="AG489" s="204"/>
      <c r="AH489" s="204"/>
      <c r="AI489" s="204"/>
      <c r="AJ489" s="204"/>
      <c r="AK489" s="821"/>
      <c r="AL489" s="204"/>
      <c r="AM489" s="204"/>
      <c r="AN489" s="204"/>
      <c r="AO489" s="204"/>
      <c r="AP489" s="204"/>
      <c r="AQ489" s="204"/>
      <c r="AR489" s="204"/>
      <c r="AS489" s="204"/>
      <c r="AT489" s="204"/>
      <c r="AU489" s="204"/>
      <c r="AV489" s="204"/>
      <c r="AW489" s="204"/>
      <c r="AX489" s="204"/>
      <c r="AY489" s="204"/>
      <c r="AZ489" s="204"/>
      <c r="BA489" s="204"/>
      <c r="BB489" s="204"/>
      <c r="BC489" s="204"/>
      <c r="BD489" s="204"/>
      <c r="BE489" s="204"/>
      <c r="BF489" s="204"/>
      <c r="BG489" s="204"/>
      <c r="BH489" s="204"/>
      <c r="BI489" s="204"/>
      <c r="BJ489" s="204"/>
      <c r="BK489" s="204"/>
      <c r="BL489" s="204"/>
      <c r="BM489" s="204"/>
      <c r="BN489" s="204"/>
      <c r="BO489" s="204"/>
      <c r="BP489" s="204"/>
    </row>
    <row r="490" spans="1:68" ht="15" x14ac:dyDescent="0.2">
      <c r="A490" s="204"/>
      <c r="B490" s="204"/>
      <c r="C490" s="821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821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821"/>
      <c r="AL490" s="204"/>
      <c r="AM490" s="204"/>
      <c r="AN490" s="204"/>
      <c r="AO490" s="204"/>
      <c r="AP490" s="204"/>
      <c r="AQ490" s="204"/>
      <c r="AR490" s="204"/>
      <c r="AS490" s="204"/>
      <c r="AT490" s="204"/>
      <c r="AU490" s="204"/>
      <c r="AV490" s="204"/>
      <c r="AW490" s="204"/>
      <c r="AX490" s="204"/>
      <c r="AY490" s="204"/>
      <c r="AZ490" s="204"/>
      <c r="BA490" s="204"/>
      <c r="BB490" s="204"/>
      <c r="BC490" s="204"/>
      <c r="BD490" s="204"/>
      <c r="BE490" s="204"/>
      <c r="BF490" s="204"/>
      <c r="BG490" s="204"/>
      <c r="BH490" s="204"/>
      <c r="BI490" s="204"/>
      <c r="BJ490" s="204"/>
      <c r="BK490" s="204"/>
      <c r="BL490" s="204"/>
      <c r="BM490" s="204"/>
      <c r="BN490" s="204"/>
      <c r="BO490" s="204"/>
      <c r="BP490" s="204"/>
    </row>
    <row r="491" spans="1:68" ht="15" x14ac:dyDescent="0.2">
      <c r="A491" s="204"/>
      <c r="B491" s="204"/>
      <c r="C491" s="821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821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  <c r="AC491" s="204"/>
      <c r="AD491" s="204"/>
      <c r="AE491" s="204"/>
      <c r="AF491" s="204"/>
      <c r="AG491" s="204"/>
      <c r="AH491" s="204"/>
      <c r="AI491" s="204"/>
      <c r="AJ491" s="204"/>
      <c r="AK491" s="821"/>
      <c r="AL491" s="204"/>
      <c r="AM491" s="204"/>
      <c r="AN491" s="204"/>
      <c r="AO491" s="204"/>
      <c r="AP491" s="204"/>
      <c r="AQ491" s="204"/>
      <c r="AR491" s="204"/>
      <c r="AS491" s="204"/>
      <c r="AT491" s="204"/>
      <c r="AU491" s="204"/>
      <c r="AV491" s="204"/>
      <c r="AW491" s="204"/>
      <c r="AX491" s="204"/>
      <c r="AY491" s="204"/>
      <c r="AZ491" s="204"/>
      <c r="BA491" s="204"/>
      <c r="BB491" s="204"/>
      <c r="BC491" s="204"/>
      <c r="BD491" s="204"/>
      <c r="BE491" s="204"/>
      <c r="BF491" s="204"/>
      <c r="BG491" s="204"/>
      <c r="BH491" s="204"/>
      <c r="BI491" s="204"/>
      <c r="BJ491" s="204"/>
      <c r="BK491" s="204"/>
      <c r="BL491" s="204"/>
      <c r="BM491" s="204"/>
      <c r="BN491" s="204"/>
      <c r="BO491" s="204"/>
      <c r="BP491" s="204"/>
    </row>
    <row r="492" spans="1:68" ht="15" x14ac:dyDescent="0.2">
      <c r="A492" s="204"/>
      <c r="B492" s="204"/>
      <c r="C492" s="821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821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821"/>
      <c r="AL492" s="204"/>
      <c r="AM492" s="204"/>
      <c r="AN492" s="204"/>
      <c r="AO492" s="204"/>
      <c r="AP492" s="204"/>
      <c r="AQ492" s="204"/>
      <c r="AR492" s="204"/>
      <c r="AS492" s="204"/>
      <c r="AT492" s="204"/>
      <c r="AU492" s="204"/>
      <c r="AV492" s="204"/>
      <c r="AW492" s="204"/>
      <c r="AX492" s="204"/>
      <c r="AY492" s="204"/>
      <c r="AZ492" s="204"/>
      <c r="BA492" s="204"/>
      <c r="BB492" s="204"/>
      <c r="BC492" s="204"/>
      <c r="BD492" s="204"/>
      <c r="BE492" s="204"/>
      <c r="BF492" s="204"/>
      <c r="BG492" s="204"/>
      <c r="BH492" s="204"/>
      <c r="BI492" s="204"/>
      <c r="BJ492" s="204"/>
      <c r="BK492" s="204"/>
      <c r="BL492" s="204"/>
      <c r="BM492" s="204"/>
      <c r="BN492" s="204"/>
      <c r="BO492" s="204"/>
      <c r="BP492" s="204"/>
    </row>
    <row r="493" spans="1:68" ht="15" x14ac:dyDescent="0.2">
      <c r="A493" s="204"/>
      <c r="B493" s="204"/>
      <c r="C493" s="821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821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821"/>
      <c r="AL493" s="204"/>
      <c r="AM493" s="204"/>
      <c r="AN493" s="204"/>
      <c r="AO493" s="204"/>
      <c r="AP493" s="204"/>
      <c r="AQ493" s="204"/>
      <c r="AR493" s="204"/>
      <c r="AS493" s="204"/>
      <c r="AT493" s="204"/>
      <c r="AU493" s="204"/>
      <c r="AV493" s="204"/>
      <c r="AW493" s="204"/>
      <c r="AX493" s="204"/>
      <c r="AY493" s="204"/>
      <c r="AZ493" s="204"/>
      <c r="BA493" s="204"/>
      <c r="BB493" s="204"/>
      <c r="BC493" s="204"/>
      <c r="BD493" s="204"/>
      <c r="BE493" s="204"/>
      <c r="BF493" s="204"/>
      <c r="BG493" s="204"/>
      <c r="BH493" s="204"/>
      <c r="BI493" s="204"/>
      <c r="BJ493" s="204"/>
      <c r="BK493" s="204"/>
      <c r="BL493" s="204"/>
      <c r="BM493" s="204"/>
      <c r="BN493" s="204"/>
      <c r="BO493" s="204"/>
      <c r="BP493" s="204"/>
    </row>
    <row r="494" spans="1:68" ht="15" x14ac:dyDescent="0.2">
      <c r="A494" s="204"/>
      <c r="B494" s="204"/>
      <c r="C494" s="821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821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821"/>
      <c r="AL494" s="204"/>
      <c r="AM494" s="204"/>
      <c r="AN494" s="204"/>
      <c r="AO494" s="204"/>
      <c r="AP494" s="204"/>
      <c r="AQ494" s="204"/>
      <c r="AR494" s="204"/>
      <c r="AS494" s="204"/>
      <c r="AT494" s="204"/>
      <c r="AU494" s="204"/>
      <c r="AV494" s="204"/>
      <c r="AW494" s="204"/>
      <c r="AX494" s="204"/>
      <c r="AY494" s="204"/>
      <c r="AZ494" s="204"/>
      <c r="BA494" s="204"/>
      <c r="BB494" s="204"/>
      <c r="BC494" s="204"/>
      <c r="BD494" s="204"/>
      <c r="BE494" s="204"/>
      <c r="BF494" s="204"/>
      <c r="BG494" s="204"/>
      <c r="BH494" s="204"/>
      <c r="BI494" s="204"/>
      <c r="BJ494" s="204"/>
      <c r="BK494" s="204"/>
      <c r="BL494" s="204"/>
      <c r="BM494" s="204"/>
      <c r="BN494" s="204"/>
      <c r="BO494" s="204"/>
      <c r="BP494" s="204"/>
    </row>
    <row r="495" spans="1:68" ht="15" x14ac:dyDescent="0.2">
      <c r="A495" s="204"/>
      <c r="B495" s="204"/>
      <c r="C495" s="821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821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821"/>
      <c r="AL495" s="204"/>
      <c r="AM495" s="204"/>
      <c r="AN495" s="204"/>
      <c r="AO495" s="204"/>
      <c r="AP495" s="204"/>
      <c r="AQ495" s="204"/>
      <c r="AR495" s="204"/>
      <c r="AS495" s="204"/>
      <c r="AT495" s="204"/>
      <c r="AU495" s="204"/>
      <c r="AV495" s="204"/>
      <c r="AW495" s="204"/>
      <c r="AX495" s="204"/>
      <c r="AY495" s="204"/>
      <c r="AZ495" s="204"/>
      <c r="BA495" s="204"/>
      <c r="BB495" s="204"/>
      <c r="BC495" s="204"/>
      <c r="BD495" s="204"/>
      <c r="BE495" s="204"/>
      <c r="BF495" s="204"/>
      <c r="BG495" s="204"/>
      <c r="BH495" s="204"/>
      <c r="BI495" s="204"/>
      <c r="BJ495" s="204"/>
      <c r="BK495" s="204"/>
      <c r="BL495" s="204"/>
      <c r="BM495" s="204"/>
      <c r="BN495" s="204"/>
      <c r="BO495" s="204"/>
      <c r="BP495" s="204"/>
    </row>
    <row r="496" spans="1:68" ht="15" x14ac:dyDescent="0.2">
      <c r="A496" s="204"/>
      <c r="B496" s="204"/>
      <c r="C496" s="821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821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821"/>
      <c r="AL496" s="204"/>
      <c r="AM496" s="204"/>
      <c r="AN496" s="204"/>
      <c r="AO496" s="204"/>
      <c r="AP496" s="204"/>
      <c r="AQ496" s="204"/>
      <c r="AR496" s="204"/>
      <c r="AS496" s="204"/>
      <c r="AT496" s="204"/>
      <c r="AU496" s="204"/>
      <c r="AV496" s="204"/>
      <c r="AW496" s="204"/>
      <c r="AX496" s="204"/>
      <c r="AY496" s="204"/>
      <c r="AZ496" s="204"/>
      <c r="BA496" s="204"/>
      <c r="BB496" s="204"/>
      <c r="BC496" s="204"/>
      <c r="BD496" s="204"/>
      <c r="BE496" s="204"/>
      <c r="BF496" s="204"/>
      <c r="BG496" s="204"/>
      <c r="BH496" s="204"/>
      <c r="BI496" s="204"/>
      <c r="BJ496" s="204"/>
      <c r="BK496" s="204"/>
      <c r="BL496" s="204"/>
      <c r="BM496" s="204"/>
      <c r="BN496" s="204"/>
      <c r="BO496" s="204"/>
      <c r="BP496" s="204"/>
    </row>
    <row r="497" spans="1:68" ht="15" x14ac:dyDescent="0.2">
      <c r="A497" s="204"/>
      <c r="B497" s="204"/>
      <c r="C497" s="821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821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821"/>
      <c r="AL497" s="204"/>
      <c r="AM497" s="204"/>
      <c r="AN497" s="204"/>
      <c r="AO497" s="204"/>
      <c r="AP497" s="204"/>
      <c r="AQ497" s="204"/>
      <c r="AR497" s="204"/>
      <c r="AS497" s="204"/>
      <c r="AT497" s="204"/>
      <c r="AU497" s="204"/>
      <c r="AV497" s="204"/>
      <c r="AW497" s="204"/>
      <c r="AX497" s="204"/>
      <c r="AY497" s="204"/>
      <c r="AZ497" s="204"/>
      <c r="BA497" s="204"/>
      <c r="BB497" s="204"/>
      <c r="BC497" s="204"/>
      <c r="BD497" s="204"/>
      <c r="BE497" s="204"/>
      <c r="BF497" s="204"/>
      <c r="BG497" s="204"/>
      <c r="BH497" s="204"/>
      <c r="BI497" s="204"/>
      <c r="BJ497" s="204"/>
      <c r="BK497" s="204"/>
      <c r="BL497" s="204"/>
      <c r="BM497" s="204"/>
      <c r="BN497" s="204"/>
      <c r="BO497" s="204"/>
      <c r="BP497" s="204"/>
    </row>
    <row r="498" spans="1:68" ht="15" x14ac:dyDescent="0.2">
      <c r="A498" s="204"/>
      <c r="B498" s="204"/>
      <c r="C498" s="821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821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821"/>
      <c r="AL498" s="204"/>
      <c r="AM498" s="204"/>
      <c r="AN498" s="204"/>
      <c r="AO498" s="204"/>
      <c r="AP498" s="204"/>
      <c r="AQ498" s="204"/>
      <c r="AR498" s="204"/>
      <c r="AS498" s="204"/>
      <c r="AT498" s="204"/>
      <c r="AU498" s="204"/>
      <c r="AV498" s="204"/>
      <c r="AW498" s="204"/>
      <c r="AX498" s="204"/>
      <c r="AY498" s="204"/>
      <c r="AZ498" s="204"/>
      <c r="BA498" s="204"/>
      <c r="BB498" s="204"/>
      <c r="BC498" s="204"/>
      <c r="BD498" s="204"/>
      <c r="BE498" s="204"/>
      <c r="BF498" s="204"/>
      <c r="BG498" s="204"/>
      <c r="BH498" s="204"/>
      <c r="BI498" s="204"/>
      <c r="BJ498" s="204"/>
      <c r="BK498" s="204"/>
      <c r="BL498" s="204"/>
      <c r="BM498" s="204"/>
      <c r="BN498" s="204"/>
      <c r="BO498" s="204"/>
      <c r="BP498" s="204"/>
    </row>
    <row r="499" spans="1:68" ht="15" x14ac:dyDescent="0.2">
      <c r="A499" s="204"/>
      <c r="B499" s="204"/>
      <c r="C499" s="821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821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821"/>
      <c r="AL499" s="204"/>
      <c r="AM499" s="204"/>
      <c r="AN499" s="204"/>
      <c r="AO499" s="204"/>
      <c r="AP499" s="204"/>
      <c r="AQ499" s="204"/>
      <c r="AR499" s="204"/>
      <c r="AS499" s="204"/>
      <c r="AT499" s="204"/>
      <c r="AU499" s="204"/>
      <c r="AV499" s="204"/>
      <c r="AW499" s="204"/>
      <c r="AX499" s="204"/>
      <c r="AY499" s="204"/>
      <c r="AZ499" s="204"/>
      <c r="BA499" s="204"/>
      <c r="BB499" s="204"/>
      <c r="BC499" s="204"/>
      <c r="BD499" s="204"/>
      <c r="BE499" s="204"/>
      <c r="BF499" s="204"/>
      <c r="BG499" s="204"/>
      <c r="BH499" s="204"/>
      <c r="BI499" s="204"/>
      <c r="BJ499" s="204"/>
      <c r="BK499" s="204"/>
      <c r="BL499" s="204"/>
      <c r="BM499" s="204"/>
      <c r="BN499" s="204"/>
      <c r="BO499" s="204"/>
      <c r="BP499" s="204"/>
    </row>
    <row r="500" spans="1:68" ht="15" x14ac:dyDescent="0.2">
      <c r="A500" s="204"/>
      <c r="B500" s="204"/>
      <c r="C500" s="821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821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821"/>
      <c r="AL500" s="204"/>
      <c r="AM500" s="204"/>
      <c r="AN500" s="204"/>
      <c r="AO500" s="204"/>
      <c r="AP500" s="204"/>
      <c r="AQ500" s="204"/>
      <c r="AR500" s="204"/>
      <c r="AS500" s="204"/>
      <c r="AT500" s="204"/>
      <c r="AU500" s="204"/>
      <c r="AV500" s="204"/>
      <c r="AW500" s="204"/>
      <c r="AX500" s="204"/>
      <c r="AY500" s="204"/>
      <c r="AZ500" s="204"/>
      <c r="BA500" s="204"/>
      <c r="BB500" s="204"/>
      <c r="BC500" s="204"/>
      <c r="BD500" s="204"/>
      <c r="BE500" s="204"/>
      <c r="BF500" s="204"/>
      <c r="BG500" s="204"/>
      <c r="BH500" s="204"/>
      <c r="BI500" s="204"/>
      <c r="BJ500" s="204"/>
      <c r="BK500" s="204"/>
      <c r="BL500" s="204"/>
      <c r="BM500" s="204"/>
      <c r="BN500" s="204"/>
      <c r="BO500" s="204"/>
      <c r="BP500" s="204"/>
    </row>
    <row r="501" spans="1:68" ht="15" x14ac:dyDescent="0.2">
      <c r="A501" s="204"/>
      <c r="B501" s="204"/>
      <c r="C501" s="821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821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821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04"/>
      <c r="BN501" s="204"/>
      <c r="BO501" s="204"/>
      <c r="BP501" s="204"/>
    </row>
    <row r="502" spans="1:68" ht="15" x14ac:dyDescent="0.2">
      <c r="A502" s="204"/>
      <c r="B502" s="204"/>
      <c r="C502" s="821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821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821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04"/>
      <c r="BN502" s="204"/>
      <c r="BO502" s="204"/>
      <c r="BP502" s="204"/>
    </row>
    <row r="503" spans="1:68" ht="15" x14ac:dyDescent="0.2">
      <c r="A503" s="204"/>
      <c r="B503" s="204"/>
      <c r="C503" s="821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821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821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04"/>
      <c r="BN503" s="204"/>
      <c r="BO503" s="204"/>
      <c r="BP503" s="204"/>
    </row>
    <row r="504" spans="1:68" ht="15" x14ac:dyDescent="0.2">
      <c r="A504" s="204"/>
      <c r="B504" s="204"/>
      <c r="C504" s="821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821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821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04"/>
      <c r="BN504" s="204"/>
      <c r="BO504" s="204"/>
      <c r="BP504" s="204"/>
    </row>
    <row r="505" spans="1:68" ht="15" x14ac:dyDescent="0.2">
      <c r="A505" s="204"/>
      <c r="B505" s="204"/>
      <c r="C505" s="821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821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821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04"/>
      <c r="BN505" s="204"/>
      <c r="BO505" s="204"/>
      <c r="BP505" s="204"/>
    </row>
    <row r="506" spans="1:68" ht="15" x14ac:dyDescent="0.2">
      <c r="A506" s="204"/>
      <c r="B506" s="204"/>
      <c r="C506" s="821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821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821"/>
      <c r="AL506" s="204"/>
      <c r="AM506" s="204"/>
      <c r="AN506" s="204"/>
      <c r="AO506" s="204"/>
      <c r="AP506" s="204"/>
      <c r="AQ506" s="204"/>
      <c r="AR506" s="204"/>
      <c r="AS506" s="204"/>
      <c r="AT506" s="204"/>
      <c r="AU506" s="204"/>
      <c r="AV506" s="204"/>
      <c r="AW506" s="204"/>
      <c r="AX506" s="204"/>
      <c r="AY506" s="204"/>
      <c r="AZ506" s="204"/>
      <c r="BA506" s="204"/>
      <c r="BB506" s="204"/>
      <c r="BC506" s="204"/>
      <c r="BD506" s="204"/>
      <c r="BE506" s="204"/>
      <c r="BF506" s="204"/>
      <c r="BG506" s="204"/>
      <c r="BH506" s="204"/>
      <c r="BI506" s="204"/>
      <c r="BJ506" s="204"/>
      <c r="BK506" s="204"/>
      <c r="BL506" s="204"/>
      <c r="BM506" s="204"/>
      <c r="BN506" s="204"/>
      <c r="BO506" s="204"/>
      <c r="BP506" s="204"/>
    </row>
    <row r="507" spans="1:68" ht="15" x14ac:dyDescent="0.2">
      <c r="A507" s="204"/>
      <c r="B507" s="204"/>
      <c r="C507" s="821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821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821"/>
      <c r="AL507" s="204"/>
      <c r="AM507" s="204"/>
      <c r="AN507" s="204"/>
      <c r="AO507" s="204"/>
      <c r="AP507" s="204"/>
      <c r="AQ507" s="204"/>
      <c r="AR507" s="204"/>
      <c r="AS507" s="204"/>
      <c r="AT507" s="204"/>
      <c r="AU507" s="204"/>
      <c r="AV507" s="204"/>
      <c r="AW507" s="204"/>
      <c r="AX507" s="204"/>
      <c r="AY507" s="204"/>
      <c r="AZ507" s="204"/>
      <c r="BA507" s="204"/>
      <c r="BB507" s="204"/>
      <c r="BC507" s="204"/>
      <c r="BD507" s="204"/>
      <c r="BE507" s="204"/>
      <c r="BF507" s="204"/>
      <c r="BG507" s="204"/>
      <c r="BH507" s="204"/>
      <c r="BI507" s="204"/>
      <c r="BJ507" s="204"/>
      <c r="BK507" s="204"/>
      <c r="BL507" s="204"/>
      <c r="BM507" s="204"/>
      <c r="BN507" s="204"/>
      <c r="BO507" s="204"/>
      <c r="BP507" s="204"/>
    </row>
    <row r="508" spans="1:68" ht="15" x14ac:dyDescent="0.2">
      <c r="A508" s="204"/>
      <c r="B508" s="204"/>
      <c r="C508" s="821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821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821"/>
      <c r="AL508" s="204"/>
      <c r="AM508" s="204"/>
      <c r="AN508" s="204"/>
      <c r="AO508" s="204"/>
      <c r="AP508" s="204"/>
      <c r="AQ508" s="204"/>
      <c r="AR508" s="204"/>
      <c r="AS508" s="204"/>
      <c r="AT508" s="204"/>
      <c r="AU508" s="204"/>
      <c r="AV508" s="204"/>
      <c r="AW508" s="204"/>
      <c r="AX508" s="204"/>
      <c r="AY508" s="204"/>
      <c r="AZ508" s="204"/>
      <c r="BA508" s="204"/>
      <c r="BB508" s="204"/>
      <c r="BC508" s="204"/>
      <c r="BD508" s="204"/>
      <c r="BE508" s="204"/>
      <c r="BF508" s="204"/>
      <c r="BG508" s="204"/>
      <c r="BH508" s="204"/>
      <c r="BI508" s="204"/>
      <c r="BJ508" s="204"/>
      <c r="BK508" s="204"/>
      <c r="BL508" s="204"/>
      <c r="BM508" s="204"/>
      <c r="BN508" s="204"/>
      <c r="BO508" s="204"/>
      <c r="BP508" s="204"/>
    </row>
    <row r="509" spans="1:68" ht="15" x14ac:dyDescent="0.2">
      <c r="A509" s="204"/>
      <c r="B509" s="204"/>
      <c r="C509" s="821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821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821"/>
      <c r="AL509" s="204"/>
      <c r="AM509" s="204"/>
      <c r="AN509" s="204"/>
      <c r="AO509" s="204"/>
      <c r="AP509" s="204"/>
      <c r="AQ509" s="204"/>
      <c r="AR509" s="204"/>
      <c r="AS509" s="204"/>
      <c r="AT509" s="204"/>
      <c r="AU509" s="204"/>
      <c r="AV509" s="204"/>
      <c r="AW509" s="204"/>
      <c r="AX509" s="204"/>
      <c r="AY509" s="204"/>
      <c r="AZ509" s="204"/>
      <c r="BA509" s="204"/>
      <c r="BB509" s="204"/>
      <c r="BC509" s="204"/>
      <c r="BD509" s="204"/>
      <c r="BE509" s="204"/>
      <c r="BF509" s="204"/>
      <c r="BG509" s="204"/>
      <c r="BH509" s="204"/>
      <c r="BI509" s="204"/>
      <c r="BJ509" s="204"/>
      <c r="BK509" s="204"/>
      <c r="BL509" s="204"/>
      <c r="BM509" s="204"/>
      <c r="BN509" s="204"/>
      <c r="BO509" s="204"/>
      <c r="BP509" s="204"/>
    </row>
    <row r="510" spans="1:68" ht="15" x14ac:dyDescent="0.2">
      <c r="A510" s="204"/>
      <c r="B510" s="204"/>
      <c r="C510" s="821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821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821"/>
      <c r="AL510" s="204"/>
      <c r="AM510" s="204"/>
      <c r="AN510" s="204"/>
      <c r="AO510" s="204"/>
      <c r="AP510" s="204"/>
      <c r="AQ510" s="204"/>
      <c r="AR510" s="204"/>
      <c r="AS510" s="204"/>
      <c r="AT510" s="204"/>
      <c r="AU510" s="204"/>
      <c r="AV510" s="204"/>
      <c r="AW510" s="204"/>
      <c r="AX510" s="204"/>
      <c r="AY510" s="204"/>
      <c r="AZ510" s="204"/>
      <c r="BA510" s="204"/>
      <c r="BB510" s="204"/>
      <c r="BC510" s="204"/>
      <c r="BD510" s="204"/>
      <c r="BE510" s="204"/>
      <c r="BF510" s="204"/>
      <c r="BG510" s="204"/>
      <c r="BH510" s="204"/>
      <c r="BI510" s="204"/>
      <c r="BJ510" s="204"/>
      <c r="BK510" s="204"/>
      <c r="BL510" s="204"/>
      <c r="BM510" s="204"/>
      <c r="BN510" s="204"/>
      <c r="BO510" s="204"/>
      <c r="BP510" s="204"/>
    </row>
    <row r="511" spans="1:68" ht="15" x14ac:dyDescent="0.2">
      <c r="A511" s="204"/>
      <c r="B511" s="204"/>
      <c r="C511" s="821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821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821"/>
      <c r="AL511" s="204"/>
      <c r="AM511" s="204"/>
      <c r="AN511" s="204"/>
      <c r="AO511" s="204"/>
      <c r="AP511" s="204"/>
      <c r="AQ511" s="204"/>
      <c r="AR511" s="204"/>
      <c r="AS511" s="204"/>
      <c r="AT511" s="204"/>
      <c r="AU511" s="204"/>
      <c r="AV511" s="204"/>
      <c r="AW511" s="204"/>
      <c r="AX511" s="204"/>
      <c r="AY511" s="204"/>
      <c r="AZ511" s="204"/>
      <c r="BA511" s="204"/>
      <c r="BB511" s="204"/>
      <c r="BC511" s="204"/>
      <c r="BD511" s="204"/>
      <c r="BE511" s="204"/>
      <c r="BF511" s="204"/>
      <c r="BG511" s="204"/>
      <c r="BH511" s="204"/>
      <c r="BI511" s="204"/>
      <c r="BJ511" s="204"/>
      <c r="BK511" s="204"/>
      <c r="BL511" s="204"/>
      <c r="BM511" s="204"/>
      <c r="BN511" s="204"/>
      <c r="BO511" s="204"/>
      <c r="BP511" s="204"/>
    </row>
    <row r="512" spans="1:68" ht="15" x14ac:dyDescent="0.2">
      <c r="A512" s="204"/>
      <c r="B512" s="204"/>
      <c r="C512" s="821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821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821"/>
      <c r="AL512" s="204"/>
      <c r="AM512" s="204"/>
      <c r="AN512" s="204"/>
      <c r="AO512" s="204"/>
      <c r="AP512" s="204"/>
      <c r="AQ512" s="204"/>
      <c r="AR512" s="204"/>
      <c r="AS512" s="204"/>
      <c r="AT512" s="204"/>
      <c r="AU512" s="204"/>
      <c r="AV512" s="204"/>
      <c r="AW512" s="204"/>
      <c r="AX512" s="204"/>
      <c r="AY512" s="204"/>
      <c r="AZ512" s="204"/>
      <c r="BA512" s="204"/>
      <c r="BB512" s="204"/>
      <c r="BC512" s="204"/>
      <c r="BD512" s="204"/>
      <c r="BE512" s="204"/>
      <c r="BF512" s="204"/>
      <c r="BG512" s="204"/>
      <c r="BH512" s="204"/>
      <c r="BI512" s="204"/>
      <c r="BJ512" s="204"/>
      <c r="BK512" s="204"/>
      <c r="BL512" s="204"/>
      <c r="BM512" s="204"/>
      <c r="BN512" s="204"/>
      <c r="BO512" s="204"/>
      <c r="BP512" s="204"/>
    </row>
    <row r="513" spans="1:68" ht="15" x14ac:dyDescent="0.2">
      <c r="A513" s="204"/>
      <c r="B513" s="204"/>
      <c r="C513" s="821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821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821"/>
      <c r="AL513" s="204"/>
      <c r="AM513" s="204"/>
      <c r="AN513" s="204"/>
      <c r="AO513" s="204"/>
      <c r="AP513" s="204"/>
      <c r="AQ513" s="204"/>
      <c r="AR513" s="204"/>
      <c r="AS513" s="204"/>
      <c r="AT513" s="204"/>
      <c r="AU513" s="204"/>
      <c r="AV513" s="204"/>
      <c r="AW513" s="204"/>
      <c r="AX513" s="204"/>
      <c r="AY513" s="204"/>
      <c r="AZ513" s="204"/>
      <c r="BA513" s="204"/>
      <c r="BB513" s="204"/>
      <c r="BC513" s="204"/>
      <c r="BD513" s="204"/>
      <c r="BE513" s="204"/>
      <c r="BF513" s="204"/>
      <c r="BG513" s="204"/>
      <c r="BH513" s="204"/>
      <c r="BI513" s="204"/>
      <c r="BJ513" s="204"/>
      <c r="BK513" s="204"/>
      <c r="BL513" s="204"/>
      <c r="BM513" s="204"/>
      <c r="BN513" s="204"/>
      <c r="BO513" s="204"/>
      <c r="BP513" s="204"/>
    </row>
    <row r="514" spans="1:68" ht="15" x14ac:dyDescent="0.2">
      <c r="A514" s="204"/>
      <c r="B514" s="204"/>
      <c r="C514" s="821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821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821"/>
      <c r="AL514" s="204"/>
      <c r="AM514" s="204"/>
      <c r="AN514" s="204"/>
      <c r="AO514" s="204"/>
      <c r="AP514" s="204"/>
      <c r="AQ514" s="204"/>
      <c r="AR514" s="204"/>
      <c r="AS514" s="204"/>
      <c r="AT514" s="204"/>
      <c r="AU514" s="204"/>
      <c r="AV514" s="204"/>
      <c r="AW514" s="204"/>
      <c r="AX514" s="204"/>
      <c r="AY514" s="204"/>
      <c r="AZ514" s="204"/>
      <c r="BA514" s="204"/>
      <c r="BB514" s="204"/>
      <c r="BC514" s="204"/>
      <c r="BD514" s="204"/>
      <c r="BE514" s="204"/>
      <c r="BF514" s="204"/>
      <c r="BG514" s="204"/>
      <c r="BH514" s="204"/>
      <c r="BI514" s="204"/>
      <c r="BJ514" s="204"/>
      <c r="BK514" s="204"/>
      <c r="BL514" s="204"/>
      <c r="BM514" s="204"/>
      <c r="BN514" s="204"/>
      <c r="BO514" s="204"/>
      <c r="BP514" s="204"/>
    </row>
    <row r="515" spans="1:68" ht="15" x14ac:dyDescent="0.2">
      <c r="A515" s="204"/>
      <c r="B515" s="204"/>
      <c r="C515" s="821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821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  <c r="AA515" s="204"/>
      <c r="AB515" s="204"/>
      <c r="AC515" s="204"/>
      <c r="AD515" s="204"/>
      <c r="AE515" s="204"/>
      <c r="AF515" s="204"/>
      <c r="AG515" s="204"/>
      <c r="AH515" s="204"/>
      <c r="AI515" s="204"/>
      <c r="AJ515" s="204"/>
      <c r="AK515" s="821"/>
      <c r="AL515" s="204"/>
      <c r="AM515" s="204"/>
      <c r="AN515" s="204"/>
      <c r="AO515" s="204"/>
      <c r="AP515" s="204"/>
      <c r="AQ515" s="204"/>
      <c r="AR515" s="204"/>
      <c r="AS515" s="204"/>
      <c r="AT515" s="204"/>
      <c r="AU515" s="204"/>
      <c r="AV515" s="204"/>
      <c r="AW515" s="204"/>
      <c r="AX515" s="204"/>
      <c r="AY515" s="204"/>
      <c r="AZ515" s="204"/>
      <c r="BA515" s="204"/>
      <c r="BB515" s="204"/>
      <c r="BC515" s="204"/>
      <c r="BD515" s="204"/>
      <c r="BE515" s="204"/>
      <c r="BF515" s="204"/>
      <c r="BG515" s="204"/>
      <c r="BH515" s="204"/>
      <c r="BI515" s="204"/>
      <c r="BJ515" s="204"/>
      <c r="BK515" s="204"/>
      <c r="BL515" s="204"/>
      <c r="BM515" s="204"/>
      <c r="BN515" s="204"/>
      <c r="BO515" s="204"/>
      <c r="BP515" s="204"/>
    </row>
    <row r="516" spans="1:68" ht="15" x14ac:dyDescent="0.2">
      <c r="A516" s="204"/>
      <c r="B516" s="204"/>
      <c r="C516" s="821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821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  <c r="AA516" s="204"/>
      <c r="AB516" s="204"/>
      <c r="AC516" s="204"/>
      <c r="AD516" s="204"/>
      <c r="AE516" s="204"/>
      <c r="AF516" s="204"/>
      <c r="AG516" s="204"/>
      <c r="AH516" s="204"/>
      <c r="AI516" s="204"/>
      <c r="AJ516" s="204"/>
      <c r="AK516" s="821"/>
      <c r="AL516" s="204"/>
      <c r="AM516" s="204"/>
      <c r="AN516" s="204"/>
      <c r="AO516" s="204"/>
      <c r="AP516" s="204"/>
      <c r="AQ516" s="204"/>
      <c r="AR516" s="204"/>
      <c r="AS516" s="204"/>
      <c r="AT516" s="204"/>
      <c r="AU516" s="204"/>
      <c r="AV516" s="204"/>
      <c r="AW516" s="204"/>
      <c r="AX516" s="204"/>
      <c r="AY516" s="204"/>
      <c r="AZ516" s="204"/>
      <c r="BA516" s="204"/>
      <c r="BB516" s="204"/>
      <c r="BC516" s="204"/>
      <c r="BD516" s="204"/>
      <c r="BE516" s="204"/>
      <c r="BF516" s="204"/>
      <c r="BG516" s="204"/>
      <c r="BH516" s="204"/>
      <c r="BI516" s="204"/>
      <c r="BJ516" s="204"/>
      <c r="BK516" s="204"/>
      <c r="BL516" s="204"/>
      <c r="BM516" s="204"/>
      <c r="BN516" s="204"/>
      <c r="BO516" s="204"/>
      <c r="BP516" s="204"/>
    </row>
    <row r="517" spans="1:68" ht="15" x14ac:dyDescent="0.2">
      <c r="A517" s="204"/>
      <c r="B517" s="204"/>
      <c r="C517" s="821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821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  <c r="AA517" s="204"/>
      <c r="AB517" s="204"/>
      <c r="AC517" s="204"/>
      <c r="AD517" s="204"/>
      <c r="AE517" s="204"/>
      <c r="AF517" s="204"/>
      <c r="AG517" s="204"/>
      <c r="AH517" s="204"/>
      <c r="AI517" s="204"/>
      <c r="AJ517" s="204"/>
      <c r="AK517" s="821"/>
      <c r="AL517" s="204"/>
      <c r="AM517" s="204"/>
      <c r="AN517" s="204"/>
      <c r="AO517" s="204"/>
      <c r="AP517" s="204"/>
      <c r="AQ517" s="204"/>
      <c r="AR517" s="204"/>
      <c r="AS517" s="204"/>
      <c r="AT517" s="204"/>
      <c r="AU517" s="204"/>
      <c r="AV517" s="204"/>
      <c r="AW517" s="204"/>
      <c r="AX517" s="204"/>
      <c r="AY517" s="204"/>
      <c r="AZ517" s="204"/>
      <c r="BA517" s="204"/>
      <c r="BB517" s="204"/>
      <c r="BC517" s="204"/>
      <c r="BD517" s="204"/>
      <c r="BE517" s="204"/>
      <c r="BF517" s="204"/>
      <c r="BG517" s="204"/>
      <c r="BH517" s="204"/>
      <c r="BI517" s="204"/>
      <c r="BJ517" s="204"/>
      <c r="BK517" s="204"/>
      <c r="BL517" s="204"/>
      <c r="BM517" s="204"/>
      <c r="BN517" s="204"/>
      <c r="BO517" s="204"/>
      <c r="BP517" s="204"/>
    </row>
    <row r="518" spans="1:68" ht="15" x14ac:dyDescent="0.2">
      <c r="A518" s="204"/>
      <c r="B518" s="204"/>
      <c r="C518" s="821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821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821"/>
      <c r="AL518" s="204"/>
      <c r="AM518" s="204"/>
      <c r="AN518" s="204"/>
      <c r="AO518" s="204"/>
      <c r="AP518" s="204"/>
      <c r="AQ518" s="204"/>
      <c r="AR518" s="204"/>
      <c r="AS518" s="204"/>
      <c r="AT518" s="204"/>
      <c r="AU518" s="204"/>
      <c r="AV518" s="204"/>
      <c r="AW518" s="204"/>
      <c r="AX518" s="204"/>
      <c r="AY518" s="204"/>
      <c r="AZ518" s="204"/>
      <c r="BA518" s="204"/>
      <c r="BB518" s="204"/>
      <c r="BC518" s="204"/>
      <c r="BD518" s="204"/>
      <c r="BE518" s="204"/>
      <c r="BF518" s="204"/>
      <c r="BG518" s="204"/>
      <c r="BH518" s="204"/>
      <c r="BI518" s="204"/>
      <c r="BJ518" s="204"/>
      <c r="BK518" s="204"/>
      <c r="BL518" s="204"/>
      <c r="BM518" s="204"/>
      <c r="BN518" s="204"/>
      <c r="BO518" s="204"/>
      <c r="BP518" s="204"/>
    </row>
    <row r="519" spans="1:68" ht="15" x14ac:dyDescent="0.2">
      <c r="A519" s="204"/>
      <c r="B519" s="204"/>
      <c r="C519" s="821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821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821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04"/>
      <c r="BN519" s="204"/>
      <c r="BO519" s="204"/>
      <c r="BP519" s="204"/>
    </row>
    <row r="520" spans="1:68" ht="15" x14ac:dyDescent="0.2">
      <c r="A520" s="204"/>
      <c r="B520" s="204"/>
      <c r="C520" s="821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821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821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04"/>
      <c r="BN520" s="204"/>
      <c r="BO520" s="204"/>
      <c r="BP520" s="204"/>
    </row>
    <row r="521" spans="1:68" ht="15" x14ac:dyDescent="0.2">
      <c r="A521" s="204"/>
      <c r="B521" s="204"/>
      <c r="C521" s="821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821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821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04"/>
      <c r="BN521" s="204"/>
      <c r="BO521" s="204"/>
      <c r="BP521" s="204"/>
    </row>
    <row r="522" spans="1:68" ht="15" x14ac:dyDescent="0.2">
      <c r="A522" s="204"/>
      <c r="B522" s="204"/>
      <c r="C522" s="821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821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821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04"/>
      <c r="BN522" s="204"/>
      <c r="BO522" s="204"/>
      <c r="BP522" s="204"/>
    </row>
    <row r="523" spans="1:68" ht="15" x14ac:dyDescent="0.2">
      <c r="A523" s="204"/>
      <c r="B523" s="204"/>
      <c r="C523" s="821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821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821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04"/>
      <c r="BN523" s="204"/>
      <c r="BO523" s="204"/>
      <c r="BP523" s="204"/>
    </row>
    <row r="524" spans="1:68" ht="15" x14ac:dyDescent="0.2">
      <c r="A524" s="204"/>
      <c r="B524" s="204"/>
      <c r="C524" s="821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821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821"/>
      <c r="AL524" s="204"/>
      <c r="AM524" s="204"/>
      <c r="AN524" s="204"/>
      <c r="AO524" s="204"/>
      <c r="AP524" s="204"/>
      <c r="AQ524" s="204"/>
      <c r="AR524" s="204"/>
      <c r="AS524" s="204"/>
      <c r="AT524" s="204"/>
      <c r="AU524" s="204"/>
      <c r="AV524" s="204"/>
      <c r="AW524" s="204"/>
      <c r="AX524" s="204"/>
      <c r="AY524" s="204"/>
      <c r="AZ524" s="204"/>
      <c r="BA524" s="204"/>
      <c r="BB524" s="204"/>
      <c r="BC524" s="204"/>
      <c r="BD524" s="204"/>
      <c r="BE524" s="204"/>
      <c r="BF524" s="204"/>
      <c r="BG524" s="204"/>
      <c r="BH524" s="204"/>
      <c r="BI524" s="204"/>
      <c r="BJ524" s="204"/>
      <c r="BK524" s="204"/>
      <c r="BL524" s="204"/>
      <c r="BM524" s="204"/>
      <c r="BN524" s="204"/>
      <c r="BO524" s="204"/>
      <c r="BP524" s="204"/>
    </row>
    <row r="525" spans="1:68" ht="15" x14ac:dyDescent="0.2">
      <c r="A525" s="204"/>
      <c r="B525" s="204"/>
      <c r="C525" s="821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821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821"/>
      <c r="AL525" s="204"/>
      <c r="AM525" s="204"/>
      <c r="AN525" s="204"/>
      <c r="AO525" s="204"/>
      <c r="AP525" s="204"/>
      <c r="AQ525" s="204"/>
      <c r="AR525" s="204"/>
      <c r="AS525" s="204"/>
      <c r="AT525" s="204"/>
      <c r="AU525" s="204"/>
      <c r="AV525" s="204"/>
      <c r="AW525" s="204"/>
      <c r="AX525" s="204"/>
      <c r="AY525" s="204"/>
      <c r="AZ525" s="204"/>
      <c r="BA525" s="204"/>
      <c r="BB525" s="204"/>
      <c r="BC525" s="204"/>
      <c r="BD525" s="204"/>
      <c r="BE525" s="204"/>
      <c r="BF525" s="204"/>
      <c r="BG525" s="204"/>
      <c r="BH525" s="204"/>
      <c r="BI525" s="204"/>
      <c r="BJ525" s="204"/>
      <c r="BK525" s="204"/>
      <c r="BL525" s="204"/>
      <c r="BM525" s="204"/>
      <c r="BN525" s="204"/>
      <c r="BO525" s="204"/>
      <c r="BP525" s="204"/>
    </row>
    <row r="526" spans="1:68" ht="15" x14ac:dyDescent="0.2">
      <c r="A526" s="204"/>
      <c r="B526" s="204"/>
      <c r="C526" s="821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821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  <c r="AA526" s="204"/>
      <c r="AB526" s="204"/>
      <c r="AC526" s="204"/>
      <c r="AD526" s="204"/>
      <c r="AE526" s="204"/>
      <c r="AF526" s="204"/>
      <c r="AG526" s="204"/>
      <c r="AH526" s="204"/>
      <c r="AI526" s="204"/>
      <c r="AJ526" s="204"/>
      <c r="AK526" s="821"/>
      <c r="AL526" s="204"/>
      <c r="AM526" s="204"/>
      <c r="AN526" s="204"/>
      <c r="AO526" s="204"/>
      <c r="AP526" s="204"/>
      <c r="AQ526" s="204"/>
      <c r="AR526" s="204"/>
      <c r="AS526" s="204"/>
      <c r="AT526" s="204"/>
      <c r="AU526" s="204"/>
      <c r="AV526" s="204"/>
      <c r="AW526" s="204"/>
      <c r="AX526" s="204"/>
      <c r="AY526" s="204"/>
      <c r="AZ526" s="204"/>
      <c r="BA526" s="204"/>
      <c r="BB526" s="204"/>
      <c r="BC526" s="204"/>
      <c r="BD526" s="204"/>
      <c r="BE526" s="204"/>
      <c r="BF526" s="204"/>
      <c r="BG526" s="204"/>
      <c r="BH526" s="204"/>
      <c r="BI526" s="204"/>
      <c r="BJ526" s="204"/>
      <c r="BK526" s="204"/>
      <c r="BL526" s="204"/>
      <c r="BM526" s="204"/>
      <c r="BN526" s="204"/>
      <c r="BO526" s="204"/>
      <c r="BP526" s="204"/>
    </row>
    <row r="527" spans="1:68" ht="15" x14ac:dyDescent="0.2">
      <c r="A527" s="204"/>
      <c r="B527" s="204"/>
      <c r="C527" s="821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821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  <c r="AA527" s="204"/>
      <c r="AB527" s="204"/>
      <c r="AC527" s="204"/>
      <c r="AD527" s="204"/>
      <c r="AE527" s="204"/>
      <c r="AF527" s="204"/>
      <c r="AG527" s="204"/>
      <c r="AH527" s="204"/>
      <c r="AI527" s="204"/>
      <c r="AJ527" s="204"/>
      <c r="AK527" s="821"/>
      <c r="AL527" s="204"/>
      <c r="AM527" s="204"/>
      <c r="AN527" s="204"/>
      <c r="AO527" s="204"/>
      <c r="AP527" s="204"/>
      <c r="AQ527" s="204"/>
      <c r="AR527" s="204"/>
      <c r="AS527" s="204"/>
      <c r="AT527" s="204"/>
      <c r="AU527" s="204"/>
      <c r="AV527" s="204"/>
      <c r="AW527" s="204"/>
      <c r="AX527" s="204"/>
      <c r="AY527" s="204"/>
      <c r="AZ527" s="204"/>
      <c r="BA527" s="204"/>
      <c r="BB527" s="204"/>
      <c r="BC527" s="204"/>
      <c r="BD527" s="204"/>
      <c r="BE527" s="204"/>
      <c r="BF527" s="204"/>
      <c r="BG527" s="204"/>
      <c r="BH527" s="204"/>
      <c r="BI527" s="204"/>
      <c r="BJ527" s="204"/>
      <c r="BK527" s="204"/>
      <c r="BL527" s="204"/>
      <c r="BM527" s="204"/>
      <c r="BN527" s="204"/>
      <c r="BO527" s="204"/>
      <c r="BP527" s="204"/>
    </row>
    <row r="528" spans="1:68" ht="15" x14ac:dyDescent="0.2">
      <c r="A528" s="204"/>
      <c r="B528" s="204"/>
      <c r="C528" s="821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821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821"/>
      <c r="AL528" s="204"/>
      <c r="AM528" s="204"/>
      <c r="AN528" s="204"/>
      <c r="AO528" s="204"/>
      <c r="AP528" s="204"/>
      <c r="AQ528" s="204"/>
      <c r="AR528" s="204"/>
      <c r="AS528" s="204"/>
      <c r="AT528" s="204"/>
      <c r="AU528" s="204"/>
      <c r="AV528" s="204"/>
      <c r="AW528" s="204"/>
      <c r="AX528" s="204"/>
      <c r="AY528" s="204"/>
      <c r="AZ528" s="204"/>
      <c r="BA528" s="204"/>
      <c r="BB528" s="204"/>
      <c r="BC528" s="204"/>
      <c r="BD528" s="204"/>
      <c r="BE528" s="204"/>
      <c r="BF528" s="204"/>
      <c r="BG528" s="204"/>
      <c r="BH528" s="204"/>
      <c r="BI528" s="204"/>
      <c r="BJ528" s="204"/>
      <c r="BK528" s="204"/>
      <c r="BL528" s="204"/>
      <c r="BM528" s="204"/>
      <c r="BN528" s="204"/>
      <c r="BO528" s="204"/>
      <c r="BP528" s="204"/>
    </row>
    <row r="529" spans="1:68" ht="15" x14ac:dyDescent="0.2">
      <c r="A529" s="204"/>
      <c r="B529" s="204"/>
      <c r="C529" s="821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821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  <c r="AA529" s="204"/>
      <c r="AB529" s="204"/>
      <c r="AC529" s="204"/>
      <c r="AD529" s="204"/>
      <c r="AE529" s="204"/>
      <c r="AF529" s="204"/>
      <c r="AG529" s="204"/>
      <c r="AH529" s="204"/>
      <c r="AI529" s="204"/>
      <c r="AJ529" s="204"/>
      <c r="AK529" s="821"/>
      <c r="AL529" s="204"/>
      <c r="AM529" s="204"/>
      <c r="AN529" s="204"/>
      <c r="AO529" s="204"/>
      <c r="AP529" s="204"/>
      <c r="AQ529" s="204"/>
      <c r="AR529" s="204"/>
      <c r="AS529" s="204"/>
      <c r="AT529" s="204"/>
      <c r="AU529" s="204"/>
      <c r="AV529" s="204"/>
      <c r="AW529" s="204"/>
      <c r="AX529" s="204"/>
      <c r="AY529" s="204"/>
      <c r="AZ529" s="204"/>
      <c r="BA529" s="204"/>
      <c r="BB529" s="204"/>
      <c r="BC529" s="204"/>
      <c r="BD529" s="204"/>
      <c r="BE529" s="204"/>
      <c r="BF529" s="204"/>
      <c r="BG529" s="204"/>
      <c r="BH529" s="204"/>
      <c r="BI529" s="204"/>
      <c r="BJ529" s="204"/>
      <c r="BK529" s="204"/>
      <c r="BL529" s="204"/>
      <c r="BM529" s="204"/>
      <c r="BN529" s="204"/>
      <c r="BO529" s="204"/>
      <c r="BP529" s="204"/>
    </row>
    <row r="530" spans="1:68" ht="15" x14ac:dyDescent="0.2">
      <c r="A530" s="204"/>
      <c r="B530" s="204"/>
      <c r="C530" s="821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821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  <c r="AA530" s="204"/>
      <c r="AB530" s="204"/>
      <c r="AC530" s="204"/>
      <c r="AD530" s="204"/>
      <c r="AE530" s="204"/>
      <c r="AF530" s="204"/>
      <c r="AG530" s="204"/>
      <c r="AH530" s="204"/>
      <c r="AI530" s="204"/>
      <c r="AJ530" s="204"/>
      <c r="AK530" s="821"/>
      <c r="AL530" s="204"/>
      <c r="AM530" s="204"/>
      <c r="AN530" s="204"/>
      <c r="AO530" s="204"/>
      <c r="AP530" s="204"/>
      <c r="AQ530" s="204"/>
      <c r="AR530" s="204"/>
      <c r="AS530" s="204"/>
      <c r="AT530" s="204"/>
      <c r="AU530" s="204"/>
      <c r="AV530" s="204"/>
      <c r="AW530" s="204"/>
      <c r="AX530" s="204"/>
      <c r="AY530" s="204"/>
      <c r="AZ530" s="204"/>
      <c r="BA530" s="204"/>
      <c r="BB530" s="204"/>
      <c r="BC530" s="204"/>
      <c r="BD530" s="204"/>
      <c r="BE530" s="204"/>
      <c r="BF530" s="204"/>
      <c r="BG530" s="204"/>
      <c r="BH530" s="204"/>
      <c r="BI530" s="204"/>
      <c r="BJ530" s="204"/>
      <c r="BK530" s="204"/>
      <c r="BL530" s="204"/>
      <c r="BM530" s="204"/>
      <c r="BN530" s="204"/>
      <c r="BO530" s="204"/>
      <c r="BP530" s="204"/>
    </row>
    <row r="531" spans="1:68" ht="15" x14ac:dyDescent="0.2">
      <c r="A531" s="204"/>
      <c r="B531" s="204"/>
      <c r="C531" s="821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821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  <c r="AA531" s="204"/>
      <c r="AB531" s="204"/>
      <c r="AC531" s="204"/>
      <c r="AD531" s="204"/>
      <c r="AE531" s="204"/>
      <c r="AF531" s="204"/>
      <c r="AG531" s="204"/>
      <c r="AH531" s="204"/>
      <c r="AI531" s="204"/>
      <c r="AJ531" s="204"/>
      <c r="AK531" s="821"/>
      <c r="AL531" s="204"/>
      <c r="AM531" s="204"/>
      <c r="AN531" s="204"/>
      <c r="AO531" s="204"/>
      <c r="AP531" s="204"/>
      <c r="AQ531" s="204"/>
      <c r="AR531" s="204"/>
      <c r="AS531" s="204"/>
      <c r="AT531" s="204"/>
      <c r="AU531" s="204"/>
      <c r="AV531" s="204"/>
      <c r="AW531" s="204"/>
      <c r="AX531" s="204"/>
      <c r="AY531" s="204"/>
      <c r="AZ531" s="204"/>
      <c r="BA531" s="204"/>
      <c r="BB531" s="204"/>
      <c r="BC531" s="204"/>
      <c r="BD531" s="204"/>
      <c r="BE531" s="204"/>
      <c r="BF531" s="204"/>
      <c r="BG531" s="204"/>
      <c r="BH531" s="204"/>
      <c r="BI531" s="204"/>
      <c r="BJ531" s="204"/>
      <c r="BK531" s="204"/>
      <c r="BL531" s="204"/>
      <c r="BM531" s="204"/>
      <c r="BN531" s="204"/>
      <c r="BO531" s="204"/>
      <c r="BP531" s="204"/>
    </row>
    <row r="532" spans="1:68" ht="15" x14ac:dyDescent="0.2">
      <c r="A532" s="204"/>
      <c r="B532" s="204"/>
      <c r="C532" s="821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821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  <c r="AA532" s="204"/>
      <c r="AB532" s="204"/>
      <c r="AC532" s="204"/>
      <c r="AD532" s="204"/>
      <c r="AE532" s="204"/>
      <c r="AF532" s="204"/>
      <c r="AG532" s="204"/>
      <c r="AH532" s="204"/>
      <c r="AI532" s="204"/>
      <c r="AJ532" s="204"/>
      <c r="AK532" s="821"/>
      <c r="AL532" s="204"/>
      <c r="AM532" s="204"/>
      <c r="AN532" s="204"/>
      <c r="AO532" s="204"/>
      <c r="AP532" s="204"/>
      <c r="AQ532" s="204"/>
      <c r="AR532" s="204"/>
      <c r="AS532" s="204"/>
      <c r="AT532" s="204"/>
      <c r="AU532" s="204"/>
      <c r="AV532" s="204"/>
      <c r="AW532" s="204"/>
      <c r="AX532" s="204"/>
      <c r="AY532" s="204"/>
      <c r="AZ532" s="204"/>
      <c r="BA532" s="204"/>
      <c r="BB532" s="204"/>
      <c r="BC532" s="204"/>
      <c r="BD532" s="204"/>
      <c r="BE532" s="204"/>
      <c r="BF532" s="204"/>
      <c r="BG532" s="204"/>
      <c r="BH532" s="204"/>
      <c r="BI532" s="204"/>
      <c r="BJ532" s="204"/>
      <c r="BK532" s="204"/>
      <c r="BL532" s="204"/>
      <c r="BM532" s="204"/>
      <c r="BN532" s="204"/>
      <c r="BO532" s="204"/>
      <c r="BP532" s="204"/>
    </row>
    <row r="533" spans="1:68" ht="15" x14ac:dyDescent="0.2">
      <c r="A533" s="204"/>
      <c r="B533" s="204"/>
      <c r="C533" s="821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821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  <c r="AA533" s="204"/>
      <c r="AB533" s="204"/>
      <c r="AC533" s="204"/>
      <c r="AD533" s="204"/>
      <c r="AE533" s="204"/>
      <c r="AF533" s="204"/>
      <c r="AG533" s="204"/>
      <c r="AH533" s="204"/>
      <c r="AI533" s="204"/>
      <c r="AJ533" s="204"/>
      <c r="AK533" s="821"/>
      <c r="AL533" s="204"/>
      <c r="AM533" s="204"/>
      <c r="AN533" s="204"/>
      <c r="AO533" s="204"/>
      <c r="AP533" s="204"/>
      <c r="AQ533" s="204"/>
      <c r="AR533" s="204"/>
      <c r="AS533" s="204"/>
      <c r="AT533" s="204"/>
      <c r="AU533" s="204"/>
      <c r="AV533" s="204"/>
      <c r="AW533" s="204"/>
      <c r="AX533" s="204"/>
      <c r="AY533" s="204"/>
      <c r="AZ533" s="204"/>
      <c r="BA533" s="204"/>
      <c r="BB533" s="204"/>
      <c r="BC533" s="204"/>
      <c r="BD533" s="204"/>
      <c r="BE533" s="204"/>
      <c r="BF533" s="204"/>
      <c r="BG533" s="204"/>
      <c r="BH533" s="204"/>
      <c r="BI533" s="204"/>
      <c r="BJ533" s="204"/>
      <c r="BK533" s="204"/>
      <c r="BL533" s="204"/>
      <c r="BM533" s="204"/>
      <c r="BN533" s="204"/>
      <c r="BO533" s="204"/>
      <c r="BP533" s="204"/>
    </row>
    <row r="534" spans="1:68" ht="15" x14ac:dyDescent="0.2">
      <c r="A534" s="204"/>
      <c r="B534" s="204"/>
      <c r="C534" s="821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821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  <c r="AA534" s="204"/>
      <c r="AB534" s="204"/>
      <c r="AC534" s="204"/>
      <c r="AD534" s="204"/>
      <c r="AE534" s="204"/>
      <c r="AF534" s="204"/>
      <c r="AG534" s="204"/>
      <c r="AH534" s="204"/>
      <c r="AI534" s="204"/>
      <c r="AJ534" s="204"/>
      <c r="AK534" s="821"/>
      <c r="AL534" s="204"/>
      <c r="AM534" s="204"/>
      <c r="AN534" s="204"/>
      <c r="AO534" s="204"/>
      <c r="AP534" s="204"/>
      <c r="AQ534" s="204"/>
      <c r="AR534" s="204"/>
      <c r="AS534" s="204"/>
      <c r="AT534" s="204"/>
      <c r="AU534" s="204"/>
      <c r="AV534" s="204"/>
      <c r="AW534" s="204"/>
      <c r="AX534" s="204"/>
      <c r="AY534" s="204"/>
      <c r="AZ534" s="204"/>
      <c r="BA534" s="204"/>
      <c r="BB534" s="204"/>
      <c r="BC534" s="204"/>
      <c r="BD534" s="204"/>
      <c r="BE534" s="204"/>
      <c r="BF534" s="204"/>
      <c r="BG534" s="204"/>
      <c r="BH534" s="204"/>
      <c r="BI534" s="204"/>
      <c r="BJ534" s="204"/>
      <c r="BK534" s="204"/>
      <c r="BL534" s="204"/>
      <c r="BM534" s="204"/>
      <c r="BN534" s="204"/>
      <c r="BO534" s="204"/>
      <c r="BP534" s="204"/>
    </row>
    <row r="535" spans="1:68" ht="15" x14ac:dyDescent="0.2">
      <c r="A535" s="204"/>
      <c r="B535" s="204"/>
      <c r="C535" s="821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821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  <c r="AA535" s="204"/>
      <c r="AB535" s="204"/>
      <c r="AC535" s="204"/>
      <c r="AD535" s="204"/>
      <c r="AE535" s="204"/>
      <c r="AF535" s="204"/>
      <c r="AG535" s="204"/>
      <c r="AH535" s="204"/>
      <c r="AI535" s="204"/>
      <c r="AJ535" s="204"/>
      <c r="AK535" s="821"/>
      <c r="AL535" s="204"/>
      <c r="AM535" s="204"/>
      <c r="AN535" s="204"/>
      <c r="AO535" s="204"/>
      <c r="AP535" s="204"/>
      <c r="AQ535" s="204"/>
      <c r="AR535" s="204"/>
      <c r="AS535" s="204"/>
      <c r="AT535" s="204"/>
      <c r="AU535" s="204"/>
      <c r="AV535" s="204"/>
      <c r="AW535" s="204"/>
      <c r="AX535" s="204"/>
      <c r="AY535" s="204"/>
      <c r="AZ535" s="204"/>
      <c r="BA535" s="204"/>
      <c r="BB535" s="204"/>
      <c r="BC535" s="204"/>
      <c r="BD535" s="204"/>
      <c r="BE535" s="204"/>
      <c r="BF535" s="204"/>
      <c r="BG535" s="204"/>
      <c r="BH535" s="204"/>
      <c r="BI535" s="204"/>
      <c r="BJ535" s="204"/>
      <c r="BK535" s="204"/>
      <c r="BL535" s="204"/>
      <c r="BM535" s="204"/>
      <c r="BN535" s="204"/>
      <c r="BO535" s="204"/>
      <c r="BP535" s="204"/>
    </row>
    <row r="536" spans="1:68" ht="15" x14ac:dyDescent="0.2">
      <c r="A536" s="204"/>
      <c r="B536" s="204"/>
      <c r="C536" s="821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821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  <c r="AA536" s="204"/>
      <c r="AB536" s="204"/>
      <c r="AC536" s="204"/>
      <c r="AD536" s="204"/>
      <c r="AE536" s="204"/>
      <c r="AF536" s="204"/>
      <c r="AG536" s="204"/>
      <c r="AH536" s="204"/>
      <c r="AI536" s="204"/>
      <c r="AJ536" s="204"/>
      <c r="AK536" s="821"/>
      <c r="AL536" s="204"/>
      <c r="AM536" s="204"/>
      <c r="AN536" s="204"/>
      <c r="AO536" s="204"/>
      <c r="AP536" s="204"/>
      <c r="AQ536" s="204"/>
      <c r="AR536" s="204"/>
      <c r="AS536" s="204"/>
      <c r="AT536" s="204"/>
      <c r="AU536" s="204"/>
      <c r="AV536" s="204"/>
      <c r="AW536" s="204"/>
      <c r="AX536" s="204"/>
      <c r="AY536" s="204"/>
      <c r="AZ536" s="204"/>
      <c r="BA536" s="204"/>
      <c r="BB536" s="204"/>
      <c r="BC536" s="204"/>
      <c r="BD536" s="204"/>
      <c r="BE536" s="204"/>
      <c r="BF536" s="204"/>
      <c r="BG536" s="204"/>
      <c r="BH536" s="204"/>
      <c r="BI536" s="204"/>
      <c r="BJ536" s="204"/>
      <c r="BK536" s="204"/>
      <c r="BL536" s="204"/>
      <c r="BM536" s="204"/>
      <c r="BN536" s="204"/>
      <c r="BO536" s="204"/>
      <c r="BP536" s="204"/>
    </row>
    <row r="537" spans="1:68" ht="15" x14ac:dyDescent="0.2">
      <c r="A537" s="204"/>
      <c r="B537" s="204"/>
      <c r="C537" s="821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821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  <c r="AA537" s="204"/>
      <c r="AB537" s="204"/>
      <c r="AC537" s="204"/>
      <c r="AD537" s="204"/>
      <c r="AE537" s="204"/>
      <c r="AF537" s="204"/>
      <c r="AG537" s="204"/>
      <c r="AH537" s="204"/>
      <c r="AI537" s="204"/>
      <c r="AJ537" s="204"/>
      <c r="AK537" s="821"/>
      <c r="AL537" s="204"/>
      <c r="AM537" s="204"/>
      <c r="AN537" s="204"/>
      <c r="AO537" s="204"/>
      <c r="AP537" s="204"/>
      <c r="AQ537" s="204"/>
      <c r="AR537" s="204"/>
      <c r="AS537" s="204"/>
      <c r="AT537" s="204"/>
      <c r="AU537" s="204"/>
      <c r="AV537" s="204"/>
      <c r="AW537" s="204"/>
      <c r="AX537" s="204"/>
      <c r="AY537" s="204"/>
      <c r="AZ537" s="204"/>
      <c r="BA537" s="204"/>
      <c r="BB537" s="204"/>
      <c r="BC537" s="204"/>
      <c r="BD537" s="204"/>
      <c r="BE537" s="204"/>
      <c r="BF537" s="204"/>
      <c r="BG537" s="204"/>
      <c r="BH537" s="204"/>
      <c r="BI537" s="204"/>
      <c r="BJ537" s="204"/>
      <c r="BK537" s="204"/>
      <c r="BL537" s="204"/>
      <c r="BM537" s="204"/>
      <c r="BN537" s="204"/>
      <c r="BO537" s="204"/>
      <c r="BP537" s="204"/>
    </row>
    <row r="538" spans="1:68" ht="15" x14ac:dyDescent="0.2">
      <c r="A538" s="204"/>
      <c r="B538" s="204"/>
      <c r="C538" s="821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821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  <c r="AA538" s="204"/>
      <c r="AB538" s="204"/>
      <c r="AC538" s="204"/>
      <c r="AD538" s="204"/>
      <c r="AE538" s="204"/>
      <c r="AF538" s="204"/>
      <c r="AG538" s="204"/>
      <c r="AH538" s="204"/>
      <c r="AI538" s="204"/>
      <c r="AJ538" s="204"/>
      <c r="AK538" s="821"/>
      <c r="AL538" s="204"/>
      <c r="AM538" s="204"/>
      <c r="AN538" s="204"/>
      <c r="AO538" s="204"/>
      <c r="AP538" s="204"/>
      <c r="AQ538" s="204"/>
      <c r="AR538" s="204"/>
      <c r="AS538" s="204"/>
      <c r="AT538" s="204"/>
      <c r="AU538" s="204"/>
      <c r="AV538" s="204"/>
      <c r="AW538" s="204"/>
      <c r="AX538" s="204"/>
      <c r="AY538" s="204"/>
      <c r="AZ538" s="204"/>
      <c r="BA538" s="204"/>
      <c r="BB538" s="204"/>
      <c r="BC538" s="204"/>
      <c r="BD538" s="204"/>
      <c r="BE538" s="204"/>
      <c r="BF538" s="204"/>
      <c r="BG538" s="204"/>
      <c r="BH538" s="204"/>
      <c r="BI538" s="204"/>
      <c r="BJ538" s="204"/>
      <c r="BK538" s="204"/>
      <c r="BL538" s="204"/>
      <c r="BM538" s="204"/>
      <c r="BN538" s="204"/>
      <c r="BO538" s="204"/>
      <c r="BP538" s="204"/>
    </row>
    <row r="539" spans="1:68" ht="15" x14ac:dyDescent="0.2">
      <c r="A539" s="204"/>
      <c r="B539" s="204"/>
      <c r="C539" s="821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821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  <c r="AA539" s="204"/>
      <c r="AB539" s="204"/>
      <c r="AC539" s="204"/>
      <c r="AD539" s="204"/>
      <c r="AE539" s="204"/>
      <c r="AF539" s="204"/>
      <c r="AG539" s="204"/>
      <c r="AH539" s="204"/>
      <c r="AI539" s="204"/>
      <c r="AJ539" s="204"/>
      <c r="AK539" s="821"/>
      <c r="AL539" s="204"/>
      <c r="AM539" s="204"/>
      <c r="AN539" s="204"/>
      <c r="AO539" s="204"/>
      <c r="AP539" s="204"/>
      <c r="AQ539" s="204"/>
      <c r="AR539" s="204"/>
      <c r="AS539" s="204"/>
      <c r="AT539" s="204"/>
      <c r="AU539" s="204"/>
      <c r="AV539" s="204"/>
      <c r="AW539" s="204"/>
      <c r="AX539" s="204"/>
      <c r="AY539" s="204"/>
      <c r="AZ539" s="204"/>
      <c r="BA539" s="204"/>
      <c r="BB539" s="204"/>
      <c r="BC539" s="204"/>
      <c r="BD539" s="204"/>
      <c r="BE539" s="204"/>
      <c r="BF539" s="204"/>
      <c r="BG539" s="204"/>
      <c r="BH539" s="204"/>
      <c r="BI539" s="204"/>
      <c r="BJ539" s="204"/>
      <c r="BK539" s="204"/>
      <c r="BL539" s="204"/>
      <c r="BM539" s="204"/>
      <c r="BN539" s="204"/>
      <c r="BO539" s="204"/>
      <c r="BP539" s="204"/>
    </row>
    <row r="540" spans="1:68" ht="15" x14ac:dyDescent="0.2">
      <c r="A540" s="204"/>
      <c r="B540" s="204"/>
      <c r="C540" s="821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821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  <c r="AA540" s="204"/>
      <c r="AB540" s="204"/>
      <c r="AC540" s="204"/>
      <c r="AD540" s="204"/>
      <c r="AE540" s="204"/>
      <c r="AF540" s="204"/>
      <c r="AG540" s="204"/>
      <c r="AH540" s="204"/>
      <c r="AI540" s="204"/>
      <c r="AJ540" s="204"/>
      <c r="AK540" s="821"/>
      <c r="AL540" s="204"/>
      <c r="AM540" s="204"/>
      <c r="AN540" s="204"/>
      <c r="AO540" s="204"/>
      <c r="AP540" s="204"/>
      <c r="AQ540" s="204"/>
      <c r="AR540" s="204"/>
      <c r="AS540" s="204"/>
      <c r="AT540" s="204"/>
      <c r="AU540" s="204"/>
      <c r="AV540" s="204"/>
      <c r="AW540" s="204"/>
      <c r="AX540" s="204"/>
      <c r="AY540" s="204"/>
      <c r="AZ540" s="204"/>
      <c r="BA540" s="204"/>
      <c r="BB540" s="204"/>
      <c r="BC540" s="204"/>
      <c r="BD540" s="204"/>
      <c r="BE540" s="204"/>
      <c r="BF540" s="204"/>
      <c r="BG540" s="204"/>
      <c r="BH540" s="204"/>
      <c r="BI540" s="204"/>
      <c r="BJ540" s="204"/>
      <c r="BK540" s="204"/>
      <c r="BL540" s="204"/>
      <c r="BM540" s="204"/>
      <c r="BN540" s="204"/>
      <c r="BO540" s="204"/>
      <c r="BP540" s="204"/>
    </row>
    <row r="541" spans="1:68" ht="15" x14ac:dyDescent="0.2">
      <c r="A541" s="204"/>
      <c r="B541" s="204"/>
      <c r="C541" s="821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821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  <c r="AA541" s="204"/>
      <c r="AB541" s="204"/>
      <c r="AC541" s="204"/>
      <c r="AD541" s="204"/>
      <c r="AE541" s="204"/>
      <c r="AF541" s="204"/>
      <c r="AG541" s="204"/>
      <c r="AH541" s="204"/>
      <c r="AI541" s="204"/>
      <c r="AJ541" s="204"/>
      <c r="AK541" s="821"/>
      <c r="AL541" s="204"/>
      <c r="AM541" s="204"/>
      <c r="AN541" s="204"/>
      <c r="AO541" s="204"/>
      <c r="AP541" s="204"/>
      <c r="AQ541" s="204"/>
      <c r="AR541" s="204"/>
      <c r="AS541" s="204"/>
      <c r="AT541" s="204"/>
      <c r="AU541" s="204"/>
      <c r="AV541" s="204"/>
      <c r="AW541" s="204"/>
      <c r="AX541" s="204"/>
      <c r="AY541" s="204"/>
      <c r="AZ541" s="204"/>
      <c r="BA541" s="204"/>
      <c r="BB541" s="204"/>
      <c r="BC541" s="204"/>
      <c r="BD541" s="204"/>
      <c r="BE541" s="204"/>
      <c r="BF541" s="204"/>
      <c r="BG541" s="204"/>
      <c r="BH541" s="204"/>
      <c r="BI541" s="204"/>
      <c r="BJ541" s="204"/>
      <c r="BK541" s="204"/>
      <c r="BL541" s="204"/>
      <c r="BM541" s="204"/>
      <c r="BN541" s="204"/>
      <c r="BO541" s="204"/>
      <c r="BP541" s="204"/>
    </row>
    <row r="542" spans="1:68" ht="15" x14ac:dyDescent="0.2">
      <c r="A542" s="204"/>
      <c r="B542" s="204"/>
      <c r="C542" s="821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821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  <c r="AA542" s="204"/>
      <c r="AB542" s="204"/>
      <c r="AC542" s="204"/>
      <c r="AD542" s="204"/>
      <c r="AE542" s="204"/>
      <c r="AF542" s="204"/>
      <c r="AG542" s="204"/>
      <c r="AH542" s="204"/>
      <c r="AI542" s="204"/>
      <c r="AJ542" s="204"/>
      <c r="AK542" s="821"/>
      <c r="AL542" s="204"/>
      <c r="AM542" s="204"/>
      <c r="AN542" s="204"/>
      <c r="AO542" s="204"/>
      <c r="AP542" s="204"/>
      <c r="AQ542" s="204"/>
      <c r="AR542" s="204"/>
      <c r="AS542" s="204"/>
      <c r="AT542" s="204"/>
      <c r="AU542" s="204"/>
      <c r="AV542" s="204"/>
      <c r="AW542" s="204"/>
      <c r="AX542" s="204"/>
      <c r="AY542" s="204"/>
      <c r="AZ542" s="204"/>
      <c r="BA542" s="204"/>
      <c r="BB542" s="204"/>
      <c r="BC542" s="204"/>
      <c r="BD542" s="204"/>
      <c r="BE542" s="204"/>
      <c r="BF542" s="204"/>
      <c r="BG542" s="204"/>
      <c r="BH542" s="204"/>
      <c r="BI542" s="204"/>
      <c r="BJ542" s="204"/>
      <c r="BK542" s="204"/>
      <c r="BL542" s="204"/>
      <c r="BM542" s="204"/>
      <c r="BN542" s="204"/>
      <c r="BO542" s="204"/>
      <c r="BP542" s="204"/>
    </row>
    <row r="543" spans="1:68" ht="15" x14ac:dyDescent="0.2">
      <c r="A543" s="204"/>
      <c r="B543" s="204"/>
      <c r="C543" s="821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821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  <c r="AA543" s="204"/>
      <c r="AB543" s="204"/>
      <c r="AC543" s="204"/>
      <c r="AD543" s="204"/>
      <c r="AE543" s="204"/>
      <c r="AF543" s="204"/>
      <c r="AG543" s="204"/>
      <c r="AH543" s="204"/>
      <c r="AI543" s="204"/>
      <c r="AJ543" s="204"/>
      <c r="AK543" s="821"/>
      <c r="AL543" s="204"/>
      <c r="AM543" s="204"/>
      <c r="AN543" s="204"/>
      <c r="AO543" s="204"/>
      <c r="AP543" s="204"/>
      <c r="AQ543" s="204"/>
      <c r="AR543" s="204"/>
      <c r="AS543" s="204"/>
      <c r="AT543" s="204"/>
      <c r="AU543" s="204"/>
      <c r="AV543" s="204"/>
      <c r="AW543" s="204"/>
      <c r="AX543" s="204"/>
      <c r="AY543" s="204"/>
      <c r="AZ543" s="204"/>
      <c r="BA543" s="204"/>
      <c r="BB543" s="204"/>
      <c r="BC543" s="204"/>
      <c r="BD543" s="204"/>
      <c r="BE543" s="204"/>
      <c r="BF543" s="204"/>
      <c r="BG543" s="204"/>
      <c r="BH543" s="204"/>
      <c r="BI543" s="204"/>
      <c r="BJ543" s="204"/>
      <c r="BK543" s="204"/>
      <c r="BL543" s="204"/>
      <c r="BM543" s="204"/>
      <c r="BN543" s="204"/>
      <c r="BO543" s="204"/>
      <c r="BP543" s="204"/>
    </row>
    <row r="544" spans="1:68" ht="15" x14ac:dyDescent="0.2">
      <c r="A544" s="204"/>
      <c r="B544" s="204"/>
      <c r="C544" s="821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821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  <c r="AA544" s="204"/>
      <c r="AB544" s="204"/>
      <c r="AC544" s="204"/>
      <c r="AD544" s="204"/>
      <c r="AE544" s="204"/>
      <c r="AF544" s="204"/>
      <c r="AG544" s="204"/>
      <c r="AH544" s="204"/>
      <c r="AI544" s="204"/>
      <c r="AJ544" s="204"/>
      <c r="AK544" s="821"/>
      <c r="AL544" s="204"/>
      <c r="AM544" s="204"/>
      <c r="AN544" s="204"/>
      <c r="AO544" s="204"/>
      <c r="AP544" s="204"/>
      <c r="AQ544" s="204"/>
      <c r="AR544" s="204"/>
      <c r="AS544" s="204"/>
      <c r="AT544" s="204"/>
      <c r="AU544" s="204"/>
      <c r="AV544" s="204"/>
      <c r="AW544" s="204"/>
      <c r="AX544" s="204"/>
      <c r="AY544" s="204"/>
      <c r="AZ544" s="204"/>
      <c r="BA544" s="204"/>
      <c r="BB544" s="204"/>
      <c r="BC544" s="204"/>
      <c r="BD544" s="204"/>
      <c r="BE544" s="204"/>
      <c r="BF544" s="204"/>
      <c r="BG544" s="204"/>
      <c r="BH544" s="204"/>
      <c r="BI544" s="204"/>
      <c r="BJ544" s="204"/>
      <c r="BK544" s="204"/>
      <c r="BL544" s="204"/>
      <c r="BM544" s="204"/>
      <c r="BN544" s="204"/>
      <c r="BO544" s="204"/>
      <c r="BP544" s="204"/>
    </row>
    <row r="545" spans="1:68" ht="15" x14ac:dyDescent="0.2">
      <c r="A545" s="204"/>
      <c r="B545" s="204"/>
      <c r="C545" s="821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821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  <c r="AA545" s="204"/>
      <c r="AB545" s="204"/>
      <c r="AC545" s="204"/>
      <c r="AD545" s="204"/>
      <c r="AE545" s="204"/>
      <c r="AF545" s="204"/>
      <c r="AG545" s="204"/>
      <c r="AH545" s="204"/>
      <c r="AI545" s="204"/>
      <c r="AJ545" s="204"/>
      <c r="AK545" s="821"/>
      <c r="AL545" s="204"/>
      <c r="AM545" s="204"/>
      <c r="AN545" s="204"/>
      <c r="AO545" s="204"/>
      <c r="AP545" s="204"/>
      <c r="AQ545" s="204"/>
      <c r="AR545" s="204"/>
      <c r="AS545" s="204"/>
      <c r="AT545" s="204"/>
      <c r="AU545" s="204"/>
      <c r="AV545" s="204"/>
      <c r="AW545" s="204"/>
      <c r="AX545" s="204"/>
      <c r="AY545" s="204"/>
      <c r="AZ545" s="204"/>
      <c r="BA545" s="204"/>
      <c r="BB545" s="204"/>
      <c r="BC545" s="204"/>
      <c r="BD545" s="204"/>
      <c r="BE545" s="204"/>
      <c r="BF545" s="204"/>
      <c r="BG545" s="204"/>
      <c r="BH545" s="204"/>
      <c r="BI545" s="204"/>
      <c r="BJ545" s="204"/>
      <c r="BK545" s="204"/>
      <c r="BL545" s="204"/>
      <c r="BM545" s="204"/>
      <c r="BN545" s="204"/>
      <c r="BO545" s="204"/>
      <c r="BP545" s="204"/>
    </row>
    <row r="546" spans="1:68" ht="15" x14ac:dyDescent="0.2">
      <c r="A546" s="204"/>
      <c r="B546" s="204"/>
      <c r="C546" s="821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821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821"/>
      <c r="AL546" s="204"/>
      <c r="AM546" s="204"/>
      <c r="AN546" s="204"/>
      <c r="AO546" s="204"/>
      <c r="AP546" s="204"/>
      <c r="AQ546" s="204"/>
      <c r="AR546" s="204"/>
      <c r="AS546" s="204"/>
      <c r="AT546" s="204"/>
      <c r="AU546" s="204"/>
      <c r="AV546" s="204"/>
      <c r="AW546" s="204"/>
      <c r="AX546" s="204"/>
      <c r="AY546" s="204"/>
      <c r="AZ546" s="204"/>
      <c r="BA546" s="204"/>
      <c r="BB546" s="204"/>
      <c r="BC546" s="204"/>
      <c r="BD546" s="204"/>
      <c r="BE546" s="204"/>
      <c r="BF546" s="204"/>
      <c r="BG546" s="204"/>
      <c r="BH546" s="204"/>
      <c r="BI546" s="204"/>
      <c r="BJ546" s="204"/>
      <c r="BK546" s="204"/>
      <c r="BL546" s="204"/>
      <c r="BM546" s="204"/>
      <c r="BN546" s="204"/>
      <c r="BO546" s="204"/>
      <c r="BP546" s="204"/>
    </row>
    <row r="547" spans="1:68" ht="15" x14ac:dyDescent="0.2">
      <c r="A547" s="204"/>
      <c r="B547" s="204"/>
      <c r="C547" s="821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821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  <c r="AA547" s="204"/>
      <c r="AB547" s="204"/>
      <c r="AC547" s="204"/>
      <c r="AD547" s="204"/>
      <c r="AE547" s="204"/>
      <c r="AF547" s="204"/>
      <c r="AG547" s="204"/>
      <c r="AH547" s="204"/>
      <c r="AI547" s="204"/>
      <c r="AJ547" s="204"/>
      <c r="AK547" s="821"/>
      <c r="AL547" s="204"/>
      <c r="AM547" s="204"/>
      <c r="AN547" s="204"/>
      <c r="AO547" s="204"/>
      <c r="AP547" s="204"/>
      <c r="AQ547" s="204"/>
      <c r="AR547" s="204"/>
      <c r="AS547" s="204"/>
      <c r="AT547" s="204"/>
      <c r="AU547" s="204"/>
      <c r="AV547" s="204"/>
      <c r="AW547" s="204"/>
      <c r="AX547" s="204"/>
      <c r="AY547" s="204"/>
      <c r="AZ547" s="204"/>
      <c r="BA547" s="204"/>
      <c r="BB547" s="204"/>
      <c r="BC547" s="204"/>
      <c r="BD547" s="204"/>
      <c r="BE547" s="204"/>
      <c r="BF547" s="204"/>
      <c r="BG547" s="204"/>
      <c r="BH547" s="204"/>
      <c r="BI547" s="204"/>
      <c r="BJ547" s="204"/>
      <c r="BK547" s="204"/>
      <c r="BL547" s="204"/>
      <c r="BM547" s="204"/>
      <c r="BN547" s="204"/>
      <c r="BO547" s="204"/>
      <c r="BP547" s="204"/>
    </row>
    <row r="548" spans="1:68" ht="15" x14ac:dyDescent="0.2">
      <c r="A548" s="204"/>
      <c r="B548" s="204"/>
      <c r="C548" s="821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821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  <c r="AA548" s="204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821"/>
      <c r="AL548" s="204"/>
      <c r="AM548" s="204"/>
      <c r="AN548" s="204"/>
      <c r="AO548" s="204"/>
      <c r="AP548" s="204"/>
      <c r="AQ548" s="204"/>
      <c r="AR548" s="204"/>
      <c r="AS548" s="204"/>
      <c r="AT548" s="204"/>
      <c r="AU548" s="204"/>
      <c r="AV548" s="204"/>
      <c r="AW548" s="204"/>
      <c r="AX548" s="204"/>
      <c r="AY548" s="204"/>
      <c r="AZ548" s="204"/>
      <c r="BA548" s="204"/>
      <c r="BB548" s="204"/>
      <c r="BC548" s="204"/>
      <c r="BD548" s="204"/>
      <c r="BE548" s="204"/>
      <c r="BF548" s="204"/>
      <c r="BG548" s="204"/>
      <c r="BH548" s="204"/>
      <c r="BI548" s="204"/>
      <c r="BJ548" s="204"/>
      <c r="BK548" s="204"/>
      <c r="BL548" s="204"/>
      <c r="BM548" s="204"/>
      <c r="BN548" s="204"/>
      <c r="BO548" s="204"/>
      <c r="BP548" s="204"/>
    </row>
    <row r="549" spans="1:68" ht="15" x14ac:dyDescent="0.2">
      <c r="A549" s="204"/>
      <c r="B549" s="204"/>
      <c r="C549" s="821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821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  <c r="AA549" s="204"/>
      <c r="AB549" s="204"/>
      <c r="AC549" s="204"/>
      <c r="AD549" s="204"/>
      <c r="AE549" s="204"/>
      <c r="AF549" s="204"/>
      <c r="AG549" s="204"/>
      <c r="AH549" s="204"/>
      <c r="AI549" s="204"/>
      <c r="AJ549" s="204"/>
      <c r="AK549" s="821"/>
      <c r="AL549" s="204"/>
      <c r="AM549" s="204"/>
      <c r="AN549" s="204"/>
      <c r="AO549" s="204"/>
      <c r="AP549" s="204"/>
      <c r="AQ549" s="204"/>
      <c r="AR549" s="204"/>
      <c r="AS549" s="204"/>
      <c r="AT549" s="204"/>
      <c r="AU549" s="204"/>
      <c r="AV549" s="204"/>
      <c r="AW549" s="204"/>
      <c r="AX549" s="204"/>
      <c r="AY549" s="204"/>
      <c r="AZ549" s="204"/>
      <c r="BA549" s="204"/>
      <c r="BB549" s="204"/>
      <c r="BC549" s="204"/>
      <c r="BD549" s="204"/>
      <c r="BE549" s="204"/>
      <c r="BF549" s="204"/>
      <c r="BG549" s="204"/>
      <c r="BH549" s="204"/>
      <c r="BI549" s="204"/>
      <c r="BJ549" s="204"/>
      <c r="BK549" s="204"/>
      <c r="BL549" s="204"/>
      <c r="BM549" s="204"/>
      <c r="BN549" s="204"/>
      <c r="BO549" s="204"/>
      <c r="BP549" s="204"/>
    </row>
    <row r="550" spans="1:68" ht="15" x14ac:dyDescent="0.2">
      <c r="A550" s="204"/>
      <c r="B550" s="204"/>
      <c r="C550" s="821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821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  <c r="AA550" s="204"/>
      <c r="AB550" s="204"/>
      <c r="AC550" s="204"/>
      <c r="AD550" s="204"/>
      <c r="AE550" s="204"/>
      <c r="AF550" s="204"/>
      <c r="AG550" s="204"/>
      <c r="AH550" s="204"/>
      <c r="AI550" s="204"/>
      <c r="AJ550" s="204"/>
      <c r="AK550" s="821"/>
      <c r="AL550" s="204"/>
      <c r="AM550" s="204"/>
      <c r="AN550" s="204"/>
      <c r="AO550" s="204"/>
      <c r="AP550" s="204"/>
      <c r="AQ550" s="204"/>
      <c r="AR550" s="204"/>
      <c r="AS550" s="204"/>
      <c r="AT550" s="204"/>
      <c r="AU550" s="204"/>
      <c r="AV550" s="204"/>
      <c r="AW550" s="204"/>
      <c r="AX550" s="204"/>
      <c r="AY550" s="204"/>
      <c r="AZ550" s="204"/>
      <c r="BA550" s="204"/>
      <c r="BB550" s="204"/>
      <c r="BC550" s="204"/>
      <c r="BD550" s="204"/>
      <c r="BE550" s="204"/>
      <c r="BF550" s="204"/>
      <c r="BG550" s="204"/>
      <c r="BH550" s="204"/>
      <c r="BI550" s="204"/>
      <c r="BJ550" s="204"/>
      <c r="BK550" s="204"/>
      <c r="BL550" s="204"/>
      <c r="BM550" s="204"/>
      <c r="BN550" s="204"/>
      <c r="BO550" s="204"/>
      <c r="BP550" s="204"/>
    </row>
    <row r="551" spans="1:68" ht="15" x14ac:dyDescent="0.2">
      <c r="A551" s="204"/>
      <c r="B551" s="204"/>
      <c r="C551" s="821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821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821"/>
      <c r="AL551" s="204"/>
      <c r="AM551" s="204"/>
      <c r="AN551" s="204"/>
      <c r="AO551" s="204"/>
      <c r="AP551" s="204"/>
      <c r="AQ551" s="204"/>
      <c r="AR551" s="204"/>
      <c r="AS551" s="204"/>
      <c r="AT551" s="204"/>
      <c r="AU551" s="204"/>
      <c r="AV551" s="204"/>
      <c r="AW551" s="204"/>
      <c r="AX551" s="204"/>
      <c r="AY551" s="204"/>
      <c r="AZ551" s="204"/>
      <c r="BA551" s="204"/>
      <c r="BB551" s="204"/>
      <c r="BC551" s="204"/>
      <c r="BD551" s="204"/>
      <c r="BE551" s="204"/>
      <c r="BF551" s="204"/>
      <c r="BG551" s="204"/>
      <c r="BH551" s="204"/>
      <c r="BI551" s="204"/>
      <c r="BJ551" s="204"/>
      <c r="BK551" s="204"/>
      <c r="BL551" s="204"/>
      <c r="BM551" s="204"/>
      <c r="BN551" s="204"/>
      <c r="BO551" s="204"/>
      <c r="BP551" s="204"/>
    </row>
    <row r="552" spans="1:68" ht="15" x14ac:dyDescent="0.2">
      <c r="A552" s="204"/>
      <c r="B552" s="204"/>
      <c r="C552" s="821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821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821"/>
      <c r="AL552" s="204"/>
      <c r="AM552" s="204"/>
      <c r="AN552" s="204"/>
      <c r="AO552" s="204"/>
      <c r="AP552" s="204"/>
      <c r="AQ552" s="204"/>
      <c r="AR552" s="204"/>
      <c r="AS552" s="204"/>
      <c r="AT552" s="204"/>
      <c r="AU552" s="204"/>
      <c r="AV552" s="204"/>
      <c r="AW552" s="204"/>
      <c r="AX552" s="204"/>
      <c r="AY552" s="204"/>
      <c r="AZ552" s="204"/>
      <c r="BA552" s="204"/>
      <c r="BB552" s="204"/>
      <c r="BC552" s="204"/>
      <c r="BD552" s="204"/>
      <c r="BE552" s="204"/>
      <c r="BF552" s="204"/>
      <c r="BG552" s="204"/>
      <c r="BH552" s="204"/>
      <c r="BI552" s="204"/>
      <c r="BJ552" s="204"/>
      <c r="BK552" s="204"/>
      <c r="BL552" s="204"/>
      <c r="BM552" s="204"/>
      <c r="BN552" s="204"/>
      <c r="BO552" s="204"/>
      <c r="BP552" s="204"/>
    </row>
    <row r="553" spans="1:68" ht="15" x14ac:dyDescent="0.2">
      <c r="A553" s="204"/>
      <c r="B553" s="204"/>
      <c r="C553" s="821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821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821"/>
      <c r="AL553" s="204"/>
      <c r="AM553" s="204"/>
      <c r="AN553" s="204"/>
      <c r="AO553" s="204"/>
      <c r="AP553" s="204"/>
      <c r="AQ553" s="204"/>
      <c r="AR553" s="204"/>
      <c r="AS553" s="204"/>
      <c r="AT553" s="204"/>
      <c r="AU553" s="204"/>
      <c r="AV553" s="204"/>
      <c r="AW553" s="204"/>
      <c r="AX553" s="204"/>
      <c r="AY553" s="204"/>
      <c r="AZ553" s="204"/>
      <c r="BA553" s="204"/>
      <c r="BB553" s="204"/>
      <c r="BC553" s="204"/>
      <c r="BD553" s="204"/>
      <c r="BE553" s="204"/>
      <c r="BF553" s="204"/>
      <c r="BG553" s="204"/>
      <c r="BH553" s="204"/>
      <c r="BI553" s="204"/>
      <c r="BJ553" s="204"/>
      <c r="BK553" s="204"/>
      <c r="BL553" s="204"/>
      <c r="BM553" s="204"/>
      <c r="BN553" s="204"/>
      <c r="BO553" s="204"/>
      <c r="BP553" s="204"/>
    </row>
    <row r="554" spans="1:68" ht="15" x14ac:dyDescent="0.2">
      <c r="A554" s="204"/>
      <c r="B554" s="204"/>
      <c r="C554" s="821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821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821"/>
      <c r="AL554" s="204"/>
      <c r="AM554" s="204"/>
      <c r="AN554" s="204"/>
      <c r="AO554" s="204"/>
      <c r="AP554" s="204"/>
      <c r="AQ554" s="204"/>
      <c r="AR554" s="204"/>
      <c r="AS554" s="204"/>
      <c r="AT554" s="204"/>
      <c r="AU554" s="204"/>
      <c r="AV554" s="204"/>
      <c r="AW554" s="204"/>
      <c r="AX554" s="204"/>
      <c r="AY554" s="204"/>
      <c r="AZ554" s="204"/>
      <c r="BA554" s="204"/>
      <c r="BB554" s="204"/>
      <c r="BC554" s="204"/>
      <c r="BD554" s="204"/>
      <c r="BE554" s="204"/>
      <c r="BF554" s="204"/>
      <c r="BG554" s="204"/>
      <c r="BH554" s="204"/>
      <c r="BI554" s="204"/>
      <c r="BJ554" s="204"/>
      <c r="BK554" s="204"/>
      <c r="BL554" s="204"/>
      <c r="BM554" s="204"/>
      <c r="BN554" s="204"/>
      <c r="BO554" s="204"/>
      <c r="BP554" s="204"/>
    </row>
    <row r="555" spans="1:68" ht="15" x14ac:dyDescent="0.2">
      <c r="A555" s="204"/>
      <c r="B555" s="204"/>
      <c r="C555" s="821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821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  <c r="AA555" s="204"/>
      <c r="AB555" s="204"/>
      <c r="AC555" s="204"/>
      <c r="AD555" s="204"/>
      <c r="AE555" s="204"/>
      <c r="AF555" s="204"/>
      <c r="AG555" s="204"/>
      <c r="AH555" s="204"/>
      <c r="AI555" s="204"/>
      <c r="AJ555" s="204"/>
      <c r="AK555" s="821"/>
      <c r="AL555" s="204"/>
      <c r="AM555" s="204"/>
      <c r="AN555" s="204"/>
      <c r="AO555" s="204"/>
      <c r="AP555" s="204"/>
      <c r="AQ555" s="204"/>
      <c r="AR555" s="204"/>
      <c r="AS555" s="204"/>
      <c r="AT555" s="204"/>
      <c r="AU555" s="204"/>
      <c r="AV555" s="204"/>
      <c r="AW555" s="204"/>
      <c r="AX555" s="204"/>
      <c r="AY555" s="204"/>
      <c r="AZ555" s="204"/>
      <c r="BA555" s="204"/>
      <c r="BB555" s="204"/>
      <c r="BC555" s="204"/>
      <c r="BD555" s="204"/>
      <c r="BE555" s="204"/>
      <c r="BF555" s="204"/>
      <c r="BG555" s="204"/>
      <c r="BH555" s="204"/>
      <c r="BI555" s="204"/>
      <c r="BJ555" s="204"/>
      <c r="BK555" s="204"/>
      <c r="BL555" s="204"/>
      <c r="BM555" s="204"/>
      <c r="BN555" s="204"/>
      <c r="BO555" s="204"/>
      <c r="BP555" s="204"/>
    </row>
    <row r="556" spans="1:68" ht="15" x14ac:dyDescent="0.2">
      <c r="A556" s="204"/>
      <c r="B556" s="204"/>
      <c r="C556" s="821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821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  <c r="AA556" s="204"/>
      <c r="AB556" s="204"/>
      <c r="AC556" s="204"/>
      <c r="AD556" s="204"/>
      <c r="AE556" s="204"/>
      <c r="AF556" s="204"/>
      <c r="AG556" s="204"/>
      <c r="AH556" s="204"/>
      <c r="AI556" s="204"/>
      <c r="AJ556" s="204"/>
      <c r="AK556" s="821"/>
      <c r="AL556" s="204"/>
      <c r="AM556" s="204"/>
      <c r="AN556" s="204"/>
      <c r="AO556" s="204"/>
      <c r="AP556" s="204"/>
      <c r="AQ556" s="204"/>
      <c r="AR556" s="204"/>
      <c r="AS556" s="204"/>
      <c r="AT556" s="204"/>
      <c r="AU556" s="204"/>
      <c r="AV556" s="204"/>
      <c r="AW556" s="204"/>
      <c r="AX556" s="204"/>
      <c r="AY556" s="204"/>
      <c r="AZ556" s="204"/>
      <c r="BA556" s="204"/>
      <c r="BB556" s="204"/>
      <c r="BC556" s="204"/>
      <c r="BD556" s="204"/>
      <c r="BE556" s="204"/>
      <c r="BF556" s="204"/>
      <c r="BG556" s="204"/>
      <c r="BH556" s="204"/>
      <c r="BI556" s="204"/>
      <c r="BJ556" s="204"/>
      <c r="BK556" s="204"/>
      <c r="BL556" s="204"/>
      <c r="BM556" s="204"/>
      <c r="BN556" s="204"/>
      <c r="BO556" s="204"/>
      <c r="BP556" s="204"/>
    </row>
    <row r="557" spans="1:68" ht="15" x14ac:dyDescent="0.2">
      <c r="A557" s="204"/>
      <c r="B557" s="204"/>
      <c r="C557" s="821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821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  <c r="AA557" s="204"/>
      <c r="AB557" s="204"/>
      <c r="AC557" s="204"/>
      <c r="AD557" s="204"/>
      <c r="AE557" s="204"/>
      <c r="AF557" s="204"/>
      <c r="AG557" s="204"/>
      <c r="AH557" s="204"/>
      <c r="AI557" s="204"/>
      <c r="AJ557" s="204"/>
      <c r="AK557" s="821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04"/>
      <c r="BI557" s="204"/>
      <c r="BJ557" s="204"/>
      <c r="BK557" s="204"/>
      <c r="BL557" s="204"/>
      <c r="BM557" s="204"/>
      <c r="BN557" s="204"/>
      <c r="BO557" s="204"/>
      <c r="BP557" s="204"/>
    </row>
    <row r="558" spans="1:68" ht="15" x14ac:dyDescent="0.2">
      <c r="A558" s="204"/>
      <c r="B558" s="204"/>
      <c r="C558" s="821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821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  <c r="AA558" s="204"/>
      <c r="AB558" s="204"/>
      <c r="AC558" s="204"/>
      <c r="AD558" s="204"/>
      <c r="AE558" s="204"/>
      <c r="AF558" s="204"/>
      <c r="AG558" s="204"/>
      <c r="AH558" s="204"/>
      <c r="AI558" s="204"/>
      <c r="AJ558" s="204"/>
      <c r="AK558" s="821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204"/>
      <c r="BN558" s="204"/>
      <c r="BO558" s="204"/>
      <c r="BP558" s="204"/>
    </row>
    <row r="559" spans="1:68" ht="15" x14ac:dyDescent="0.2">
      <c r="A559" s="204"/>
      <c r="B559" s="204"/>
      <c r="C559" s="821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821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  <c r="AA559" s="204"/>
      <c r="AB559" s="204"/>
      <c r="AC559" s="204"/>
      <c r="AD559" s="204"/>
      <c r="AE559" s="204"/>
      <c r="AF559" s="204"/>
      <c r="AG559" s="204"/>
      <c r="AH559" s="204"/>
      <c r="AI559" s="204"/>
      <c r="AJ559" s="204"/>
      <c r="AK559" s="821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204"/>
      <c r="BN559" s="204"/>
      <c r="BO559" s="204"/>
      <c r="BP559" s="204"/>
    </row>
    <row r="560" spans="1:68" ht="15" x14ac:dyDescent="0.2">
      <c r="A560" s="204"/>
      <c r="B560" s="204"/>
      <c r="C560" s="821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821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  <c r="AA560" s="204"/>
      <c r="AB560" s="204"/>
      <c r="AC560" s="204"/>
      <c r="AD560" s="204"/>
      <c r="AE560" s="204"/>
      <c r="AF560" s="204"/>
      <c r="AG560" s="204"/>
      <c r="AH560" s="204"/>
      <c r="AI560" s="204"/>
      <c r="AJ560" s="204"/>
      <c r="AK560" s="821"/>
      <c r="AL560" s="204"/>
      <c r="AM560" s="204"/>
      <c r="AN560" s="204"/>
      <c r="AO560" s="204"/>
      <c r="AP560" s="204"/>
      <c r="AQ560" s="204"/>
      <c r="AR560" s="204"/>
      <c r="AS560" s="204"/>
      <c r="AT560" s="204"/>
      <c r="AU560" s="204"/>
      <c r="AV560" s="204"/>
      <c r="AW560" s="204"/>
      <c r="AX560" s="204"/>
      <c r="AY560" s="204"/>
      <c r="AZ560" s="204"/>
      <c r="BA560" s="204"/>
      <c r="BB560" s="204"/>
      <c r="BC560" s="204"/>
      <c r="BD560" s="204"/>
      <c r="BE560" s="204"/>
      <c r="BF560" s="204"/>
      <c r="BG560" s="204"/>
      <c r="BH560" s="204"/>
      <c r="BI560" s="204"/>
      <c r="BJ560" s="204"/>
      <c r="BK560" s="204"/>
      <c r="BL560" s="204"/>
      <c r="BM560" s="204"/>
      <c r="BN560" s="204"/>
      <c r="BO560" s="204"/>
      <c r="BP560" s="204"/>
    </row>
    <row r="561" spans="1:68" ht="15" x14ac:dyDescent="0.2">
      <c r="A561" s="204"/>
      <c r="B561" s="204"/>
      <c r="C561" s="821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821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  <c r="AA561" s="204"/>
      <c r="AB561" s="204"/>
      <c r="AC561" s="204"/>
      <c r="AD561" s="204"/>
      <c r="AE561" s="204"/>
      <c r="AF561" s="204"/>
      <c r="AG561" s="204"/>
      <c r="AH561" s="204"/>
      <c r="AI561" s="204"/>
      <c r="AJ561" s="204"/>
      <c r="AK561" s="821"/>
      <c r="AL561" s="204"/>
      <c r="AM561" s="204"/>
      <c r="AN561" s="204"/>
      <c r="AO561" s="204"/>
      <c r="AP561" s="204"/>
      <c r="AQ561" s="204"/>
      <c r="AR561" s="204"/>
      <c r="AS561" s="204"/>
      <c r="AT561" s="204"/>
      <c r="AU561" s="204"/>
      <c r="AV561" s="204"/>
      <c r="AW561" s="204"/>
      <c r="AX561" s="204"/>
      <c r="AY561" s="204"/>
      <c r="AZ561" s="204"/>
      <c r="BA561" s="204"/>
      <c r="BB561" s="204"/>
      <c r="BC561" s="204"/>
      <c r="BD561" s="204"/>
      <c r="BE561" s="204"/>
      <c r="BF561" s="204"/>
      <c r="BG561" s="204"/>
      <c r="BH561" s="204"/>
      <c r="BI561" s="204"/>
      <c r="BJ561" s="204"/>
      <c r="BK561" s="204"/>
      <c r="BL561" s="204"/>
      <c r="BM561" s="204"/>
      <c r="BN561" s="204"/>
      <c r="BO561" s="204"/>
      <c r="BP561" s="204"/>
    </row>
    <row r="562" spans="1:68" ht="15" x14ac:dyDescent="0.2">
      <c r="A562" s="204"/>
      <c r="B562" s="204"/>
      <c r="C562" s="821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821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  <c r="AA562" s="204"/>
      <c r="AB562" s="204"/>
      <c r="AC562" s="204"/>
      <c r="AD562" s="204"/>
      <c r="AE562" s="204"/>
      <c r="AF562" s="204"/>
      <c r="AG562" s="204"/>
      <c r="AH562" s="204"/>
      <c r="AI562" s="204"/>
      <c r="AJ562" s="204"/>
      <c r="AK562" s="821"/>
      <c r="AL562" s="204"/>
      <c r="AM562" s="204"/>
      <c r="AN562" s="204"/>
      <c r="AO562" s="204"/>
      <c r="AP562" s="204"/>
      <c r="AQ562" s="204"/>
      <c r="AR562" s="204"/>
      <c r="AS562" s="204"/>
      <c r="AT562" s="204"/>
      <c r="AU562" s="204"/>
      <c r="AV562" s="204"/>
      <c r="AW562" s="204"/>
      <c r="AX562" s="204"/>
      <c r="AY562" s="204"/>
      <c r="AZ562" s="204"/>
      <c r="BA562" s="204"/>
      <c r="BB562" s="204"/>
      <c r="BC562" s="204"/>
      <c r="BD562" s="204"/>
      <c r="BE562" s="204"/>
      <c r="BF562" s="204"/>
      <c r="BG562" s="204"/>
      <c r="BH562" s="204"/>
      <c r="BI562" s="204"/>
      <c r="BJ562" s="204"/>
      <c r="BK562" s="204"/>
      <c r="BL562" s="204"/>
      <c r="BM562" s="204"/>
      <c r="BN562" s="204"/>
      <c r="BO562" s="204"/>
      <c r="BP562" s="204"/>
    </row>
    <row r="563" spans="1:68" ht="15" x14ac:dyDescent="0.2">
      <c r="A563" s="204"/>
      <c r="B563" s="204"/>
      <c r="C563" s="821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821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  <c r="AA563" s="204"/>
      <c r="AB563" s="204"/>
      <c r="AC563" s="204"/>
      <c r="AD563" s="204"/>
      <c r="AE563" s="204"/>
      <c r="AF563" s="204"/>
      <c r="AG563" s="204"/>
      <c r="AH563" s="204"/>
      <c r="AI563" s="204"/>
      <c r="AJ563" s="204"/>
      <c r="AK563" s="821"/>
      <c r="AL563" s="204"/>
      <c r="AM563" s="204"/>
      <c r="AN563" s="204"/>
      <c r="AO563" s="204"/>
      <c r="AP563" s="204"/>
      <c r="AQ563" s="204"/>
      <c r="AR563" s="204"/>
      <c r="AS563" s="204"/>
      <c r="AT563" s="204"/>
      <c r="AU563" s="204"/>
      <c r="AV563" s="204"/>
      <c r="AW563" s="204"/>
      <c r="AX563" s="204"/>
      <c r="AY563" s="204"/>
      <c r="AZ563" s="204"/>
      <c r="BA563" s="204"/>
      <c r="BB563" s="204"/>
      <c r="BC563" s="204"/>
      <c r="BD563" s="204"/>
      <c r="BE563" s="204"/>
      <c r="BF563" s="204"/>
      <c r="BG563" s="204"/>
      <c r="BH563" s="204"/>
      <c r="BI563" s="204"/>
      <c r="BJ563" s="204"/>
      <c r="BK563" s="204"/>
      <c r="BL563" s="204"/>
      <c r="BM563" s="204"/>
      <c r="BN563" s="204"/>
      <c r="BO563" s="204"/>
      <c r="BP563" s="204"/>
    </row>
    <row r="564" spans="1:68" ht="15" x14ac:dyDescent="0.2">
      <c r="A564" s="204"/>
      <c r="B564" s="204"/>
      <c r="C564" s="821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821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821"/>
      <c r="AL564" s="204"/>
      <c r="AM564" s="204"/>
      <c r="AN564" s="204"/>
      <c r="AO564" s="204"/>
      <c r="AP564" s="204"/>
      <c r="AQ564" s="204"/>
      <c r="AR564" s="204"/>
      <c r="AS564" s="204"/>
      <c r="AT564" s="204"/>
      <c r="AU564" s="204"/>
      <c r="AV564" s="204"/>
      <c r="AW564" s="204"/>
      <c r="AX564" s="204"/>
      <c r="AY564" s="204"/>
      <c r="AZ564" s="204"/>
      <c r="BA564" s="204"/>
      <c r="BB564" s="204"/>
      <c r="BC564" s="204"/>
      <c r="BD564" s="204"/>
      <c r="BE564" s="204"/>
      <c r="BF564" s="204"/>
      <c r="BG564" s="204"/>
      <c r="BH564" s="204"/>
      <c r="BI564" s="204"/>
      <c r="BJ564" s="204"/>
      <c r="BK564" s="204"/>
      <c r="BL564" s="204"/>
      <c r="BM564" s="204"/>
      <c r="BN564" s="204"/>
      <c r="BO564" s="204"/>
      <c r="BP564" s="204"/>
    </row>
    <row r="565" spans="1:68" ht="15" x14ac:dyDescent="0.2">
      <c r="A565" s="204"/>
      <c r="B565" s="204"/>
      <c r="C565" s="821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821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821"/>
      <c r="AL565" s="204"/>
      <c r="AM565" s="204"/>
      <c r="AN565" s="204"/>
      <c r="AO565" s="204"/>
      <c r="AP565" s="204"/>
      <c r="AQ565" s="204"/>
      <c r="AR565" s="204"/>
      <c r="AS565" s="204"/>
      <c r="AT565" s="204"/>
      <c r="AU565" s="204"/>
      <c r="AV565" s="204"/>
      <c r="AW565" s="204"/>
      <c r="AX565" s="204"/>
      <c r="AY565" s="204"/>
      <c r="AZ565" s="204"/>
      <c r="BA565" s="204"/>
      <c r="BB565" s="204"/>
      <c r="BC565" s="204"/>
      <c r="BD565" s="204"/>
      <c r="BE565" s="204"/>
      <c r="BF565" s="204"/>
      <c r="BG565" s="204"/>
      <c r="BH565" s="204"/>
      <c r="BI565" s="204"/>
      <c r="BJ565" s="204"/>
      <c r="BK565" s="204"/>
      <c r="BL565" s="204"/>
      <c r="BM565" s="204"/>
      <c r="BN565" s="204"/>
      <c r="BO565" s="204"/>
      <c r="BP565" s="204"/>
    </row>
    <row r="566" spans="1:68" ht="15" x14ac:dyDescent="0.2">
      <c r="A566" s="204"/>
      <c r="B566" s="204"/>
      <c r="C566" s="821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821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821"/>
      <c r="AL566" s="204"/>
      <c r="AM566" s="204"/>
      <c r="AN566" s="204"/>
      <c r="AO566" s="204"/>
      <c r="AP566" s="204"/>
      <c r="AQ566" s="204"/>
      <c r="AR566" s="204"/>
      <c r="AS566" s="204"/>
      <c r="AT566" s="204"/>
      <c r="AU566" s="204"/>
      <c r="AV566" s="204"/>
      <c r="AW566" s="204"/>
      <c r="AX566" s="204"/>
      <c r="AY566" s="204"/>
      <c r="AZ566" s="204"/>
      <c r="BA566" s="204"/>
      <c r="BB566" s="204"/>
      <c r="BC566" s="204"/>
      <c r="BD566" s="204"/>
      <c r="BE566" s="204"/>
      <c r="BF566" s="204"/>
      <c r="BG566" s="204"/>
      <c r="BH566" s="204"/>
      <c r="BI566" s="204"/>
      <c r="BJ566" s="204"/>
      <c r="BK566" s="204"/>
      <c r="BL566" s="204"/>
      <c r="BM566" s="204"/>
      <c r="BN566" s="204"/>
      <c r="BO566" s="204"/>
      <c r="BP566" s="204"/>
    </row>
    <row r="567" spans="1:68" ht="15" x14ac:dyDescent="0.2">
      <c r="A567" s="204"/>
      <c r="B567" s="204"/>
      <c r="C567" s="821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821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821"/>
      <c r="AL567" s="204"/>
      <c r="AM567" s="204"/>
      <c r="AN567" s="204"/>
      <c r="AO567" s="204"/>
      <c r="AP567" s="204"/>
      <c r="AQ567" s="204"/>
      <c r="AR567" s="204"/>
      <c r="AS567" s="204"/>
      <c r="AT567" s="204"/>
      <c r="AU567" s="204"/>
      <c r="AV567" s="204"/>
      <c r="AW567" s="204"/>
      <c r="AX567" s="204"/>
      <c r="AY567" s="204"/>
      <c r="AZ567" s="204"/>
      <c r="BA567" s="204"/>
      <c r="BB567" s="204"/>
      <c r="BC567" s="204"/>
      <c r="BD567" s="204"/>
      <c r="BE567" s="204"/>
      <c r="BF567" s="204"/>
      <c r="BG567" s="204"/>
      <c r="BH567" s="204"/>
      <c r="BI567" s="204"/>
      <c r="BJ567" s="204"/>
      <c r="BK567" s="204"/>
      <c r="BL567" s="204"/>
      <c r="BM567" s="204"/>
      <c r="BN567" s="204"/>
      <c r="BO567" s="204"/>
      <c r="BP567" s="204"/>
    </row>
    <row r="568" spans="1:68" ht="15" x14ac:dyDescent="0.2">
      <c r="A568" s="204"/>
      <c r="B568" s="204"/>
      <c r="C568" s="821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821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821"/>
      <c r="AL568" s="204"/>
      <c r="AM568" s="204"/>
      <c r="AN568" s="204"/>
      <c r="AO568" s="204"/>
      <c r="AP568" s="204"/>
      <c r="AQ568" s="204"/>
      <c r="AR568" s="204"/>
      <c r="AS568" s="204"/>
      <c r="AT568" s="204"/>
      <c r="AU568" s="204"/>
      <c r="AV568" s="204"/>
      <c r="AW568" s="204"/>
      <c r="AX568" s="204"/>
      <c r="AY568" s="204"/>
      <c r="AZ568" s="204"/>
      <c r="BA568" s="204"/>
      <c r="BB568" s="204"/>
      <c r="BC568" s="204"/>
      <c r="BD568" s="204"/>
      <c r="BE568" s="204"/>
      <c r="BF568" s="204"/>
      <c r="BG568" s="204"/>
      <c r="BH568" s="204"/>
      <c r="BI568" s="204"/>
      <c r="BJ568" s="204"/>
      <c r="BK568" s="204"/>
      <c r="BL568" s="204"/>
      <c r="BM568" s="204"/>
      <c r="BN568" s="204"/>
      <c r="BO568" s="204"/>
      <c r="BP568" s="204"/>
    </row>
    <row r="569" spans="1:68" ht="15" x14ac:dyDescent="0.2">
      <c r="A569" s="204"/>
      <c r="B569" s="204"/>
      <c r="C569" s="821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821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821"/>
      <c r="AL569" s="204"/>
      <c r="AM569" s="204"/>
      <c r="AN569" s="204"/>
      <c r="AO569" s="204"/>
      <c r="AP569" s="204"/>
      <c r="AQ569" s="204"/>
      <c r="AR569" s="204"/>
      <c r="AS569" s="204"/>
      <c r="AT569" s="204"/>
      <c r="AU569" s="204"/>
      <c r="AV569" s="204"/>
      <c r="AW569" s="204"/>
      <c r="AX569" s="204"/>
      <c r="AY569" s="204"/>
      <c r="AZ569" s="204"/>
      <c r="BA569" s="204"/>
      <c r="BB569" s="204"/>
      <c r="BC569" s="204"/>
      <c r="BD569" s="204"/>
      <c r="BE569" s="204"/>
      <c r="BF569" s="204"/>
      <c r="BG569" s="204"/>
      <c r="BH569" s="204"/>
      <c r="BI569" s="204"/>
      <c r="BJ569" s="204"/>
      <c r="BK569" s="204"/>
      <c r="BL569" s="204"/>
      <c r="BM569" s="204"/>
      <c r="BN569" s="204"/>
      <c r="BO569" s="204"/>
      <c r="BP569" s="204"/>
    </row>
    <row r="570" spans="1:68" ht="15" x14ac:dyDescent="0.2">
      <c r="A570" s="204"/>
      <c r="B570" s="204"/>
      <c r="C570" s="821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821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821"/>
      <c r="AL570" s="204"/>
      <c r="AM570" s="204"/>
      <c r="AN570" s="204"/>
      <c r="AO570" s="204"/>
      <c r="AP570" s="204"/>
      <c r="AQ570" s="204"/>
      <c r="AR570" s="204"/>
      <c r="AS570" s="204"/>
      <c r="AT570" s="204"/>
      <c r="AU570" s="204"/>
      <c r="AV570" s="204"/>
      <c r="AW570" s="204"/>
      <c r="AX570" s="204"/>
      <c r="AY570" s="204"/>
      <c r="AZ570" s="204"/>
      <c r="BA570" s="204"/>
      <c r="BB570" s="204"/>
      <c r="BC570" s="204"/>
      <c r="BD570" s="204"/>
      <c r="BE570" s="204"/>
      <c r="BF570" s="204"/>
      <c r="BG570" s="204"/>
      <c r="BH570" s="204"/>
      <c r="BI570" s="204"/>
      <c r="BJ570" s="204"/>
      <c r="BK570" s="204"/>
      <c r="BL570" s="204"/>
      <c r="BM570" s="204"/>
      <c r="BN570" s="204"/>
      <c r="BO570" s="204"/>
      <c r="BP570" s="204"/>
    </row>
    <row r="571" spans="1:68" ht="15" x14ac:dyDescent="0.2">
      <c r="A571" s="204"/>
      <c r="B571" s="204"/>
      <c r="C571" s="821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821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821"/>
      <c r="AL571" s="204"/>
      <c r="AM571" s="204"/>
      <c r="AN571" s="204"/>
      <c r="AO571" s="204"/>
      <c r="AP571" s="204"/>
      <c r="AQ571" s="204"/>
      <c r="AR571" s="204"/>
      <c r="AS571" s="204"/>
      <c r="AT571" s="204"/>
      <c r="AU571" s="204"/>
      <c r="AV571" s="204"/>
      <c r="AW571" s="204"/>
      <c r="AX571" s="204"/>
      <c r="AY571" s="204"/>
      <c r="AZ571" s="204"/>
      <c r="BA571" s="204"/>
      <c r="BB571" s="204"/>
      <c r="BC571" s="204"/>
      <c r="BD571" s="204"/>
      <c r="BE571" s="204"/>
      <c r="BF571" s="204"/>
      <c r="BG571" s="204"/>
      <c r="BH571" s="204"/>
      <c r="BI571" s="204"/>
      <c r="BJ571" s="204"/>
      <c r="BK571" s="204"/>
      <c r="BL571" s="204"/>
      <c r="BM571" s="204"/>
      <c r="BN571" s="204"/>
      <c r="BO571" s="204"/>
      <c r="BP571" s="204"/>
    </row>
    <row r="572" spans="1:68" ht="15" x14ac:dyDescent="0.2">
      <c r="A572" s="204"/>
      <c r="B572" s="204"/>
      <c r="C572" s="821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821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821"/>
      <c r="AL572" s="204"/>
      <c r="AM572" s="204"/>
      <c r="AN572" s="204"/>
      <c r="AO572" s="204"/>
      <c r="AP572" s="204"/>
      <c r="AQ572" s="204"/>
      <c r="AR572" s="204"/>
      <c r="AS572" s="204"/>
      <c r="AT572" s="204"/>
      <c r="AU572" s="204"/>
      <c r="AV572" s="204"/>
      <c r="AW572" s="204"/>
      <c r="AX572" s="204"/>
      <c r="AY572" s="204"/>
      <c r="AZ572" s="204"/>
      <c r="BA572" s="204"/>
      <c r="BB572" s="204"/>
      <c r="BC572" s="204"/>
      <c r="BD572" s="204"/>
      <c r="BE572" s="204"/>
      <c r="BF572" s="204"/>
      <c r="BG572" s="204"/>
      <c r="BH572" s="204"/>
      <c r="BI572" s="204"/>
      <c r="BJ572" s="204"/>
      <c r="BK572" s="204"/>
      <c r="BL572" s="204"/>
      <c r="BM572" s="204"/>
      <c r="BN572" s="204"/>
      <c r="BO572" s="204"/>
      <c r="BP572" s="204"/>
    </row>
    <row r="573" spans="1:68" ht="15" x14ac:dyDescent="0.2">
      <c r="A573" s="204"/>
      <c r="B573" s="204"/>
      <c r="C573" s="821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821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  <c r="AA573" s="204"/>
      <c r="AB573" s="204"/>
      <c r="AC573" s="204"/>
      <c r="AD573" s="204"/>
      <c r="AE573" s="204"/>
      <c r="AF573" s="204"/>
      <c r="AG573" s="204"/>
      <c r="AH573" s="204"/>
      <c r="AI573" s="204"/>
      <c r="AJ573" s="204"/>
      <c r="AK573" s="821"/>
      <c r="AL573" s="204"/>
      <c r="AM573" s="204"/>
      <c r="AN573" s="204"/>
      <c r="AO573" s="204"/>
      <c r="AP573" s="204"/>
      <c r="AQ573" s="204"/>
      <c r="AR573" s="204"/>
      <c r="AS573" s="204"/>
      <c r="AT573" s="204"/>
      <c r="AU573" s="204"/>
      <c r="AV573" s="204"/>
      <c r="AW573" s="204"/>
      <c r="AX573" s="204"/>
      <c r="AY573" s="204"/>
      <c r="AZ573" s="204"/>
      <c r="BA573" s="204"/>
      <c r="BB573" s="204"/>
      <c r="BC573" s="204"/>
      <c r="BD573" s="204"/>
      <c r="BE573" s="204"/>
      <c r="BF573" s="204"/>
      <c r="BG573" s="204"/>
      <c r="BH573" s="204"/>
      <c r="BI573" s="204"/>
      <c r="BJ573" s="204"/>
      <c r="BK573" s="204"/>
      <c r="BL573" s="204"/>
      <c r="BM573" s="204"/>
      <c r="BN573" s="204"/>
      <c r="BO573" s="204"/>
      <c r="BP573" s="204"/>
    </row>
    <row r="574" spans="1:68" ht="15" x14ac:dyDescent="0.2">
      <c r="A574" s="204"/>
      <c r="B574" s="204"/>
      <c r="C574" s="821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821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  <c r="AA574" s="204"/>
      <c r="AB574" s="204"/>
      <c r="AC574" s="204"/>
      <c r="AD574" s="204"/>
      <c r="AE574" s="204"/>
      <c r="AF574" s="204"/>
      <c r="AG574" s="204"/>
      <c r="AH574" s="204"/>
      <c r="AI574" s="204"/>
      <c r="AJ574" s="204"/>
      <c r="AK574" s="821"/>
      <c r="AL574" s="204"/>
      <c r="AM574" s="204"/>
      <c r="AN574" s="204"/>
      <c r="AO574" s="204"/>
      <c r="AP574" s="204"/>
      <c r="AQ574" s="204"/>
      <c r="AR574" s="204"/>
      <c r="AS574" s="204"/>
      <c r="AT574" s="204"/>
      <c r="AU574" s="204"/>
      <c r="AV574" s="204"/>
      <c r="AW574" s="204"/>
      <c r="AX574" s="204"/>
      <c r="AY574" s="204"/>
      <c r="AZ574" s="204"/>
      <c r="BA574" s="204"/>
      <c r="BB574" s="204"/>
      <c r="BC574" s="204"/>
      <c r="BD574" s="204"/>
      <c r="BE574" s="204"/>
      <c r="BF574" s="204"/>
      <c r="BG574" s="204"/>
      <c r="BH574" s="204"/>
      <c r="BI574" s="204"/>
      <c r="BJ574" s="204"/>
      <c r="BK574" s="204"/>
      <c r="BL574" s="204"/>
      <c r="BM574" s="204"/>
      <c r="BN574" s="204"/>
      <c r="BO574" s="204"/>
      <c r="BP574" s="204"/>
    </row>
    <row r="575" spans="1:68" ht="15" x14ac:dyDescent="0.2">
      <c r="A575" s="204"/>
      <c r="B575" s="204"/>
      <c r="C575" s="821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821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  <c r="AA575" s="204"/>
      <c r="AB575" s="204"/>
      <c r="AC575" s="204"/>
      <c r="AD575" s="204"/>
      <c r="AE575" s="204"/>
      <c r="AF575" s="204"/>
      <c r="AG575" s="204"/>
      <c r="AH575" s="204"/>
      <c r="AI575" s="204"/>
      <c r="AJ575" s="204"/>
      <c r="AK575" s="821"/>
      <c r="AL575" s="204"/>
      <c r="AM575" s="204"/>
      <c r="AN575" s="204"/>
      <c r="AO575" s="204"/>
      <c r="AP575" s="204"/>
      <c r="AQ575" s="204"/>
      <c r="AR575" s="204"/>
      <c r="AS575" s="204"/>
      <c r="AT575" s="204"/>
      <c r="AU575" s="204"/>
      <c r="AV575" s="204"/>
      <c r="AW575" s="204"/>
      <c r="AX575" s="204"/>
      <c r="AY575" s="204"/>
      <c r="AZ575" s="204"/>
      <c r="BA575" s="204"/>
      <c r="BB575" s="204"/>
      <c r="BC575" s="204"/>
      <c r="BD575" s="204"/>
      <c r="BE575" s="204"/>
      <c r="BF575" s="204"/>
      <c r="BG575" s="204"/>
      <c r="BH575" s="204"/>
      <c r="BI575" s="204"/>
      <c r="BJ575" s="204"/>
      <c r="BK575" s="204"/>
      <c r="BL575" s="204"/>
      <c r="BM575" s="204"/>
      <c r="BN575" s="204"/>
      <c r="BO575" s="204"/>
      <c r="BP575" s="204"/>
    </row>
    <row r="576" spans="1:68" ht="15" x14ac:dyDescent="0.2">
      <c r="A576" s="204"/>
      <c r="B576" s="204"/>
      <c r="C576" s="821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821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  <c r="AA576" s="204"/>
      <c r="AB576" s="204"/>
      <c r="AC576" s="204"/>
      <c r="AD576" s="204"/>
      <c r="AE576" s="204"/>
      <c r="AF576" s="204"/>
      <c r="AG576" s="204"/>
      <c r="AH576" s="204"/>
      <c r="AI576" s="204"/>
      <c r="AJ576" s="204"/>
      <c r="AK576" s="821"/>
      <c r="AL576" s="204"/>
      <c r="AM576" s="204"/>
      <c r="AN576" s="204"/>
      <c r="AO576" s="204"/>
      <c r="AP576" s="204"/>
      <c r="AQ576" s="204"/>
      <c r="AR576" s="204"/>
      <c r="AS576" s="204"/>
      <c r="AT576" s="204"/>
      <c r="AU576" s="204"/>
      <c r="AV576" s="204"/>
      <c r="AW576" s="204"/>
      <c r="AX576" s="204"/>
      <c r="AY576" s="204"/>
      <c r="AZ576" s="204"/>
      <c r="BA576" s="204"/>
      <c r="BB576" s="204"/>
      <c r="BC576" s="204"/>
      <c r="BD576" s="204"/>
      <c r="BE576" s="204"/>
      <c r="BF576" s="204"/>
      <c r="BG576" s="204"/>
      <c r="BH576" s="204"/>
      <c r="BI576" s="204"/>
      <c r="BJ576" s="204"/>
      <c r="BK576" s="204"/>
      <c r="BL576" s="204"/>
      <c r="BM576" s="204"/>
      <c r="BN576" s="204"/>
      <c r="BO576" s="204"/>
      <c r="BP576" s="204"/>
    </row>
    <row r="577" spans="1:68" ht="15" x14ac:dyDescent="0.2">
      <c r="A577" s="204"/>
      <c r="B577" s="204"/>
      <c r="C577" s="821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821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  <c r="AA577" s="204"/>
      <c r="AB577" s="204"/>
      <c r="AC577" s="204"/>
      <c r="AD577" s="204"/>
      <c r="AE577" s="204"/>
      <c r="AF577" s="204"/>
      <c r="AG577" s="204"/>
      <c r="AH577" s="204"/>
      <c r="AI577" s="204"/>
      <c r="AJ577" s="204"/>
      <c r="AK577" s="821"/>
      <c r="AL577" s="204"/>
      <c r="AM577" s="204"/>
      <c r="AN577" s="204"/>
      <c r="AO577" s="204"/>
      <c r="AP577" s="204"/>
      <c r="AQ577" s="204"/>
      <c r="AR577" s="204"/>
      <c r="AS577" s="204"/>
      <c r="AT577" s="204"/>
      <c r="AU577" s="204"/>
      <c r="AV577" s="204"/>
      <c r="AW577" s="204"/>
      <c r="AX577" s="204"/>
      <c r="AY577" s="204"/>
      <c r="AZ577" s="204"/>
      <c r="BA577" s="204"/>
      <c r="BB577" s="204"/>
      <c r="BC577" s="204"/>
      <c r="BD577" s="204"/>
      <c r="BE577" s="204"/>
      <c r="BF577" s="204"/>
      <c r="BG577" s="204"/>
      <c r="BH577" s="204"/>
      <c r="BI577" s="204"/>
      <c r="BJ577" s="204"/>
      <c r="BK577" s="204"/>
      <c r="BL577" s="204"/>
      <c r="BM577" s="204"/>
      <c r="BN577" s="204"/>
      <c r="BO577" s="204"/>
      <c r="BP577" s="204"/>
    </row>
    <row r="578" spans="1:68" ht="15" x14ac:dyDescent="0.2">
      <c r="A578" s="204"/>
      <c r="B578" s="204"/>
      <c r="C578" s="821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821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  <c r="AA578" s="204"/>
      <c r="AB578" s="204"/>
      <c r="AC578" s="204"/>
      <c r="AD578" s="204"/>
      <c r="AE578" s="204"/>
      <c r="AF578" s="204"/>
      <c r="AG578" s="204"/>
      <c r="AH578" s="204"/>
      <c r="AI578" s="204"/>
      <c r="AJ578" s="204"/>
      <c r="AK578" s="821"/>
      <c r="AL578" s="204"/>
      <c r="AM578" s="204"/>
      <c r="AN578" s="204"/>
      <c r="AO578" s="204"/>
      <c r="AP578" s="204"/>
      <c r="AQ578" s="204"/>
      <c r="AR578" s="204"/>
      <c r="AS578" s="204"/>
      <c r="AT578" s="204"/>
      <c r="AU578" s="204"/>
      <c r="AV578" s="204"/>
      <c r="AW578" s="204"/>
      <c r="AX578" s="204"/>
      <c r="AY578" s="204"/>
      <c r="AZ578" s="204"/>
      <c r="BA578" s="204"/>
      <c r="BB578" s="204"/>
      <c r="BC578" s="204"/>
      <c r="BD578" s="204"/>
      <c r="BE578" s="204"/>
      <c r="BF578" s="204"/>
      <c r="BG578" s="204"/>
      <c r="BH578" s="204"/>
      <c r="BI578" s="204"/>
      <c r="BJ578" s="204"/>
      <c r="BK578" s="204"/>
      <c r="BL578" s="204"/>
      <c r="BM578" s="204"/>
      <c r="BN578" s="204"/>
      <c r="BO578" s="204"/>
      <c r="BP578" s="204"/>
    </row>
    <row r="579" spans="1:68" ht="15" x14ac:dyDescent="0.2">
      <c r="A579" s="204"/>
      <c r="B579" s="204"/>
      <c r="C579" s="821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821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  <c r="AA579" s="204"/>
      <c r="AB579" s="204"/>
      <c r="AC579" s="204"/>
      <c r="AD579" s="204"/>
      <c r="AE579" s="204"/>
      <c r="AF579" s="204"/>
      <c r="AG579" s="204"/>
      <c r="AH579" s="204"/>
      <c r="AI579" s="204"/>
      <c r="AJ579" s="204"/>
      <c r="AK579" s="821"/>
      <c r="AL579" s="204"/>
      <c r="AM579" s="204"/>
      <c r="AN579" s="204"/>
      <c r="AO579" s="204"/>
      <c r="AP579" s="204"/>
      <c r="AQ579" s="204"/>
      <c r="AR579" s="204"/>
      <c r="AS579" s="204"/>
      <c r="AT579" s="204"/>
      <c r="AU579" s="204"/>
      <c r="AV579" s="204"/>
      <c r="AW579" s="204"/>
      <c r="AX579" s="204"/>
      <c r="AY579" s="204"/>
      <c r="AZ579" s="204"/>
      <c r="BA579" s="204"/>
      <c r="BB579" s="204"/>
      <c r="BC579" s="204"/>
      <c r="BD579" s="204"/>
      <c r="BE579" s="204"/>
      <c r="BF579" s="204"/>
      <c r="BG579" s="204"/>
      <c r="BH579" s="204"/>
      <c r="BI579" s="204"/>
      <c r="BJ579" s="204"/>
      <c r="BK579" s="204"/>
      <c r="BL579" s="204"/>
      <c r="BM579" s="204"/>
      <c r="BN579" s="204"/>
      <c r="BO579" s="204"/>
      <c r="BP579" s="204"/>
    </row>
    <row r="580" spans="1:68" ht="15" x14ac:dyDescent="0.2">
      <c r="A580" s="204"/>
      <c r="B580" s="204"/>
      <c r="C580" s="821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821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821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204"/>
      <c r="BN580" s="204"/>
      <c r="BO580" s="204"/>
      <c r="BP580" s="204"/>
    </row>
    <row r="581" spans="1:68" ht="15" x14ac:dyDescent="0.2">
      <c r="A581" s="204"/>
      <c r="B581" s="204"/>
      <c r="C581" s="821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821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821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204"/>
      <c r="BN581" s="204"/>
      <c r="BO581" s="204"/>
      <c r="BP581" s="204"/>
    </row>
    <row r="582" spans="1:68" ht="15" x14ac:dyDescent="0.2">
      <c r="A582" s="204"/>
      <c r="B582" s="204"/>
      <c r="C582" s="821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821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821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04"/>
      <c r="BN582" s="204"/>
      <c r="BO582" s="204"/>
      <c r="BP582" s="204"/>
    </row>
    <row r="583" spans="1:68" ht="15" x14ac:dyDescent="0.2">
      <c r="A583" s="204"/>
      <c r="B583" s="204"/>
      <c r="C583" s="821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821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821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04"/>
      <c r="BN583" s="204"/>
      <c r="BO583" s="204"/>
      <c r="BP583" s="204"/>
    </row>
    <row r="584" spans="1:68" ht="15" x14ac:dyDescent="0.2">
      <c r="A584" s="204"/>
      <c r="B584" s="204"/>
      <c r="C584" s="821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821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821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04"/>
      <c r="BN584" s="204"/>
      <c r="BO584" s="204"/>
      <c r="BP584" s="204"/>
    </row>
    <row r="585" spans="1:68" ht="15" x14ac:dyDescent="0.2">
      <c r="A585" s="204"/>
      <c r="B585" s="204"/>
      <c r="C585" s="821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821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821"/>
      <c r="AL585" s="204"/>
      <c r="AM585" s="204"/>
      <c r="AN585" s="204"/>
      <c r="AO585" s="204"/>
      <c r="AP585" s="204"/>
      <c r="AQ585" s="204"/>
      <c r="AR585" s="204"/>
      <c r="AS585" s="204"/>
      <c r="AT585" s="204"/>
      <c r="AU585" s="204"/>
      <c r="AV585" s="204"/>
      <c r="AW585" s="204"/>
      <c r="AX585" s="204"/>
      <c r="AY585" s="204"/>
      <c r="AZ585" s="204"/>
      <c r="BA585" s="204"/>
      <c r="BB585" s="204"/>
      <c r="BC585" s="204"/>
      <c r="BD585" s="204"/>
      <c r="BE585" s="204"/>
      <c r="BF585" s="204"/>
      <c r="BG585" s="204"/>
      <c r="BH585" s="204"/>
      <c r="BI585" s="204"/>
      <c r="BJ585" s="204"/>
      <c r="BK585" s="204"/>
      <c r="BL585" s="204"/>
      <c r="BM585" s="204"/>
      <c r="BN585" s="204"/>
      <c r="BO585" s="204"/>
      <c r="BP585" s="204"/>
    </row>
    <row r="586" spans="1:68" ht="15" x14ac:dyDescent="0.2">
      <c r="A586" s="204"/>
      <c r="B586" s="204"/>
      <c r="C586" s="821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821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821"/>
      <c r="AL586" s="204"/>
      <c r="AM586" s="204"/>
      <c r="AN586" s="204"/>
      <c r="AO586" s="204"/>
      <c r="AP586" s="204"/>
      <c r="AQ586" s="204"/>
      <c r="AR586" s="204"/>
      <c r="AS586" s="204"/>
      <c r="AT586" s="204"/>
      <c r="AU586" s="204"/>
      <c r="AV586" s="204"/>
      <c r="AW586" s="204"/>
      <c r="AX586" s="204"/>
      <c r="AY586" s="204"/>
      <c r="AZ586" s="204"/>
      <c r="BA586" s="204"/>
      <c r="BB586" s="204"/>
      <c r="BC586" s="204"/>
      <c r="BD586" s="204"/>
      <c r="BE586" s="204"/>
      <c r="BF586" s="204"/>
      <c r="BG586" s="204"/>
      <c r="BH586" s="204"/>
      <c r="BI586" s="204"/>
      <c r="BJ586" s="204"/>
      <c r="BK586" s="204"/>
      <c r="BL586" s="204"/>
      <c r="BM586" s="204"/>
      <c r="BN586" s="204"/>
      <c r="BO586" s="204"/>
      <c r="BP586" s="204"/>
    </row>
    <row r="587" spans="1:68" ht="15" x14ac:dyDescent="0.2">
      <c r="A587" s="204"/>
      <c r="B587" s="204"/>
      <c r="C587" s="821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821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821"/>
      <c r="AL587" s="204"/>
      <c r="AM587" s="204"/>
      <c r="AN587" s="204"/>
      <c r="AO587" s="204"/>
      <c r="AP587" s="204"/>
      <c r="AQ587" s="204"/>
      <c r="AR587" s="204"/>
      <c r="AS587" s="204"/>
      <c r="AT587" s="204"/>
      <c r="AU587" s="204"/>
      <c r="AV587" s="204"/>
      <c r="AW587" s="204"/>
      <c r="AX587" s="204"/>
      <c r="AY587" s="204"/>
      <c r="AZ587" s="204"/>
      <c r="BA587" s="204"/>
      <c r="BB587" s="204"/>
      <c r="BC587" s="204"/>
      <c r="BD587" s="204"/>
      <c r="BE587" s="204"/>
      <c r="BF587" s="204"/>
      <c r="BG587" s="204"/>
      <c r="BH587" s="204"/>
      <c r="BI587" s="204"/>
      <c r="BJ587" s="204"/>
      <c r="BK587" s="204"/>
      <c r="BL587" s="204"/>
      <c r="BM587" s="204"/>
      <c r="BN587" s="204"/>
      <c r="BO587" s="204"/>
      <c r="BP587" s="204"/>
    </row>
    <row r="588" spans="1:68" ht="15" x14ac:dyDescent="0.2">
      <c r="A588" s="204"/>
      <c r="B588" s="204"/>
      <c r="C588" s="821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821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821"/>
      <c r="AL588" s="204"/>
      <c r="AM588" s="204"/>
      <c r="AN588" s="204"/>
      <c r="AO588" s="204"/>
      <c r="AP588" s="204"/>
      <c r="AQ588" s="204"/>
      <c r="AR588" s="204"/>
      <c r="AS588" s="204"/>
      <c r="AT588" s="204"/>
      <c r="AU588" s="204"/>
      <c r="AV588" s="204"/>
      <c r="AW588" s="204"/>
      <c r="AX588" s="204"/>
      <c r="AY588" s="204"/>
      <c r="AZ588" s="204"/>
      <c r="BA588" s="204"/>
      <c r="BB588" s="204"/>
      <c r="BC588" s="204"/>
      <c r="BD588" s="204"/>
      <c r="BE588" s="204"/>
      <c r="BF588" s="204"/>
      <c r="BG588" s="204"/>
      <c r="BH588" s="204"/>
      <c r="BI588" s="204"/>
      <c r="BJ588" s="204"/>
      <c r="BK588" s="204"/>
      <c r="BL588" s="204"/>
      <c r="BM588" s="204"/>
      <c r="BN588" s="204"/>
      <c r="BO588" s="204"/>
      <c r="BP588" s="204"/>
    </row>
    <row r="589" spans="1:68" ht="15" x14ac:dyDescent="0.2">
      <c r="A589" s="204"/>
      <c r="B589" s="204"/>
      <c r="C589" s="821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821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821"/>
      <c r="AL589" s="204"/>
      <c r="AM589" s="204"/>
      <c r="AN589" s="204"/>
      <c r="AO589" s="204"/>
      <c r="AP589" s="204"/>
      <c r="AQ589" s="204"/>
      <c r="AR589" s="204"/>
      <c r="AS589" s="204"/>
      <c r="AT589" s="204"/>
      <c r="AU589" s="204"/>
      <c r="AV589" s="204"/>
      <c r="AW589" s="204"/>
      <c r="AX589" s="204"/>
      <c r="AY589" s="204"/>
      <c r="AZ589" s="204"/>
      <c r="BA589" s="204"/>
      <c r="BB589" s="204"/>
      <c r="BC589" s="204"/>
      <c r="BD589" s="204"/>
      <c r="BE589" s="204"/>
      <c r="BF589" s="204"/>
      <c r="BG589" s="204"/>
      <c r="BH589" s="204"/>
      <c r="BI589" s="204"/>
      <c r="BJ589" s="204"/>
      <c r="BK589" s="204"/>
      <c r="BL589" s="204"/>
      <c r="BM589" s="204"/>
      <c r="BN589" s="204"/>
      <c r="BO589" s="204"/>
      <c r="BP589" s="204"/>
    </row>
    <row r="590" spans="1:68" ht="15" x14ac:dyDescent="0.2">
      <c r="A590" s="204"/>
      <c r="B590" s="204"/>
      <c r="C590" s="821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821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821"/>
      <c r="AL590" s="204"/>
      <c r="AM590" s="204"/>
      <c r="AN590" s="204"/>
      <c r="AO590" s="204"/>
      <c r="AP590" s="204"/>
      <c r="AQ590" s="204"/>
      <c r="AR590" s="204"/>
      <c r="AS590" s="204"/>
      <c r="AT590" s="204"/>
      <c r="AU590" s="204"/>
      <c r="AV590" s="204"/>
      <c r="AW590" s="204"/>
      <c r="AX590" s="204"/>
      <c r="AY590" s="204"/>
      <c r="AZ590" s="204"/>
      <c r="BA590" s="204"/>
      <c r="BB590" s="204"/>
      <c r="BC590" s="204"/>
      <c r="BD590" s="204"/>
      <c r="BE590" s="204"/>
      <c r="BF590" s="204"/>
      <c r="BG590" s="204"/>
      <c r="BH590" s="204"/>
      <c r="BI590" s="204"/>
      <c r="BJ590" s="204"/>
      <c r="BK590" s="204"/>
      <c r="BL590" s="204"/>
      <c r="BM590" s="204"/>
      <c r="BN590" s="204"/>
      <c r="BO590" s="204"/>
      <c r="BP590" s="204"/>
    </row>
    <row r="591" spans="1:68" ht="15" x14ac:dyDescent="0.2">
      <c r="A591" s="204"/>
      <c r="B591" s="204"/>
      <c r="C591" s="821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821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  <c r="AA591" s="204"/>
      <c r="AB591" s="204"/>
      <c r="AC591" s="204"/>
      <c r="AD591" s="204"/>
      <c r="AE591" s="204"/>
      <c r="AF591" s="204"/>
      <c r="AG591" s="204"/>
      <c r="AH591" s="204"/>
      <c r="AI591" s="204"/>
      <c r="AJ591" s="204"/>
      <c r="AK591" s="821"/>
      <c r="AL591" s="204"/>
      <c r="AM591" s="204"/>
      <c r="AN591" s="204"/>
      <c r="AO591" s="204"/>
      <c r="AP591" s="204"/>
      <c r="AQ591" s="204"/>
      <c r="AR591" s="204"/>
      <c r="AS591" s="204"/>
      <c r="AT591" s="204"/>
      <c r="AU591" s="204"/>
      <c r="AV591" s="204"/>
      <c r="AW591" s="204"/>
      <c r="AX591" s="204"/>
      <c r="AY591" s="204"/>
      <c r="AZ591" s="204"/>
      <c r="BA591" s="204"/>
      <c r="BB591" s="204"/>
      <c r="BC591" s="204"/>
      <c r="BD591" s="204"/>
      <c r="BE591" s="204"/>
      <c r="BF591" s="204"/>
      <c r="BG591" s="204"/>
      <c r="BH591" s="204"/>
      <c r="BI591" s="204"/>
      <c r="BJ591" s="204"/>
      <c r="BK591" s="204"/>
      <c r="BL591" s="204"/>
      <c r="BM591" s="204"/>
      <c r="BN591" s="204"/>
      <c r="BO591" s="204"/>
      <c r="BP591" s="204"/>
    </row>
    <row r="592" spans="1:68" ht="15" x14ac:dyDescent="0.2">
      <c r="A592" s="204"/>
      <c r="B592" s="204"/>
      <c r="C592" s="821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821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  <c r="AA592" s="204"/>
      <c r="AB592" s="204"/>
      <c r="AC592" s="204"/>
      <c r="AD592" s="204"/>
      <c r="AE592" s="204"/>
      <c r="AF592" s="204"/>
      <c r="AG592" s="204"/>
      <c r="AH592" s="204"/>
      <c r="AI592" s="204"/>
      <c r="AJ592" s="204"/>
      <c r="AK592" s="821"/>
      <c r="AL592" s="204"/>
      <c r="AM592" s="204"/>
      <c r="AN592" s="204"/>
      <c r="AO592" s="204"/>
      <c r="AP592" s="204"/>
      <c r="AQ592" s="204"/>
      <c r="AR592" s="204"/>
      <c r="AS592" s="204"/>
      <c r="AT592" s="204"/>
      <c r="AU592" s="204"/>
      <c r="AV592" s="204"/>
      <c r="AW592" s="204"/>
      <c r="AX592" s="204"/>
      <c r="AY592" s="204"/>
      <c r="AZ592" s="204"/>
      <c r="BA592" s="204"/>
      <c r="BB592" s="204"/>
      <c r="BC592" s="204"/>
      <c r="BD592" s="204"/>
      <c r="BE592" s="204"/>
      <c r="BF592" s="204"/>
      <c r="BG592" s="204"/>
      <c r="BH592" s="204"/>
      <c r="BI592" s="204"/>
      <c r="BJ592" s="204"/>
      <c r="BK592" s="204"/>
      <c r="BL592" s="204"/>
      <c r="BM592" s="204"/>
      <c r="BN592" s="204"/>
      <c r="BO592" s="204"/>
      <c r="BP592" s="204"/>
    </row>
    <row r="593" spans="1:68" ht="15" x14ac:dyDescent="0.2">
      <c r="A593" s="204"/>
      <c r="B593" s="204"/>
      <c r="C593" s="821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821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  <c r="AA593" s="204"/>
      <c r="AB593" s="204"/>
      <c r="AC593" s="204"/>
      <c r="AD593" s="204"/>
      <c r="AE593" s="204"/>
      <c r="AF593" s="204"/>
      <c r="AG593" s="204"/>
      <c r="AH593" s="204"/>
      <c r="AI593" s="204"/>
      <c r="AJ593" s="204"/>
      <c r="AK593" s="821"/>
      <c r="AL593" s="204"/>
      <c r="AM593" s="204"/>
      <c r="AN593" s="204"/>
      <c r="AO593" s="204"/>
      <c r="AP593" s="204"/>
      <c r="AQ593" s="204"/>
      <c r="AR593" s="204"/>
      <c r="AS593" s="204"/>
      <c r="AT593" s="204"/>
      <c r="AU593" s="204"/>
      <c r="AV593" s="204"/>
      <c r="AW593" s="204"/>
      <c r="AX593" s="204"/>
      <c r="AY593" s="204"/>
      <c r="AZ593" s="204"/>
      <c r="BA593" s="204"/>
      <c r="BB593" s="204"/>
      <c r="BC593" s="204"/>
      <c r="BD593" s="204"/>
      <c r="BE593" s="204"/>
      <c r="BF593" s="204"/>
      <c r="BG593" s="204"/>
      <c r="BH593" s="204"/>
      <c r="BI593" s="204"/>
      <c r="BJ593" s="204"/>
      <c r="BK593" s="204"/>
      <c r="BL593" s="204"/>
      <c r="BM593" s="204"/>
      <c r="BN593" s="204"/>
      <c r="BO593" s="204"/>
      <c r="BP593" s="204"/>
    </row>
    <row r="594" spans="1:68" ht="15" x14ac:dyDescent="0.2">
      <c r="A594" s="204"/>
      <c r="B594" s="204"/>
      <c r="C594" s="821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821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  <c r="AA594" s="204"/>
      <c r="AB594" s="204"/>
      <c r="AC594" s="204"/>
      <c r="AD594" s="204"/>
      <c r="AE594" s="204"/>
      <c r="AF594" s="204"/>
      <c r="AG594" s="204"/>
      <c r="AH594" s="204"/>
      <c r="AI594" s="204"/>
      <c r="AJ594" s="204"/>
      <c r="AK594" s="821"/>
      <c r="AL594" s="204"/>
      <c r="AM594" s="204"/>
      <c r="AN594" s="204"/>
      <c r="AO594" s="204"/>
      <c r="AP594" s="204"/>
      <c r="AQ594" s="204"/>
      <c r="AR594" s="204"/>
      <c r="AS594" s="204"/>
      <c r="AT594" s="204"/>
      <c r="AU594" s="204"/>
      <c r="AV594" s="204"/>
      <c r="AW594" s="204"/>
      <c r="AX594" s="204"/>
      <c r="AY594" s="204"/>
      <c r="AZ594" s="204"/>
      <c r="BA594" s="204"/>
      <c r="BB594" s="204"/>
      <c r="BC594" s="204"/>
      <c r="BD594" s="204"/>
      <c r="BE594" s="204"/>
      <c r="BF594" s="204"/>
      <c r="BG594" s="204"/>
      <c r="BH594" s="204"/>
      <c r="BI594" s="204"/>
      <c r="BJ594" s="204"/>
      <c r="BK594" s="204"/>
      <c r="BL594" s="204"/>
      <c r="BM594" s="204"/>
      <c r="BN594" s="204"/>
      <c r="BO594" s="204"/>
      <c r="BP594" s="204"/>
    </row>
    <row r="595" spans="1:68" ht="15" x14ac:dyDescent="0.2">
      <c r="A595" s="204"/>
      <c r="B595" s="204"/>
      <c r="C595" s="821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821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  <c r="AA595" s="204"/>
      <c r="AB595" s="204"/>
      <c r="AC595" s="204"/>
      <c r="AD595" s="204"/>
      <c r="AE595" s="204"/>
      <c r="AF595" s="204"/>
      <c r="AG595" s="204"/>
      <c r="AH595" s="204"/>
      <c r="AI595" s="204"/>
      <c r="AJ595" s="204"/>
      <c r="AK595" s="821"/>
      <c r="AL595" s="204"/>
      <c r="AM595" s="204"/>
      <c r="AN595" s="204"/>
      <c r="AO595" s="204"/>
      <c r="AP595" s="204"/>
      <c r="AQ595" s="204"/>
      <c r="AR595" s="204"/>
      <c r="AS595" s="204"/>
      <c r="AT595" s="204"/>
      <c r="AU595" s="204"/>
      <c r="AV595" s="204"/>
      <c r="AW595" s="204"/>
      <c r="AX595" s="204"/>
      <c r="AY595" s="204"/>
      <c r="AZ595" s="204"/>
      <c r="BA595" s="204"/>
      <c r="BB595" s="204"/>
      <c r="BC595" s="204"/>
      <c r="BD595" s="204"/>
      <c r="BE595" s="204"/>
      <c r="BF595" s="204"/>
      <c r="BG595" s="204"/>
      <c r="BH595" s="204"/>
      <c r="BI595" s="204"/>
      <c r="BJ595" s="204"/>
      <c r="BK595" s="204"/>
      <c r="BL595" s="204"/>
      <c r="BM595" s="204"/>
      <c r="BN595" s="204"/>
      <c r="BO595" s="204"/>
      <c r="BP595" s="204"/>
    </row>
    <row r="596" spans="1:68" ht="15" x14ac:dyDescent="0.2">
      <c r="A596" s="204"/>
      <c r="B596" s="204"/>
      <c r="C596" s="821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821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  <c r="AA596" s="204"/>
      <c r="AB596" s="204"/>
      <c r="AC596" s="204"/>
      <c r="AD596" s="204"/>
      <c r="AE596" s="204"/>
      <c r="AF596" s="204"/>
      <c r="AG596" s="204"/>
      <c r="AH596" s="204"/>
      <c r="AI596" s="204"/>
      <c r="AJ596" s="204"/>
      <c r="AK596" s="821"/>
      <c r="AL596" s="204"/>
      <c r="AM596" s="204"/>
      <c r="AN596" s="204"/>
      <c r="AO596" s="204"/>
      <c r="AP596" s="204"/>
      <c r="AQ596" s="204"/>
      <c r="AR596" s="204"/>
      <c r="AS596" s="204"/>
      <c r="AT596" s="204"/>
      <c r="AU596" s="204"/>
      <c r="AV596" s="204"/>
      <c r="AW596" s="204"/>
      <c r="AX596" s="204"/>
      <c r="AY596" s="204"/>
      <c r="AZ596" s="204"/>
      <c r="BA596" s="204"/>
      <c r="BB596" s="204"/>
      <c r="BC596" s="204"/>
      <c r="BD596" s="204"/>
      <c r="BE596" s="204"/>
      <c r="BF596" s="204"/>
      <c r="BG596" s="204"/>
      <c r="BH596" s="204"/>
      <c r="BI596" s="204"/>
      <c r="BJ596" s="204"/>
      <c r="BK596" s="204"/>
      <c r="BL596" s="204"/>
      <c r="BM596" s="204"/>
      <c r="BN596" s="204"/>
      <c r="BO596" s="204"/>
      <c r="BP596" s="204"/>
    </row>
    <row r="597" spans="1:68" ht="15" x14ac:dyDescent="0.2">
      <c r="A597" s="204"/>
      <c r="B597" s="204"/>
      <c r="C597" s="821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821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  <c r="AA597" s="204"/>
      <c r="AB597" s="204"/>
      <c r="AC597" s="204"/>
      <c r="AD597" s="204"/>
      <c r="AE597" s="204"/>
      <c r="AF597" s="204"/>
      <c r="AG597" s="204"/>
      <c r="AH597" s="204"/>
      <c r="AI597" s="204"/>
      <c r="AJ597" s="204"/>
      <c r="AK597" s="821"/>
      <c r="AL597" s="204"/>
      <c r="AM597" s="204"/>
      <c r="AN597" s="204"/>
      <c r="AO597" s="204"/>
      <c r="AP597" s="204"/>
      <c r="AQ597" s="204"/>
      <c r="AR597" s="204"/>
      <c r="AS597" s="204"/>
      <c r="AT597" s="204"/>
      <c r="AU597" s="204"/>
      <c r="AV597" s="204"/>
      <c r="AW597" s="204"/>
      <c r="AX597" s="204"/>
      <c r="AY597" s="204"/>
      <c r="AZ597" s="204"/>
      <c r="BA597" s="204"/>
      <c r="BB597" s="204"/>
      <c r="BC597" s="204"/>
      <c r="BD597" s="204"/>
      <c r="BE597" s="204"/>
      <c r="BF597" s="204"/>
      <c r="BG597" s="204"/>
      <c r="BH597" s="204"/>
      <c r="BI597" s="204"/>
      <c r="BJ597" s="204"/>
      <c r="BK597" s="204"/>
      <c r="BL597" s="204"/>
      <c r="BM597" s="204"/>
      <c r="BN597" s="204"/>
      <c r="BO597" s="204"/>
      <c r="BP597" s="204"/>
    </row>
    <row r="598" spans="1:68" ht="15" x14ac:dyDescent="0.2">
      <c r="A598" s="204"/>
      <c r="B598" s="204"/>
      <c r="C598" s="821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821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  <c r="AA598" s="204"/>
      <c r="AB598" s="204"/>
      <c r="AC598" s="204"/>
      <c r="AD598" s="204"/>
      <c r="AE598" s="204"/>
      <c r="AF598" s="204"/>
      <c r="AG598" s="204"/>
      <c r="AH598" s="204"/>
      <c r="AI598" s="204"/>
      <c r="AJ598" s="204"/>
      <c r="AK598" s="821"/>
      <c r="AL598" s="204"/>
      <c r="AM598" s="204"/>
      <c r="AN598" s="204"/>
      <c r="AO598" s="204"/>
      <c r="AP598" s="204"/>
      <c r="AQ598" s="204"/>
      <c r="AR598" s="204"/>
      <c r="AS598" s="204"/>
      <c r="AT598" s="204"/>
      <c r="AU598" s="204"/>
      <c r="AV598" s="204"/>
      <c r="AW598" s="204"/>
      <c r="AX598" s="204"/>
      <c r="AY598" s="204"/>
      <c r="AZ598" s="204"/>
      <c r="BA598" s="204"/>
      <c r="BB598" s="204"/>
      <c r="BC598" s="204"/>
      <c r="BD598" s="204"/>
      <c r="BE598" s="204"/>
      <c r="BF598" s="204"/>
      <c r="BG598" s="204"/>
      <c r="BH598" s="204"/>
      <c r="BI598" s="204"/>
      <c r="BJ598" s="204"/>
      <c r="BK598" s="204"/>
      <c r="BL598" s="204"/>
      <c r="BM598" s="204"/>
      <c r="BN598" s="204"/>
      <c r="BO598" s="204"/>
      <c r="BP598" s="204"/>
    </row>
    <row r="599" spans="1:68" ht="15" x14ac:dyDescent="0.2">
      <c r="A599" s="204"/>
      <c r="B599" s="204"/>
      <c r="C599" s="821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821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  <c r="AA599" s="204"/>
      <c r="AB599" s="204"/>
      <c r="AC599" s="204"/>
      <c r="AD599" s="204"/>
      <c r="AE599" s="204"/>
      <c r="AF599" s="204"/>
      <c r="AG599" s="204"/>
      <c r="AH599" s="204"/>
      <c r="AI599" s="204"/>
      <c r="AJ599" s="204"/>
      <c r="AK599" s="821"/>
      <c r="AL599" s="204"/>
      <c r="AM599" s="204"/>
      <c r="AN599" s="204"/>
      <c r="AO599" s="204"/>
      <c r="AP599" s="204"/>
      <c r="AQ599" s="204"/>
      <c r="AR599" s="204"/>
      <c r="AS599" s="204"/>
      <c r="AT599" s="204"/>
      <c r="AU599" s="204"/>
      <c r="AV599" s="204"/>
      <c r="AW599" s="204"/>
      <c r="AX599" s="204"/>
      <c r="AY599" s="204"/>
      <c r="AZ599" s="204"/>
      <c r="BA599" s="204"/>
      <c r="BB599" s="204"/>
      <c r="BC599" s="204"/>
      <c r="BD599" s="204"/>
      <c r="BE599" s="204"/>
      <c r="BF599" s="204"/>
      <c r="BG599" s="204"/>
      <c r="BH599" s="204"/>
      <c r="BI599" s="204"/>
      <c r="BJ599" s="204"/>
      <c r="BK599" s="204"/>
      <c r="BL599" s="204"/>
      <c r="BM599" s="204"/>
      <c r="BN599" s="204"/>
      <c r="BO599" s="204"/>
      <c r="BP599" s="204"/>
    </row>
    <row r="600" spans="1:68" ht="15" x14ac:dyDescent="0.2">
      <c r="A600" s="204"/>
      <c r="B600" s="204"/>
      <c r="C600" s="821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821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821"/>
      <c r="AL600" s="204"/>
      <c r="AM600" s="204"/>
      <c r="AN600" s="204"/>
      <c r="AO600" s="204"/>
      <c r="AP600" s="204"/>
      <c r="AQ600" s="204"/>
      <c r="AR600" s="204"/>
      <c r="AS600" s="204"/>
      <c r="AT600" s="204"/>
      <c r="AU600" s="204"/>
      <c r="AV600" s="204"/>
      <c r="AW600" s="204"/>
      <c r="AX600" s="204"/>
      <c r="AY600" s="204"/>
      <c r="AZ600" s="204"/>
      <c r="BA600" s="204"/>
      <c r="BB600" s="204"/>
      <c r="BC600" s="204"/>
      <c r="BD600" s="204"/>
      <c r="BE600" s="204"/>
      <c r="BF600" s="204"/>
      <c r="BG600" s="204"/>
      <c r="BH600" s="204"/>
      <c r="BI600" s="204"/>
      <c r="BJ600" s="204"/>
      <c r="BK600" s="204"/>
      <c r="BL600" s="204"/>
      <c r="BM600" s="204"/>
      <c r="BN600" s="204"/>
      <c r="BO600" s="204"/>
      <c r="BP600" s="204"/>
    </row>
    <row r="601" spans="1:68" ht="15" x14ac:dyDescent="0.2">
      <c r="A601" s="204"/>
      <c r="B601" s="204"/>
      <c r="C601" s="821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821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  <c r="AA601" s="204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821"/>
      <c r="AL601" s="204"/>
      <c r="AM601" s="204"/>
      <c r="AN601" s="204"/>
      <c r="AO601" s="204"/>
      <c r="AP601" s="204"/>
      <c r="AQ601" s="204"/>
      <c r="AR601" s="204"/>
      <c r="AS601" s="204"/>
      <c r="AT601" s="204"/>
      <c r="AU601" s="204"/>
      <c r="AV601" s="204"/>
      <c r="AW601" s="204"/>
      <c r="AX601" s="204"/>
      <c r="AY601" s="204"/>
      <c r="AZ601" s="204"/>
      <c r="BA601" s="204"/>
      <c r="BB601" s="204"/>
      <c r="BC601" s="204"/>
      <c r="BD601" s="204"/>
      <c r="BE601" s="204"/>
      <c r="BF601" s="204"/>
      <c r="BG601" s="204"/>
      <c r="BH601" s="204"/>
      <c r="BI601" s="204"/>
      <c r="BJ601" s="204"/>
      <c r="BK601" s="204"/>
      <c r="BL601" s="204"/>
      <c r="BM601" s="204"/>
      <c r="BN601" s="204"/>
      <c r="BO601" s="204"/>
      <c r="BP601" s="204"/>
    </row>
    <row r="602" spans="1:68" ht="15" x14ac:dyDescent="0.2">
      <c r="A602" s="204"/>
      <c r="B602" s="204"/>
      <c r="C602" s="821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821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  <c r="AA602" s="204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821"/>
      <c r="AL602" s="204"/>
      <c r="AM602" s="204"/>
      <c r="AN602" s="204"/>
      <c r="AO602" s="204"/>
      <c r="AP602" s="204"/>
      <c r="AQ602" s="204"/>
      <c r="AR602" s="204"/>
      <c r="AS602" s="204"/>
      <c r="AT602" s="204"/>
      <c r="AU602" s="204"/>
      <c r="AV602" s="204"/>
      <c r="AW602" s="204"/>
      <c r="AX602" s="204"/>
      <c r="AY602" s="204"/>
      <c r="AZ602" s="204"/>
      <c r="BA602" s="204"/>
      <c r="BB602" s="204"/>
      <c r="BC602" s="204"/>
      <c r="BD602" s="204"/>
      <c r="BE602" s="204"/>
      <c r="BF602" s="204"/>
      <c r="BG602" s="204"/>
      <c r="BH602" s="204"/>
      <c r="BI602" s="204"/>
      <c r="BJ602" s="204"/>
      <c r="BK602" s="204"/>
      <c r="BL602" s="204"/>
      <c r="BM602" s="204"/>
      <c r="BN602" s="204"/>
      <c r="BO602" s="204"/>
      <c r="BP602" s="204"/>
    </row>
    <row r="603" spans="1:68" ht="15" x14ac:dyDescent="0.2">
      <c r="A603" s="204"/>
      <c r="B603" s="204"/>
      <c r="C603" s="821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821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821"/>
      <c r="AL603" s="204"/>
      <c r="AM603" s="204"/>
      <c r="AN603" s="204"/>
      <c r="AO603" s="204"/>
      <c r="AP603" s="204"/>
      <c r="AQ603" s="204"/>
      <c r="AR603" s="204"/>
      <c r="AS603" s="204"/>
      <c r="AT603" s="204"/>
      <c r="AU603" s="204"/>
      <c r="AV603" s="204"/>
      <c r="AW603" s="204"/>
      <c r="AX603" s="204"/>
      <c r="AY603" s="204"/>
      <c r="AZ603" s="204"/>
      <c r="BA603" s="204"/>
      <c r="BB603" s="204"/>
      <c r="BC603" s="204"/>
      <c r="BD603" s="204"/>
      <c r="BE603" s="204"/>
      <c r="BF603" s="204"/>
      <c r="BG603" s="204"/>
      <c r="BH603" s="204"/>
      <c r="BI603" s="204"/>
      <c r="BJ603" s="204"/>
      <c r="BK603" s="204"/>
      <c r="BL603" s="204"/>
      <c r="BM603" s="204"/>
      <c r="BN603" s="204"/>
      <c r="BO603" s="204"/>
      <c r="BP603" s="204"/>
    </row>
    <row r="604" spans="1:68" ht="15" x14ac:dyDescent="0.2">
      <c r="A604" s="204"/>
      <c r="B604" s="204"/>
      <c r="C604" s="821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821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821"/>
      <c r="AL604" s="204"/>
      <c r="AM604" s="204"/>
      <c r="AN604" s="204"/>
      <c r="AO604" s="204"/>
      <c r="AP604" s="204"/>
      <c r="AQ604" s="204"/>
      <c r="AR604" s="204"/>
      <c r="AS604" s="204"/>
      <c r="AT604" s="204"/>
      <c r="AU604" s="204"/>
      <c r="AV604" s="204"/>
      <c r="AW604" s="204"/>
      <c r="AX604" s="204"/>
      <c r="AY604" s="204"/>
      <c r="AZ604" s="204"/>
      <c r="BA604" s="204"/>
      <c r="BB604" s="204"/>
      <c r="BC604" s="204"/>
      <c r="BD604" s="204"/>
      <c r="BE604" s="204"/>
      <c r="BF604" s="204"/>
      <c r="BG604" s="204"/>
      <c r="BH604" s="204"/>
      <c r="BI604" s="204"/>
      <c r="BJ604" s="204"/>
      <c r="BK604" s="204"/>
      <c r="BL604" s="204"/>
      <c r="BM604" s="204"/>
      <c r="BN604" s="204"/>
      <c r="BO604" s="204"/>
      <c r="BP604" s="204"/>
    </row>
    <row r="605" spans="1:68" ht="15" x14ac:dyDescent="0.2">
      <c r="A605" s="204"/>
      <c r="B605" s="204"/>
      <c r="C605" s="821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821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821"/>
      <c r="AL605" s="204"/>
      <c r="AM605" s="204"/>
      <c r="AN605" s="204"/>
      <c r="AO605" s="204"/>
      <c r="AP605" s="204"/>
      <c r="AQ605" s="204"/>
      <c r="AR605" s="204"/>
      <c r="AS605" s="204"/>
      <c r="AT605" s="204"/>
      <c r="AU605" s="204"/>
      <c r="AV605" s="204"/>
      <c r="AW605" s="204"/>
      <c r="AX605" s="204"/>
      <c r="AY605" s="204"/>
      <c r="AZ605" s="204"/>
      <c r="BA605" s="204"/>
      <c r="BB605" s="204"/>
      <c r="BC605" s="204"/>
      <c r="BD605" s="204"/>
      <c r="BE605" s="204"/>
      <c r="BF605" s="204"/>
      <c r="BG605" s="204"/>
      <c r="BH605" s="204"/>
      <c r="BI605" s="204"/>
      <c r="BJ605" s="204"/>
      <c r="BK605" s="204"/>
      <c r="BL605" s="204"/>
      <c r="BM605" s="204"/>
      <c r="BN605" s="204"/>
      <c r="BO605" s="204"/>
      <c r="BP605" s="204"/>
    </row>
    <row r="606" spans="1:68" ht="15" x14ac:dyDescent="0.2">
      <c r="A606" s="204"/>
      <c r="B606" s="204"/>
      <c r="C606" s="821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821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821"/>
      <c r="AL606" s="204"/>
      <c r="AM606" s="204"/>
      <c r="AN606" s="204"/>
      <c r="AO606" s="204"/>
      <c r="AP606" s="204"/>
      <c r="AQ606" s="204"/>
      <c r="AR606" s="204"/>
      <c r="AS606" s="204"/>
      <c r="AT606" s="204"/>
      <c r="AU606" s="204"/>
      <c r="AV606" s="204"/>
      <c r="AW606" s="204"/>
      <c r="AX606" s="204"/>
      <c r="AY606" s="204"/>
      <c r="AZ606" s="204"/>
      <c r="BA606" s="204"/>
      <c r="BB606" s="204"/>
      <c r="BC606" s="204"/>
      <c r="BD606" s="204"/>
      <c r="BE606" s="204"/>
      <c r="BF606" s="204"/>
      <c r="BG606" s="204"/>
      <c r="BH606" s="204"/>
      <c r="BI606" s="204"/>
      <c r="BJ606" s="204"/>
      <c r="BK606" s="204"/>
      <c r="BL606" s="204"/>
      <c r="BM606" s="204"/>
      <c r="BN606" s="204"/>
      <c r="BO606" s="204"/>
      <c r="BP606" s="204"/>
    </row>
    <row r="607" spans="1:68" ht="15" x14ac:dyDescent="0.2">
      <c r="A607" s="204"/>
      <c r="B607" s="204"/>
      <c r="C607" s="821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821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821"/>
      <c r="AL607" s="204"/>
      <c r="AM607" s="204"/>
      <c r="AN607" s="204"/>
      <c r="AO607" s="204"/>
      <c r="AP607" s="204"/>
      <c r="AQ607" s="204"/>
      <c r="AR607" s="204"/>
      <c r="AS607" s="204"/>
      <c r="AT607" s="204"/>
      <c r="AU607" s="204"/>
      <c r="AV607" s="204"/>
      <c r="AW607" s="204"/>
      <c r="AX607" s="204"/>
      <c r="AY607" s="204"/>
      <c r="AZ607" s="204"/>
      <c r="BA607" s="204"/>
      <c r="BB607" s="204"/>
      <c r="BC607" s="204"/>
      <c r="BD607" s="204"/>
      <c r="BE607" s="204"/>
      <c r="BF607" s="204"/>
      <c r="BG607" s="204"/>
      <c r="BH607" s="204"/>
      <c r="BI607" s="204"/>
      <c r="BJ607" s="204"/>
      <c r="BK607" s="204"/>
      <c r="BL607" s="204"/>
      <c r="BM607" s="204"/>
      <c r="BN607" s="204"/>
      <c r="BO607" s="204"/>
      <c r="BP607" s="204"/>
    </row>
    <row r="608" spans="1:68" ht="15" x14ac:dyDescent="0.2">
      <c r="A608" s="204"/>
      <c r="B608" s="204"/>
      <c r="C608" s="821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821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  <c r="AA608" s="204"/>
      <c r="AB608" s="204"/>
      <c r="AC608" s="204"/>
      <c r="AD608" s="204"/>
      <c r="AE608" s="204"/>
      <c r="AF608" s="204"/>
      <c r="AG608" s="204"/>
      <c r="AH608" s="204"/>
      <c r="AI608" s="204"/>
      <c r="AJ608" s="204"/>
      <c r="AK608" s="821"/>
      <c r="AL608" s="204"/>
      <c r="AM608" s="204"/>
      <c r="AN608" s="204"/>
      <c r="AO608" s="204"/>
      <c r="AP608" s="204"/>
      <c r="AQ608" s="204"/>
      <c r="AR608" s="204"/>
      <c r="AS608" s="204"/>
      <c r="AT608" s="204"/>
      <c r="AU608" s="204"/>
      <c r="AV608" s="204"/>
      <c r="AW608" s="204"/>
      <c r="AX608" s="204"/>
      <c r="AY608" s="204"/>
      <c r="AZ608" s="204"/>
      <c r="BA608" s="204"/>
      <c r="BB608" s="204"/>
      <c r="BC608" s="204"/>
      <c r="BD608" s="204"/>
      <c r="BE608" s="204"/>
      <c r="BF608" s="204"/>
      <c r="BG608" s="204"/>
      <c r="BH608" s="204"/>
      <c r="BI608" s="204"/>
      <c r="BJ608" s="204"/>
      <c r="BK608" s="204"/>
      <c r="BL608" s="204"/>
      <c r="BM608" s="204"/>
      <c r="BN608" s="204"/>
      <c r="BO608" s="204"/>
      <c r="BP608" s="204"/>
    </row>
    <row r="609" spans="1:68" ht="15" x14ac:dyDescent="0.2">
      <c r="A609" s="204"/>
      <c r="B609" s="204"/>
      <c r="C609" s="821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821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  <c r="AA609" s="204"/>
      <c r="AB609" s="204"/>
      <c r="AC609" s="204"/>
      <c r="AD609" s="204"/>
      <c r="AE609" s="204"/>
      <c r="AF609" s="204"/>
      <c r="AG609" s="204"/>
      <c r="AH609" s="204"/>
      <c r="AI609" s="204"/>
      <c r="AJ609" s="204"/>
      <c r="AK609" s="821"/>
      <c r="AL609" s="204"/>
      <c r="AM609" s="204"/>
      <c r="AN609" s="204"/>
      <c r="AO609" s="204"/>
      <c r="AP609" s="204"/>
      <c r="AQ609" s="204"/>
      <c r="AR609" s="204"/>
      <c r="AS609" s="204"/>
      <c r="AT609" s="204"/>
      <c r="AU609" s="204"/>
      <c r="AV609" s="204"/>
      <c r="AW609" s="204"/>
      <c r="AX609" s="204"/>
      <c r="AY609" s="204"/>
      <c r="AZ609" s="204"/>
      <c r="BA609" s="204"/>
      <c r="BB609" s="204"/>
      <c r="BC609" s="204"/>
      <c r="BD609" s="204"/>
      <c r="BE609" s="204"/>
      <c r="BF609" s="204"/>
      <c r="BG609" s="204"/>
      <c r="BH609" s="204"/>
      <c r="BI609" s="204"/>
      <c r="BJ609" s="204"/>
      <c r="BK609" s="204"/>
      <c r="BL609" s="204"/>
      <c r="BM609" s="204"/>
      <c r="BN609" s="204"/>
      <c r="BO609" s="204"/>
      <c r="BP609" s="204"/>
    </row>
  </sheetData>
  <phoneticPr fontId="0" type="noConversion"/>
  <printOptions horizontalCentered="1" gridLinesSet="0"/>
  <pageMargins left="0.5" right="0.5" top="0.25" bottom="0.25" header="0.23" footer="0.5"/>
  <pageSetup paperSize="5" scale="60" orientation="landscape" horizontalDpi="4294967292" verticalDpi="300" r:id="rId1"/>
  <headerFooter alignWithMargins="0"/>
  <rowBreaks count="1" manualBreakCount="1">
    <brk id="84" max="9" man="1"/>
  </rowBreaks>
  <colBreaks count="2" manualBreakCount="2">
    <brk id="11" max="1048575" man="1"/>
    <brk id="3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12"/>
  <sheetViews>
    <sheetView showGridLines="0" tabSelected="1" topLeftCell="A5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C8" sqref="C8"/>
    </sheetView>
  </sheetViews>
  <sheetFormatPr defaultColWidth="10.7109375" defaultRowHeight="12.75" x14ac:dyDescent="0.2"/>
  <cols>
    <col min="1" max="1" width="45.7109375" style="165" customWidth="1"/>
    <col min="2" max="2" width="8.7109375" style="800" customWidth="1"/>
    <col min="3" max="14" width="9.7109375" style="165" customWidth="1"/>
    <col min="15" max="17" width="10.7109375" style="165" customWidth="1"/>
    <col min="18" max="19" width="11.7109375" style="165" customWidth="1"/>
    <col min="20" max="20" width="45.7109375" style="165" customWidth="1"/>
    <col min="21" max="21" width="8.7109375" style="800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1.7109375" style="165" customWidth="1"/>
    <col min="30" max="30" width="45.7109375" style="165" customWidth="1"/>
    <col min="31" max="31" width="8.7109375" style="800" customWidth="1"/>
    <col min="32" max="45" width="9.7109375" style="165" customWidth="1"/>
    <col min="46" max="16384" width="10.7109375" style="165"/>
  </cols>
  <sheetData>
    <row r="1" spans="1:49" x14ac:dyDescent="0.2">
      <c r="A1" s="681" t="s">
        <v>599</v>
      </c>
      <c r="C1" s="166"/>
      <c r="D1" s="166"/>
      <c r="E1" s="166"/>
      <c r="F1" s="166"/>
      <c r="G1" s="660" t="s">
        <v>923</v>
      </c>
      <c r="H1" s="522"/>
      <c r="I1" s="522"/>
      <c r="J1" s="522"/>
      <c r="K1" s="166"/>
      <c r="L1" s="166"/>
      <c r="M1" s="166"/>
      <c r="N1" s="166"/>
      <c r="O1" s="166"/>
      <c r="P1" s="166"/>
      <c r="Q1" s="166"/>
      <c r="R1" s="166"/>
      <c r="S1" s="167"/>
      <c r="T1" s="576" t="str">
        <f>A1</f>
        <v xml:space="preserve">            </v>
      </c>
      <c r="U1" s="595"/>
      <c r="V1" s="592" t="str">
        <f>G1</f>
        <v>TRANSWESTERN PIPELINE GROUP</v>
      </c>
      <c r="W1" s="571"/>
      <c r="X1" s="571"/>
      <c r="Y1" s="571"/>
      <c r="Z1" s="570"/>
      <c r="AA1" s="570"/>
      <c r="AB1" s="167"/>
      <c r="AC1" s="166"/>
      <c r="AD1" s="413" t="str">
        <f>A1</f>
        <v xml:space="preserve">            </v>
      </c>
      <c r="AI1" s="522" t="str">
        <f>G1</f>
        <v>TRANSWESTERN PIPELINE GROUP</v>
      </c>
      <c r="AJ1" s="522"/>
      <c r="AK1" s="522"/>
      <c r="AL1" s="526"/>
      <c r="AR1" s="166"/>
      <c r="AS1" s="166"/>
      <c r="AT1" s="166"/>
      <c r="AU1" s="166"/>
      <c r="AV1" s="166"/>
      <c r="AW1" s="166"/>
    </row>
    <row r="2" spans="1:49" x14ac:dyDescent="0.2">
      <c r="A2" s="400" t="s">
        <v>924</v>
      </c>
      <c r="C2" s="168"/>
      <c r="D2" s="169"/>
      <c r="E2" s="168"/>
      <c r="F2" s="167"/>
      <c r="G2" s="661" t="s">
        <v>382</v>
      </c>
      <c r="H2" s="522"/>
      <c r="I2" s="522"/>
      <c r="J2" s="522"/>
      <c r="K2" s="168"/>
      <c r="L2" s="168"/>
      <c r="M2" s="168"/>
      <c r="N2" s="168"/>
      <c r="O2" s="166"/>
      <c r="P2" s="166"/>
      <c r="Q2" s="166"/>
      <c r="R2" s="166"/>
      <c r="S2" s="167"/>
      <c r="T2" s="593" t="s">
        <v>925</v>
      </c>
      <c r="U2" s="595"/>
      <c r="V2" s="592" t="str">
        <f>G2</f>
        <v>2002 OPERATING PLAN</v>
      </c>
      <c r="W2" s="571"/>
      <c r="X2" s="571"/>
      <c r="Y2" s="571"/>
      <c r="Z2" s="570"/>
      <c r="AA2" s="570"/>
      <c r="AB2" s="166"/>
      <c r="AC2" s="166"/>
      <c r="AD2" s="568" t="s">
        <v>926</v>
      </c>
      <c r="AF2" s="170"/>
      <c r="AG2" s="170"/>
      <c r="AH2" s="170"/>
      <c r="AI2" s="522" t="str">
        <f>G2</f>
        <v>2002 OPERATING PLAN</v>
      </c>
      <c r="AJ2" s="522"/>
      <c r="AK2" s="522"/>
      <c r="AL2" s="526"/>
      <c r="AN2" s="170"/>
      <c r="AO2" s="170"/>
      <c r="AP2" s="170"/>
      <c r="AQ2" s="170"/>
      <c r="AR2" s="166"/>
      <c r="AS2" s="166"/>
      <c r="AT2" s="166"/>
      <c r="AU2" s="166"/>
      <c r="AV2" s="166"/>
      <c r="AW2" s="166"/>
    </row>
    <row r="3" spans="1:49" x14ac:dyDescent="0.2">
      <c r="A3" s="680" t="s">
        <v>382</v>
      </c>
      <c r="C3" s="168"/>
      <c r="D3" s="168"/>
      <c r="E3" s="168"/>
      <c r="F3" s="168"/>
      <c r="G3" s="521" t="s">
        <v>927</v>
      </c>
      <c r="H3" s="522"/>
      <c r="I3" s="522"/>
      <c r="J3" s="414"/>
      <c r="K3" s="168"/>
      <c r="L3" s="168"/>
      <c r="M3" s="168"/>
      <c r="N3" s="168"/>
      <c r="O3" s="166"/>
      <c r="P3" s="166"/>
      <c r="Q3" s="166"/>
      <c r="R3" s="166"/>
      <c r="S3" s="167"/>
      <c r="T3" s="594" t="str">
        <f>A3</f>
        <v>2002 OPERATING PLAN</v>
      </c>
      <c r="U3" s="595"/>
      <c r="V3" s="592" t="str">
        <f>G3</f>
        <v xml:space="preserve">RESULTS OF OPERATIONS </v>
      </c>
      <c r="W3" s="571"/>
      <c r="X3" s="571"/>
      <c r="Y3" s="571"/>
      <c r="Z3" s="570"/>
      <c r="AA3" s="570"/>
      <c r="AB3" s="166"/>
      <c r="AC3" s="166"/>
      <c r="AD3" s="413" t="str">
        <f>A3</f>
        <v>2002 OPERATING PLAN</v>
      </c>
      <c r="AF3" s="170"/>
      <c r="AG3" s="170"/>
      <c r="AH3" s="170"/>
      <c r="AI3" s="521" t="s">
        <v>928</v>
      </c>
      <c r="AJ3" s="522"/>
      <c r="AK3" s="522"/>
      <c r="AL3" s="526"/>
      <c r="AN3" s="170"/>
      <c r="AO3" s="170"/>
      <c r="AP3" s="170"/>
      <c r="AQ3" s="170"/>
      <c r="AR3" s="166"/>
      <c r="AS3" s="166"/>
      <c r="AT3" s="166"/>
      <c r="AU3" s="166"/>
      <c r="AV3" s="166"/>
      <c r="AW3" s="166"/>
    </row>
    <row r="4" spans="1:49" x14ac:dyDescent="0.2">
      <c r="A4" s="398"/>
      <c r="B4" s="801">
        <f ca="1">NOW()</f>
        <v>37189.614922337962</v>
      </c>
      <c r="C4" s="168"/>
      <c r="D4" s="168"/>
      <c r="E4" s="168"/>
      <c r="F4" s="168"/>
      <c r="G4" s="521" t="s">
        <v>929</v>
      </c>
      <c r="H4" s="522"/>
      <c r="I4" s="522"/>
      <c r="J4" s="414"/>
      <c r="K4" s="168"/>
      <c r="L4" s="168"/>
      <c r="M4" s="168"/>
      <c r="N4" s="168"/>
      <c r="O4" s="166"/>
      <c r="P4" s="166"/>
      <c r="Q4" s="166"/>
      <c r="R4" s="166"/>
      <c r="S4" s="167"/>
      <c r="T4" s="569"/>
      <c r="U4" s="801">
        <f ca="1">NOW()</f>
        <v>37189.614922337962</v>
      </c>
      <c r="V4" s="592" t="str">
        <f>G4</f>
        <v>(Thousands of Dollars)</v>
      </c>
      <c r="W4" s="571"/>
      <c r="X4" s="571"/>
      <c r="Y4" s="571"/>
      <c r="Z4" s="570"/>
      <c r="AA4" s="570"/>
      <c r="AB4" s="166"/>
      <c r="AC4" s="166"/>
      <c r="AD4" s="166"/>
      <c r="AE4" s="801">
        <f ca="1">NOW()</f>
        <v>37189.614922337962</v>
      </c>
      <c r="AF4" s="170"/>
      <c r="AG4" s="170"/>
      <c r="AH4" s="170"/>
      <c r="AI4" s="522" t="str">
        <f>G4</f>
        <v>(Thousands of Dollars)</v>
      </c>
      <c r="AJ4" s="522"/>
      <c r="AK4" s="522"/>
      <c r="AL4" s="527"/>
      <c r="AN4" s="170"/>
      <c r="AO4" s="170"/>
      <c r="AP4" s="170"/>
      <c r="AQ4" s="170"/>
      <c r="AR4" s="166"/>
      <c r="AS4" s="166"/>
      <c r="AT4" s="166"/>
      <c r="AU4" s="166"/>
      <c r="AV4" s="166"/>
      <c r="AW4" s="166"/>
    </row>
    <row r="5" spans="1:49" x14ac:dyDescent="0.2">
      <c r="A5" s="409" t="s">
        <v>605</v>
      </c>
      <c r="B5" s="802">
        <f ca="1">NOW()</f>
        <v>37189.614922337962</v>
      </c>
      <c r="C5" s="168"/>
      <c r="D5" s="507"/>
      <c r="E5" s="168"/>
      <c r="F5" s="168"/>
      <c r="G5" s="406"/>
      <c r="H5" s="168"/>
      <c r="I5" s="171"/>
      <c r="J5" s="168"/>
      <c r="K5" s="168"/>
      <c r="L5" s="168"/>
      <c r="M5" s="168"/>
      <c r="N5" s="168"/>
      <c r="O5" s="166"/>
      <c r="P5" s="166"/>
      <c r="Q5" s="166"/>
      <c r="R5" s="166"/>
      <c r="S5" s="166"/>
      <c r="T5" s="665" t="s">
        <v>606</v>
      </c>
      <c r="U5" s="802">
        <f ca="1">NOW()</f>
        <v>37189.614922337962</v>
      </c>
      <c r="V5" s="570"/>
      <c r="W5" s="578"/>
      <c r="X5" s="578"/>
      <c r="Y5" s="578"/>
      <c r="Z5" s="578"/>
      <c r="AA5" s="578"/>
      <c r="AB5" s="166"/>
      <c r="AC5" s="166"/>
      <c r="AD5" s="409" t="s">
        <v>604</v>
      </c>
      <c r="AE5" s="802">
        <f ca="1">NOW()</f>
        <v>37189.614922337962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66"/>
      <c r="AS5" s="166"/>
      <c r="AT5" s="166"/>
      <c r="AU5" s="166"/>
      <c r="AV5" s="166"/>
      <c r="AW5" s="166"/>
    </row>
    <row r="6" spans="1:49" x14ac:dyDescent="0.2">
      <c r="A6" s="170"/>
      <c r="C6" s="803" t="str">
        <f>DataBase!C2</f>
        <v>PLAN</v>
      </c>
      <c r="D6" s="803" t="str">
        <f>DataBase!D2</f>
        <v>PLAN</v>
      </c>
      <c r="E6" s="803" t="str">
        <f>DataBase!E2</f>
        <v>PLAN</v>
      </c>
      <c r="F6" s="803" t="str">
        <f>DataBase!F2</f>
        <v>PLAN</v>
      </c>
      <c r="G6" s="803" t="str">
        <f>DataBase!G2</f>
        <v>PLAN</v>
      </c>
      <c r="H6" s="803" t="str">
        <f>DataBase!H2</f>
        <v>PLAN</v>
      </c>
      <c r="I6" s="803" t="str">
        <f>DataBase!I2</f>
        <v>PLAN</v>
      </c>
      <c r="J6" s="803" t="str">
        <f>DataBase!J2</f>
        <v>PLAN</v>
      </c>
      <c r="K6" s="803" t="str">
        <f>DataBase!K2</f>
        <v>PLAN</v>
      </c>
      <c r="L6" s="803" t="str">
        <f>DataBase!L2</f>
        <v>PLAN</v>
      </c>
      <c r="M6" s="803" t="str">
        <f>DataBase!M2</f>
        <v>PLAN</v>
      </c>
      <c r="N6" s="803" t="str">
        <f>DataBase!N2</f>
        <v>PLAN</v>
      </c>
      <c r="O6" s="803" t="str">
        <f>DataBase!O2</f>
        <v>TOTAL</v>
      </c>
      <c r="P6" s="476" t="s">
        <v>417</v>
      </c>
      <c r="Q6" s="403" t="s">
        <v>931</v>
      </c>
      <c r="R6" s="166"/>
      <c r="S6" s="167"/>
      <c r="T6" s="570"/>
      <c r="U6" s="595"/>
      <c r="V6" s="595" t="s">
        <v>932</v>
      </c>
      <c r="W6" s="595" t="s">
        <v>933</v>
      </c>
      <c r="X6" s="595" t="s">
        <v>934</v>
      </c>
      <c r="Y6" s="595" t="s">
        <v>935</v>
      </c>
      <c r="Z6" s="578"/>
      <c r="AA6" s="596" t="str">
        <f>DataBase!O2</f>
        <v>TOTAL</v>
      </c>
      <c r="AB6" s="166"/>
      <c r="AC6" s="166"/>
      <c r="AD6" s="170"/>
      <c r="AF6" s="171" t="str">
        <f>DataBase!C2</f>
        <v>PLAN</v>
      </c>
      <c r="AG6" s="171" t="str">
        <f>DataBase!D2</f>
        <v>PLAN</v>
      </c>
      <c r="AH6" s="171" t="str">
        <f>DataBase!E2</f>
        <v>PLAN</v>
      </c>
      <c r="AI6" s="171" t="str">
        <f>DataBase!F2</f>
        <v>PLAN</v>
      </c>
      <c r="AJ6" s="171" t="str">
        <f>DataBase!G2</f>
        <v>PLAN</v>
      </c>
      <c r="AK6" s="171" t="str">
        <f>DataBase!H2</f>
        <v>PLAN</v>
      </c>
      <c r="AL6" s="171" t="str">
        <f>DataBase!I2</f>
        <v>PLAN</v>
      </c>
      <c r="AM6" s="171" t="str">
        <f>DataBase!J2</f>
        <v>PLAN</v>
      </c>
      <c r="AN6" s="171" t="str">
        <f>DataBase!K2</f>
        <v>PLAN</v>
      </c>
      <c r="AO6" s="171" t="str">
        <f>DataBase!L2</f>
        <v>PLAN</v>
      </c>
      <c r="AP6" s="171" t="str">
        <f>DataBase!M2</f>
        <v>PLAN</v>
      </c>
      <c r="AQ6" s="171" t="str">
        <f>DataBase!N2</f>
        <v>PLAN</v>
      </c>
      <c r="AR6" s="166"/>
      <c r="AS6" s="166"/>
      <c r="AT6" s="166"/>
      <c r="AU6" s="166"/>
      <c r="AV6" s="166"/>
      <c r="AW6" s="166"/>
    </row>
    <row r="7" spans="1:49" x14ac:dyDescent="0.2">
      <c r="A7" s="170"/>
      <c r="C7" s="404" t="s">
        <v>609</v>
      </c>
      <c r="D7" s="404" t="s">
        <v>610</v>
      </c>
      <c r="E7" s="404" t="s">
        <v>611</v>
      </c>
      <c r="F7" s="404" t="s">
        <v>612</v>
      </c>
      <c r="G7" s="404" t="s">
        <v>613</v>
      </c>
      <c r="H7" s="404" t="s">
        <v>614</v>
      </c>
      <c r="I7" s="404" t="s">
        <v>615</v>
      </c>
      <c r="J7" s="404" t="s">
        <v>616</v>
      </c>
      <c r="K7" s="404" t="s">
        <v>617</v>
      </c>
      <c r="L7" s="404" t="s">
        <v>618</v>
      </c>
      <c r="M7" s="404" t="s">
        <v>619</v>
      </c>
      <c r="N7" s="404" t="s">
        <v>620</v>
      </c>
      <c r="O7" s="995">
        <f>DataBase!O3</f>
        <v>2002</v>
      </c>
      <c r="P7" s="405" t="s">
        <v>936</v>
      </c>
      <c r="Q7" s="404" t="s">
        <v>937</v>
      </c>
      <c r="R7" s="168"/>
      <c r="S7" s="167"/>
      <c r="T7" s="570"/>
      <c r="U7" s="595"/>
      <c r="V7" s="582" t="s">
        <v>938</v>
      </c>
      <c r="W7" s="597" t="str">
        <f>V$7</f>
        <v>Quarter</v>
      </c>
      <c r="X7" s="597" t="str">
        <f>W$7</f>
        <v>Quarter</v>
      </c>
      <c r="Y7" s="597" t="str">
        <f>X$7</f>
        <v>Quarter</v>
      </c>
      <c r="Z7" s="598"/>
      <c r="AA7" s="599">
        <f>O7</f>
        <v>2002</v>
      </c>
      <c r="AB7" s="166"/>
      <c r="AC7" s="166"/>
      <c r="AD7" s="170"/>
      <c r="AF7" s="173" t="str">
        <f t="shared" ref="AF7:AQ7" si="0">C7</f>
        <v>JAN</v>
      </c>
      <c r="AG7" s="173" t="str">
        <f t="shared" si="0"/>
        <v>FEB</v>
      </c>
      <c r="AH7" s="173" t="str">
        <f t="shared" si="0"/>
        <v>MAR</v>
      </c>
      <c r="AI7" s="173" t="str">
        <f t="shared" si="0"/>
        <v>APR</v>
      </c>
      <c r="AJ7" s="173" t="str">
        <f t="shared" si="0"/>
        <v>MAY</v>
      </c>
      <c r="AK7" s="173" t="str">
        <f t="shared" si="0"/>
        <v>JUN</v>
      </c>
      <c r="AL7" s="173" t="str">
        <f t="shared" si="0"/>
        <v>JUL</v>
      </c>
      <c r="AM7" s="173" t="str">
        <f t="shared" si="0"/>
        <v>AUG</v>
      </c>
      <c r="AN7" s="173" t="str">
        <f t="shared" si="0"/>
        <v>SEP</v>
      </c>
      <c r="AO7" s="173" t="str">
        <f t="shared" si="0"/>
        <v>OCT</v>
      </c>
      <c r="AP7" s="173" t="str">
        <f t="shared" si="0"/>
        <v>NOV</v>
      </c>
      <c r="AQ7" s="173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07" t="s">
        <v>939</v>
      </c>
      <c r="T8" s="600" t="str">
        <f>A8</f>
        <v>OPERATING REVENUES</v>
      </c>
      <c r="U8" s="807"/>
      <c r="V8" s="569"/>
      <c r="W8" s="569"/>
      <c r="X8" s="569"/>
      <c r="Y8" s="569"/>
      <c r="Z8" s="569"/>
      <c r="AA8" s="569"/>
      <c r="AD8" s="166" t="str">
        <f>A8</f>
        <v>OPERATING REVENUES</v>
      </c>
    </row>
    <row r="9" spans="1:49" x14ac:dyDescent="0.2">
      <c r="A9" s="408" t="s">
        <v>940</v>
      </c>
      <c r="C9" s="177">
        <f>'Sales&amp;Liq-COS'!C31</f>
        <v>0</v>
      </c>
      <c r="D9" s="177">
        <f>'Sales&amp;Liq-COS'!D31</f>
        <v>0</v>
      </c>
      <c r="E9" s="177">
        <f>'Sales&amp;Liq-COS'!E31</f>
        <v>0</v>
      </c>
      <c r="F9" s="177">
        <f>'Sales&amp;Liq-COS'!F31</f>
        <v>0</v>
      </c>
      <c r="G9" s="177">
        <f>'Sales&amp;Liq-COS'!G31</f>
        <v>0</v>
      </c>
      <c r="H9" s="177">
        <f>'Sales&amp;Liq-COS'!H31</f>
        <v>0</v>
      </c>
      <c r="I9" s="177">
        <f>'Sales&amp;Liq-COS'!I31</f>
        <v>0</v>
      </c>
      <c r="J9" s="177">
        <f>'Sales&amp;Liq-COS'!J31</f>
        <v>0</v>
      </c>
      <c r="K9" s="177">
        <f>'Sales&amp;Liq-COS'!K31</f>
        <v>0</v>
      </c>
      <c r="L9" s="177">
        <f>'Sales&amp;Liq-COS'!L31</f>
        <v>0</v>
      </c>
      <c r="M9" s="177">
        <f>'Sales&amp;Liq-COS'!M31</f>
        <v>0</v>
      </c>
      <c r="N9" s="177">
        <f>'Sales&amp;Liq-COS'!N31</f>
        <v>0</v>
      </c>
      <c r="O9" s="177">
        <f>SUM(C9:N9)</f>
        <v>0</v>
      </c>
      <c r="P9" s="178">
        <f>SUM(C9:D9)</f>
        <v>0</v>
      </c>
      <c r="Q9" s="177">
        <f>O9-P9</f>
        <v>0</v>
      </c>
      <c r="R9" s="566"/>
      <c r="S9" s="170"/>
      <c r="T9" s="601" t="str">
        <f>A9</f>
        <v xml:space="preserve">   Gas Sales &amp; Liquids Revenue</v>
      </c>
      <c r="U9" s="807"/>
      <c r="V9" s="584">
        <f>C9+D9+E9</f>
        <v>0</v>
      </c>
      <c r="W9" s="584">
        <f>F9+G9+H9</f>
        <v>0</v>
      </c>
      <c r="X9" s="584">
        <f>I9+J9+K9</f>
        <v>0</v>
      </c>
      <c r="Y9" s="584">
        <f>L9+M9+N9</f>
        <v>0</v>
      </c>
      <c r="Z9" s="584"/>
      <c r="AA9" s="584">
        <f>SUM(V9:Y9)</f>
        <v>0</v>
      </c>
      <c r="AB9" s="170"/>
      <c r="AC9" s="170"/>
      <c r="AD9" s="165" t="str">
        <f>A9</f>
        <v xml:space="preserve">   Gas Sales &amp; Liquids Revenue</v>
      </c>
      <c r="AF9" s="177">
        <f>C9</f>
        <v>0</v>
      </c>
      <c r="AG9" s="177">
        <f t="shared" ref="AG9:AQ10" si="1">D9+AF9</f>
        <v>0</v>
      </c>
      <c r="AH9" s="177">
        <f t="shared" si="1"/>
        <v>0</v>
      </c>
      <c r="AI9" s="177">
        <f t="shared" si="1"/>
        <v>0</v>
      </c>
      <c r="AJ9" s="177">
        <f t="shared" si="1"/>
        <v>0</v>
      </c>
      <c r="AK9" s="177">
        <f t="shared" si="1"/>
        <v>0</v>
      </c>
      <c r="AL9" s="177">
        <f t="shared" si="1"/>
        <v>0</v>
      </c>
      <c r="AM9" s="177">
        <f t="shared" si="1"/>
        <v>0</v>
      </c>
      <c r="AN9" s="177">
        <f t="shared" si="1"/>
        <v>0</v>
      </c>
      <c r="AO9" s="177">
        <f t="shared" si="1"/>
        <v>0</v>
      </c>
      <c r="AP9" s="177">
        <f t="shared" si="1"/>
        <v>0</v>
      </c>
      <c r="AQ9" s="177">
        <f t="shared" si="1"/>
        <v>0</v>
      </c>
    </row>
    <row r="10" spans="1:49" x14ac:dyDescent="0.2">
      <c r="A10" s="408" t="s">
        <v>941</v>
      </c>
      <c r="C10" s="180">
        <f>'Sales&amp;Liq-COS'!C41</f>
        <v>0</v>
      </c>
      <c r="D10" s="180">
        <f>'Sales&amp;Liq-COS'!D41</f>
        <v>0</v>
      </c>
      <c r="E10" s="180">
        <f>'Sales&amp;Liq-COS'!E41</f>
        <v>0</v>
      </c>
      <c r="F10" s="180">
        <f>'Sales&amp;Liq-COS'!F41</f>
        <v>0</v>
      </c>
      <c r="G10" s="180">
        <f>'Sales&amp;Liq-COS'!G41</f>
        <v>0</v>
      </c>
      <c r="H10" s="180">
        <f>'Sales&amp;Liq-COS'!H41</f>
        <v>0</v>
      </c>
      <c r="I10" s="180">
        <f>'Sales&amp;Liq-COS'!I41</f>
        <v>0</v>
      </c>
      <c r="J10" s="180">
        <f>'Sales&amp;Liq-COS'!J41</f>
        <v>0</v>
      </c>
      <c r="K10" s="180">
        <f>'Sales&amp;Liq-COS'!K41</f>
        <v>0</v>
      </c>
      <c r="L10" s="180">
        <f>'Sales&amp;Liq-COS'!L41</f>
        <v>0</v>
      </c>
      <c r="M10" s="180">
        <f>'Sales&amp;Liq-COS'!M41</f>
        <v>0</v>
      </c>
      <c r="N10" s="180">
        <f>'Sales&amp;Liq-COS'!N41</f>
        <v>0</v>
      </c>
      <c r="O10" s="180">
        <f>SUM(C10:N10)</f>
        <v>0</v>
      </c>
      <c r="P10" s="263">
        <f>SUM(C10:D10)</f>
        <v>0</v>
      </c>
      <c r="Q10" s="180">
        <f>O10-P10</f>
        <v>0</v>
      </c>
      <c r="R10" s="567"/>
      <c r="S10" s="170"/>
      <c r="T10" s="601" t="str">
        <f>A10</f>
        <v xml:space="preserve">     Less:  Cost of Sales</v>
      </c>
      <c r="U10" s="807"/>
      <c r="V10" s="586">
        <f>C10+D10+E10</f>
        <v>0</v>
      </c>
      <c r="W10" s="586">
        <f>F10+G10+H10</f>
        <v>0</v>
      </c>
      <c r="X10" s="586">
        <f>I10+J10+K10</f>
        <v>0</v>
      </c>
      <c r="Y10" s="586">
        <f>L10+M10+N10</f>
        <v>0</v>
      </c>
      <c r="Z10" s="586"/>
      <c r="AA10" s="586">
        <f>SUM(V10:Y10)</f>
        <v>0</v>
      </c>
      <c r="AB10" s="170"/>
      <c r="AC10" s="170"/>
      <c r="AD10" s="165" t="str">
        <f>A10</f>
        <v xml:space="preserve">     Less:  Cost of Sales</v>
      </c>
      <c r="AF10" s="180">
        <f>C10</f>
        <v>0</v>
      </c>
      <c r="AG10" s="180">
        <f t="shared" si="1"/>
        <v>0</v>
      </c>
      <c r="AH10" s="180">
        <f t="shared" si="1"/>
        <v>0</v>
      </c>
      <c r="AI10" s="180">
        <f t="shared" si="1"/>
        <v>0</v>
      </c>
      <c r="AJ10" s="180">
        <f t="shared" si="1"/>
        <v>0</v>
      </c>
      <c r="AK10" s="180">
        <f t="shared" si="1"/>
        <v>0</v>
      </c>
      <c r="AL10" s="180">
        <f t="shared" si="1"/>
        <v>0</v>
      </c>
      <c r="AM10" s="180">
        <f t="shared" si="1"/>
        <v>0</v>
      </c>
      <c r="AN10" s="180">
        <f t="shared" si="1"/>
        <v>0</v>
      </c>
      <c r="AO10" s="180">
        <f t="shared" si="1"/>
        <v>0</v>
      </c>
      <c r="AP10" s="180">
        <f t="shared" si="1"/>
        <v>0</v>
      </c>
      <c r="AQ10" s="180">
        <f t="shared" si="1"/>
        <v>0</v>
      </c>
    </row>
    <row r="11" spans="1:49" ht="6" customHeight="1" x14ac:dyDescent="0.2">
      <c r="A11" s="398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8"/>
      <c r="S11" s="170"/>
      <c r="T11" s="569"/>
      <c r="U11" s="807"/>
      <c r="V11" s="584"/>
      <c r="W11" s="584"/>
      <c r="X11" s="584"/>
      <c r="Y11" s="584"/>
      <c r="Z11" s="584"/>
      <c r="AA11" s="584"/>
      <c r="AB11" s="170"/>
      <c r="AC11" s="170"/>
      <c r="AD11" s="170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</row>
    <row r="12" spans="1:49" ht="12" customHeight="1" x14ac:dyDescent="0.2">
      <c r="A12" s="409" t="s">
        <v>942</v>
      </c>
      <c r="B12" s="803"/>
      <c r="C12" s="181">
        <f t="shared" ref="C12:Q12" si="2">C9-C10</f>
        <v>0</v>
      </c>
      <c r="D12" s="181">
        <f t="shared" si="2"/>
        <v>0</v>
      </c>
      <c r="E12" s="181">
        <f t="shared" si="2"/>
        <v>0</v>
      </c>
      <c r="F12" s="181">
        <f t="shared" si="2"/>
        <v>0</v>
      </c>
      <c r="G12" s="181">
        <f t="shared" si="2"/>
        <v>0</v>
      </c>
      <c r="H12" s="181">
        <f t="shared" si="2"/>
        <v>0</v>
      </c>
      <c r="I12" s="181">
        <f t="shared" si="2"/>
        <v>0</v>
      </c>
      <c r="J12" s="181">
        <f t="shared" si="2"/>
        <v>0</v>
      </c>
      <c r="K12" s="181">
        <f t="shared" si="2"/>
        <v>0</v>
      </c>
      <c r="L12" s="181">
        <f t="shared" si="2"/>
        <v>0</v>
      </c>
      <c r="M12" s="181">
        <f t="shared" si="2"/>
        <v>0</v>
      </c>
      <c r="N12" s="181">
        <f t="shared" si="2"/>
        <v>0</v>
      </c>
      <c r="O12" s="181">
        <f t="shared" si="2"/>
        <v>0</v>
      </c>
      <c r="P12" s="181">
        <f t="shared" si="2"/>
        <v>0</v>
      </c>
      <c r="Q12" s="181">
        <f t="shared" si="2"/>
        <v>0</v>
      </c>
      <c r="R12" s="543"/>
      <c r="S12" s="168"/>
      <c r="T12" s="600" t="str">
        <f>A12</f>
        <v xml:space="preserve">      Sales Margin</v>
      </c>
      <c r="U12" s="595"/>
      <c r="V12" s="602">
        <f>V9-V10</f>
        <v>0</v>
      </c>
      <c r="W12" s="602">
        <f>W9-W10</f>
        <v>0</v>
      </c>
      <c r="X12" s="602">
        <f>X9-X10</f>
        <v>0</v>
      </c>
      <c r="Y12" s="602">
        <f>Y9-Y10</f>
        <v>0</v>
      </c>
      <c r="Z12" s="602"/>
      <c r="AA12" s="602">
        <f>AA9-AA10</f>
        <v>0</v>
      </c>
      <c r="AB12" s="168"/>
      <c r="AC12" s="168"/>
      <c r="AD12" s="166" t="str">
        <f>A12</f>
        <v xml:space="preserve">      Sales Margin</v>
      </c>
      <c r="AF12" s="182">
        <f>C12</f>
        <v>0</v>
      </c>
      <c r="AG12" s="182">
        <f t="shared" ref="AG12:AQ12" si="3">D12+AF12</f>
        <v>0</v>
      </c>
      <c r="AH12" s="182">
        <f t="shared" si="3"/>
        <v>0</v>
      </c>
      <c r="AI12" s="182">
        <f t="shared" si="3"/>
        <v>0</v>
      </c>
      <c r="AJ12" s="182">
        <f t="shared" si="3"/>
        <v>0</v>
      </c>
      <c r="AK12" s="182">
        <f t="shared" si="3"/>
        <v>0</v>
      </c>
      <c r="AL12" s="182">
        <f t="shared" si="3"/>
        <v>0</v>
      </c>
      <c r="AM12" s="182">
        <f t="shared" si="3"/>
        <v>0</v>
      </c>
      <c r="AN12" s="182">
        <f t="shared" si="3"/>
        <v>0</v>
      </c>
      <c r="AO12" s="182">
        <f t="shared" si="3"/>
        <v>0</v>
      </c>
      <c r="AP12" s="182">
        <f t="shared" si="3"/>
        <v>0</v>
      </c>
      <c r="AQ12" s="182">
        <f t="shared" si="3"/>
        <v>0</v>
      </c>
    </row>
    <row r="13" spans="1:49" ht="6" customHeight="1" x14ac:dyDescent="0.2">
      <c r="A13" s="398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8"/>
      <c r="S13" s="170"/>
      <c r="T13" s="569"/>
      <c r="U13" s="807"/>
      <c r="V13" s="584"/>
      <c r="W13" s="584"/>
      <c r="X13" s="584"/>
      <c r="Y13" s="584"/>
      <c r="Z13" s="584"/>
      <c r="AA13" s="584"/>
      <c r="AB13" s="170"/>
      <c r="AC13" s="170"/>
      <c r="AD13" s="183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</row>
    <row r="14" spans="1:49" x14ac:dyDescent="0.2">
      <c r="A14" s="408" t="s">
        <v>943</v>
      </c>
      <c r="C14" s="177">
        <f>'Transport-OtherRev'!C39</f>
        <v>13565</v>
      </c>
      <c r="D14" s="177">
        <f>'Transport-OtherRev'!D39</f>
        <v>12079</v>
      </c>
      <c r="E14" s="177">
        <f>'Transport-OtherRev'!E39</f>
        <v>13229</v>
      </c>
      <c r="F14" s="177">
        <f>'Transport-OtherRev'!F39</f>
        <v>12985</v>
      </c>
      <c r="G14" s="177">
        <f>'Transport-OtherRev'!G39</f>
        <v>13446</v>
      </c>
      <c r="H14" s="177">
        <f>'Transport-OtherRev'!H39</f>
        <v>14152</v>
      </c>
      <c r="I14" s="177">
        <f>'Transport-OtherRev'!I39</f>
        <v>15196</v>
      </c>
      <c r="J14" s="177">
        <f>'Transport-OtherRev'!J39</f>
        <v>15187</v>
      </c>
      <c r="K14" s="177">
        <f>'Transport-OtherRev'!K39</f>
        <v>14659</v>
      </c>
      <c r="L14" s="177">
        <f>'Transport-OtherRev'!L39</f>
        <v>15005</v>
      </c>
      <c r="M14" s="177">
        <f>'Transport-OtherRev'!M39</f>
        <v>15160</v>
      </c>
      <c r="N14" s="177">
        <f>'Transport-OtherRev'!N39</f>
        <v>15579</v>
      </c>
      <c r="O14" s="177">
        <f>SUM(C14:N14)</f>
        <v>170242</v>
      </c>
      <c r="P14" s="178">
        <f>SUM(C14:D14)</f>
        <v>25644</v>
      </c>
      <c r="Q14" s="177">
        <f>O14-P14</f>
        <v>144598</v>
      </c>
      <c r="R14" s="566"/>
      <c r="S14" s="170"/>
      <c r="T14" s="601" t="str">
        <f>A14</f>
        <v xml:space="preserve">   Transportation &amp; Storage Revenue</v>
      </c>
      <c r="U14" s="807"/>
      <c r="V14" s="584">
        <f>C14+D14+E14</f>
        <v>38873</v>
      </c>
      <c r="W14" s="584">
        <f>F14+G14+H14</f>
        <v>40583</v>
      </c>
      <c r="X14" s="584">
        <f>I14+J14+K14</f>
        <v>45042</v>
      </c>
      <c r="Y14" s="584">
        <f>L14+M14+N14</f>
        <v>45744</v>
      </c>
      <c r="Z14" s="584"/>
      <c r="AA14" s="584">
        <f>SUM(V14:Y14)</f>
        <v>170242</v>
      </c>
      <c r="AB14" s="170"/>
      <c r="AC14" s="170"/>
      <c r="AD14" s="165" t="str">
        <f>A14</f>
        <v xml:space="preserve">   Transportation &amp; Storage Revenue</v>
      </c>
      <c r="AF14" s="177">
        <f>C14</f>
        <v>13565</v>
      </c>
      <c r="AG14" s="177">
        <f t="shared" ref="AG14:AQ15" si="4">D14+AF14</f>
        <v>25644</v>
      </c>
      <c r="AH14" s="177">
        <f t="shared" si="4"/>
        <v>38873</v>
      </c>
      <c r="AI14" s="177">
        <f t="shared" si="4"/>
        <v>51858</v>
      </c>
      <c r="AJ14" s="177">
        <f t="shared" si="4"/>
        <v>65304</v>
      </c>
      <c r="AK14" s="177">
        <f t="shared" si="4"/>
        <v>79456</v>
      </c>
      <c r="AL14" s="177">
        <f t="shared" si="4"/>
        <v>94652</v>
      </c>
      <c r="AM14" s="177">
        <f t="shared" si="4"/>
        <v>109839</v>
      </c>
      <c r="AN14" s="177">
        <f t="shared" si="4"/>
        <v>124498</v>
      </c>
      <c r="AO14" s="177">
        <f t="shared" si="4"/>
        <v>139503</v>
      </c>
      <c r="AP14" s="177">
        <f t="shared" si="4"/>
        <v>154663</v>
      </c>
      <c r="AQ14" s="177">
        <f t="shared" si="4"/>
        <v>170242</v>
      </c>
      <c r="AR14" s="170"/>
    </row>
    <row r="15" spans="1:49" x14ac:dyDescent="0.2">
      <c r="A15" s="408" t="s">
        <v>311</v>
      </c>
      <c r="C15" s="180">
        <f>'Transport-OtherRev'!C58</f>
        <v>24</v>
      </c>
      <c r="D15" s="180">
        <f>'Transport-OtherRev'!D58</f>
        <v>24</v>
      </c>
      <c r="E15" s="180">
        <f>'Transport-OtherRev'!E58</f>
        <v>23</v>
      </c>
      <c r="F15" s="180">
        <f>'Transport-OtherRev'!F58</f>
        <v>24</v>
      </c>
      <c r="G15" s="180">
        <f>'Transport-OtherRev'!G58</f>
        <v>24</v>
      </c>
      <c r="H15" s="180">
        <f>'Transport-OtherRev'!H58</f>
        <v>23</v>
      </c>
      <c r="I15" s="180">
        <f>'Transport-OtherRev'!I58</f>
        <v>24</v>
      </c>
      <c r="J15" s="180">
        <f>'Transport-OtherRev'!J58</f>
        <v>24</v>
      </c>
      <c r="K15" s="180">
        <f>'Transport-OtherRev'!K58</f>
        <v>23</v>
      </c>
      <c r="L15" s="180">
        <f>'Transport-OtherRev'!L58</f>
        <v>24</v>
      </c>
      <c r="M15" s="180">
        <f>'Transport-OtherRev'!M58</f>
        <v>24</v>
      </c>
      <c r="N15" s="180">
        <f>'Transport-OtherRev'!N58</f>
        <v>24</v>
      </c>
      <c r="O15" s="180">
        <f>SUM(C15:N15)</f>
        <v>285</v>
      </c>
      <c r="P15" s="263">
        <f>SUM(C15:D15)</f>
        <v>48</v>
      </c>
      <c r="Q15" s="180">
        <f>O15-P15</f>
        <v>237</v>
      </c>
      <c r="R15" s="567"/>
      <c r="S15" s="170"/>
      <c r="T15" s="601" t="str">
        <f>A15</f>
        <v xml:space="preserve">   Other Revenue</v>
      </c>
      <c r="U15" s="807"/>
      <c r="V15" s="586">
        <f>C15+D15+E15</f>
        <v>71</v>
      </c>
      <c r="W15" s="586">
        <f>F15+G15+H15</f>
        <v>71</v>
      </c>
      <c r="X15" s="586">
        <f>I15+J15+K15</f>
        <v>71</v>
      </c>
      <c r="Y15" s="586">
        <f>L15+M15+N15</f>
        <v>72</v>
      </c>
      <c r="Z15" s="586"/>
      <c r="AA15" s="586">
        <f>SUM(V15:Y15)</f>
        <v>285</v>
      </c>
      <c r="AB15" s="170"/>
      <c r="AC15" s="170"/>
      <c r="AD15" s="165" t="str">
        <f>A15</f>
        <v xml:space="preserve">   Other Revenue</v>
      </c>
      <c r="AF15" s="180">
        <f>C15</f>
        <v>24</v>
      </c>
      <c r="AG15" s="180">
        <f t="shared" si="4"/>
        <v>48</v>
      </c>
      <c r="AH15" s="180">
        <f t="shared" si="4"/>
        <v>71</v>
      </c>
      <c r="AI15" s="180">
        <f t="shared" si="4"/>
        <v>95</v>
      </c>
      <c r="AJ15" s="180">
        <f t="shared" si="4"/>
        <v>119</v>
      </c>
      <c r="AK15" s="180">
        <f t="shared" si="4"/>
        <v>142</v>
      </c>
      <c r="AL15" s="180">
        <f t="shared" si="4"/>
        <v>166</v>
      </c>
      <c r="AM15" s="180">
        <f t="shared" si="4"/>
        <v>190</v>
      </c>
      <c r="AN15" s="180">
        <f t="shared" si="4"/>
        <v>213</v>
      </c>
      <c r="AO15" s="180">
        <f t="shared" si="4"/>
        <v>237</v>
      </c>
      <c r="AP15" s="180">
        <f t="shared" si="4"/>
        <v>261</v>
      </c>
      <c r="AQ15" s="180">
        <f t="shared" si="4"/>
        <v>285</v>
      </c>
    </row>
    <row r="16" spans="1:49" ht="3.95" customHeight="1" x14ac:dyDescent="0.2">
      <c r="A16" s="170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8"/>
      <c r="S16" s="170"/>
      <c r="T16" s="601"/>
      <c r="U16" s="807"/>
      <c r="V16" s="584"/>
      <c r="W16" s="584"/>
      <c r="X16" s="584"/>
      <c r="Y16" s="584"/>
      <c r="Z16" s="584"/>
      <c r="AA16" s="584"/>
      <c r="AB16" s="170"/>
      <c r="AC16" s="170"/>
      <c r="AD16" s="170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</row>
    <row r="17" spans="1:44" x14ac:dyDescent="0.2">
      <c r="A17" s="407" t="s">
        <v>312</v>
      </c>
      <c r="B17" s="804"/>
      <c r="C17" s="181">
        <f>C12+C14+C15</f>
        <v>13589</v>
      </c>
      <c r="D17" s="181">
        <f t="shared" ref="D17:Q17" si="5">D12+D14+D15</f>
        <v>12103</v>
      </c>
      <c r="E17" s="181">
        <f t="shared" si="5"/>
        <v>13252</v>
      </c>
      <c r="F17" s="181">
        <f t="shared" si="5"/>
        <v>13009</v>
      </c>
      <c r="G17" s="181">
        <f t="shared" si="5"/>
        <v>13470</v>
      </c>
      <c r="H17" s="181">
        <f t="shared" si="5"/>
        <v>14175</v>
      </c>
      <c r="I17" s="181">
        <f t="shared" si="5"/>
        <v>15220</v>
      </c>
      <c r="J17" s="181">
        <f t="shared" si="5"/>
        <v>15211</v>
      </c>
      <c r="K17" s="181">
        <f t="shared" si="5"/>
        <v>14682</v>
      </c>
      <c r="L17" s="181">
        <f t="shared" si="5"/>
        <v>15029</v>
      </c>
      <c r="M17" s="181">
        <f t="shared" si="5"/>
        <v>15184</v>
      </c>
      <c r="N17" s="181">
        <f t="shared" si="5"/>
        <v>15603</v>
      </c>
      <c r="O17" s="181">
        <f t="shared" si="5"/>
        <v>170527</v>
      </c>
      <c r="P17" s="181">
        <f t="shared" si="5"/>
        <v>25692</v>
      </c>
      <c r="Q17" s="181">
        <f t="shared" si="5"/>
        <v>144835</v>
      </c>
      <c r="R17" s="543"/>
      <c r="S17" s="168"/>
      <c r="T17" s="600" t="str">
        <f>A17</f>
        <v xml:space="preserve">      Net Operating Income</v>
      </c>
      <c r="U17" s="595"/>
      <c r="V17" s="603">
        <f>SUM(V12:V15)</f>
        <v>38944</v>
      </c>
      <c r="W17" s="603">
        <f>SUM(W12:W15)</f>
        <v>40654</v>
      </c>
      <c r="X17" s="603">
        <f>SUM(X12:X15)</f>
        <v>45113</v>
      </c>
      <c r="Y17" s="603">
        <f>SUM(Y12:Y15)</f>
        <v>45816</v>
      </c>
      <c r="Z17" s="603"/>
      <c r="AA17" s="603">
        <f>SUM(AA12:AA15)</f>
        <v>170527</v>
      </c>
      <c r="AB17" s="168"/>
      <c r="AC17" s="168"/>
      <c r="AD17" s="166" t="str">
        <f>A17</f>
        <v xml:space="preserve">      Net Operating Income</v>
      </c>
      <c r="AF17" s="181">
        <f>C17</f>
        <v>13589</v>
      </c>
      <c r="AG17" s="181">
        <f t="shared" ref="AG17:AQ17" si="6">D17+AF17</f>
        <v>25692</v>
      </c>
      <c r="AH17" s="181">
        <f t="shared" si="6"/>
        <v>38944</v>
      </c>
      <c r="AI17" s="181">
        <f t="shared" si="6"/>
        <v>51953</v>
      </c>
      <c r="AJ17" s="181">
        <f t="shared" si="6"/>
        <v>65423</v>
      </c>
      <c r="AK17" s="181">
        <f t="shared" si="6"/>
        <v>79598</v>
      </c>
      <c r="AL17" s="181">
        <f t="shared" si="6"/>
        <v>94818</v>
      </c>
      <c r="AM17" s="181">
        <f t="shared" si="6"/>
        <v>110029</v>
      </c>
      <c r="AN17" s="181">
        <f t="shared" si="6"/>
        <v>124711</v>
      </c>
      <c r="AO17" s="181">
        <f t="shared" si="6"/>
        <v>139740</v>
      </c>
      <c r="AP17" s="181">
        <f t="shared" si="6"/>
        <v>154924</v>
      </c>
      <c r="AQ17" s="181">
        <f t="shared" si="6"/>
        <v>170527</v>
      </c>
    </row>
    <row r="18" spans="1:44" x14ac:dyDescent="0.2">
      <c r="A18" s="170"/>
      <c r="C18" s="177"/>
      <c r="D18" s="177"/>
      <c r="E18" s="177"/>
      <c r="F18" s="184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  <c r="S18" s="170"/>
      <c r="T18" s="601"/>
      <c r="U18" s="807"/>
      <c r="V18" s="584"/>
      <c r="W18" s="584"/>
      <c r="X18" s="584"/>
      <c r="Y18" s="584"/>
      <c r="Z18" s="584"/>
      <c r="AA18" s="584"/>
      <c r="AB18" s="170"/>
      <c r="AC18" s="170"/>
      <c r="AD18" s="170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</row>
    <row r="19" spans="1:44" x14ac:dyDescent="0.2">
      <c r="A19" s="407" t="s">
        <v>313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7"/>
      <c r="R19" s="178"/>
      <c r="S19" s="170"/>
      <c r="T19" s="600" t="str">
        <f t="shared" ref="T19:T25" si="7">A19</f>
        <v>OPERATING EXPENSES</v>
      </c>
      <c r="U19" s="807"/>
      <c r="V19" s="584"/>
      <c r="W19" s="584"/>
      <c r="X19" s="584"/>
      <c r="Y19" s="584"/>
      <c r="Z19" s="584"/>
      <c r="AA19" s="584"/>
      <c r="AB19" s="170"/>
      <c r="AC19" s="170"/>
      <c r="AD19" s="166" t="str">
        <f t="shared" ref="AD19:AD25" si="8">A19</f>
        <v>OPERATING EXPENSES</v>
      </c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0"/>
    </row>
    <row r="20" spans="1:44" x14ac:dyDescent="0.2">
      <c r="A20" s="408" t="s">
        <v>314</v>
      </c>
      <c r="C20" s="177">
        <f>'O&amp;M'!C50</f>
        <v>4078</v>
      </c>
      <c r="D20" s="177">
        <f>'O&amp;M'!D50</f>
        <v>4138</v>
      </c>
      <c r="E20" s="177">
        <f>'O&amp;M'!E50</f>
        <v>4049</v>
      </c>
      <c r="F20" s="177">
        <f>'O&amp;M'!F50</f>
        <v>4041</v>
      </c>
      <c r="G20" s="177">
        <f>'O&amp;M'!G50</f>
        <v>4077</v>
      </c>
      <c r="H20" s="177">
        <f>'O&amp;M'!H50</f>
        <v>4146</v>
      </c>
      <c r="I20" s="177">
        <f>'O&amp;M'!I50</f>
        <v>4729</v>
      </c>
      <c r="J20" s="177">
        <f>'O&amp;M'!J50</f>
        <v>4750</v>
      </c>
      <c r="K20" s="177">
        <f>'O&amp;M'!K50</f>
        <v>4780</v>
      </c>
      <c r="L20" s="177">
        <f>'O&amp;M'!L50</f>
        <v>4732</v>
      </c>
      <c r="M20" s="177">
        <f>'O&amp;M'!M50</f>
        <v>4702</v>
      </c>
      <c r="N20" s="177">
        <f>'O&amp;M'!N50</f>
        <v>4815</v>
      </c>
      <c r="O20" s="177">
        <f t="shared" ref="O20:O25" si="9">SUM(C20:N20)</f>
        <v>53037</v>
      </c>
      <c r="P20" s="178">
        <f t="shared" ref="P20:P25" si="10">SUM(C20:D20)</f>
        <v>8216</v>
      </c>
      <c r="Q20" s="177">
        <f t="shared" ref="Q20:Q25" si="11">O20-P20</f>
        <v>44821</v>
      </c>
      <c r="R20" s="566"/>
      <c r="S20" s="170"/>
      <c r="T20" s="601" t="str">
        <f t="shared" si="7"/>
        <v xml:space="preserve">   Operations and Maintenance</v>
      </c>
      <c r="U20" s="807"/>
      <c r="V20" s="584">
        <f t="shared" ref="V20:V25" si="12">C20+D20+E20</f>
        <v>12265</v>
      </c>
      <c r="W20" s="584">
        <f t="shared" ref="W20:W25" si="13">F20+G20+H20</f>
        <v>12264</v>
      </c>
      <c r="X20" s="584">
        <f t="shared" ref="X20:X25" si="14">I20+J20+K20</f>
        <v>14259</v>
      </c>
      <c r="Y20" s="584">
        <f t="shared" ref="Y20:Y25" si="15">L20+M20+N20</f>
        <v>14249</v>
      </c>
      <c r="Z20" s="584"/>
      <c r="AA20" s="584">
        <f t="shared" ref="AA20:AA25" si="16">SUM(V20:Y20)</f>
        <v>53037</v>
      </c>
      <c r="AB20" s="170"/>
      <c r="AD20" s="165" t="str">
        <f t="shared" si="8"/>
        <v xml:space="preserve">   Operations and Maintenance</v>
      </c>
      <c r="AF20" s="177">
        <f t="shared" ref="AF20:AF25" si="17">C20</f>
        <v>4078</v>
      </c>
      <c r="AG20" s="177">
        <f t="shared" ref="AG20:AQ25" si="18">D20+AF20</f>
        <v>8216</v>
      </c>
      <c r="AH20" s="177">
        <f t="shared" si="18"/>
        <v>12265</v>
      </c>
      <c r="AI20" s="177">
        <f t="shared" si="18"/>
        <v>16306</v>
      </c>
      <c r="AJ20" s="177">
        <f t="shared" si="18"/>
        <v>20383</v>
      </c>
      <c r="AK20" s="177">
        <f t="shared" si="18"/>
        <v>24529</v>
      </c>
      <c r="AL20" s="177">
        <f t="shared" si="18"/>
        <v>29258</v>
      </c>
      <c r="AM20" s="177">
        <f t="shared" si="18"/>
        <v>34008</v>
      </c>
      <c r="AN20" s="177">
        <f t="shared" si="18"/>
        <v>38788</v>
      </c>
      <c r="AO20" s="177">
        <f t="shared" si="18"/>
        <v>43520</v>
      </c>
      <c r="AP20" s="177">
        <f t="shared" si="18"/>
        <v>48222</v>
      </c>
      <c r="AQ20" s="177">
        <f t="shared" si="18"/>
        <v>53037</v>
      </c>
    </row>
    <row r="21" spans="1:44" x14ac:dyDescent="0.2">
      <c r="A21" s="408" t="s">
        <v>315</v>
      </c>
      <c r="C21" s="177">
        <f>RegAmort!C56</f>
        <v>640</v>
      </c>
      <c r="D21" s="177">
        <f>RegAmort!D56</f>
        <v>625</v>
      </c>
      <c r="E21" s="177">
        <f>RegAmort!E56</f>
        <v>638</v>
      </c>
      <c r="F21" s="177">
        <f>RegAmort!F56</f>
        <v>633</v>
      </c>
      <c r="G21" s="177">
        <f>RegAmort!G56</f>
        <v>636</v>
      </c>
      <c r="H21" s="177">
        <f>RegAmort!H56</f>
        <v>634</v>
      </c>
      <c r="I21" s="177">
        <f>RegAmort!I56</f>
        <v>633</v>
      </c>
      <c r="J21" s="177">
        <f>RegAmort!J56</f>
        <v>642</v>
      </c>
      <c r="K21" s="177">
        <f>RegAmort!K56</f>
        <v>641</v>
      </c>
      <c r="L21" s="177">
        <f>RegAmort!L56</f>
        <v>644</v>
      </c>
      <c r="M21" s="177">
        <f>RegAmort!M56</f>
        <v>628</v>
      </c>
      <c r="N21" s="177">
        <f>RegAmort!N56</f>
        <v>639</v>
      </c>
      <c r="O21" s="177">
        <f t="shared" si="9"/>
        <v>7633</v>
      </c>
      <c r="P21" s="178">
        <f t="shared" si="10"/>
        <v>1265</v>
      </c>
      <c r="Q21" s="177">
        <f t="shared" si="11"/>
        <v>6368</v>
      </c>
      <c r="R21" s="566"/>
      <c r="S21" s="170"/>
      <c r="T21" s="601" t="str">
        <f t="shared" si="7"/>
        <v xml:space="preserve">   Regulatory Amortization</v>
      </c>
      <c r="U21" s="807"/>
      <c r="V21" s="584">
        <f t="shared" si="12"/>
        <v>1903</v>
      </c>
      <c r="W21" s="584">
        <f t="shared" si="13"/>
        <v>1903</v>
      </c>
      <c r="X21" s="584">
        <f t="shared" si="14"/>
        <v>1916</v>
      </c>
      <c r="Y21" s="584">
        <f t="shared" si="15"/>
        <v>1911</v>
      </c>
      <c r="Z21" s="584"/>
      <c r="AA21" s="584">
        <f t="shared" si="16"/>
        <v>7633</v>
      </c>
      <c r="AB21" s="170"/>
      <c r="AC21" s="170"/>
      <c r="AD21" s="165" t="str">
        <f t="shared" si="8"/>
        <v xml:space="preserve">   Regulatory Amortization</v>
      </c>
      <c r="AF21" s="177">
        <f t="shared" si="17"/>
        <v>640</v>
      </c>
      <c r="AG21" s="177">
        <f t="shared" si="18"/>
        <v>1265</v>
      </c>
      <c r="AH21" s="177">
        <f t="shared" si="18"/>
        <v>1903</v>
      </c>
      <c r="AI21" s="177">
        <f t="shared" si="18"/>
        <v>2536</v>
      </c>
      <c r="AJ21" s="177">
        <f t="shared" si="18"/>
        <v>3172</v>
      </c>
      <c r="AK21" s="177">
        <f t="shared" si="18"/>
        <v>3806</v>
      </c>
      <c r="AL21" s="177">
        <f t="shared" si="18"/>
        <v>4439</v>
      </c>
      <c r="AM21" s="177">
        <f t="shared" si="18"/>
        <v>5081</v>
      </c>
      <c r="AN21" s="177">
        <f t="shared" si="18"/>
        <v>5722</v>
      </c>
      <c r="AO21" s="177">
        <f t="shared" si="18"/>
        <v>6366</v>
      </c>
      <c r="AP21" s="177">
        <f t="shared" si="18"/>
        <v>6994</v>
      </c>
      <c r="AQ21" s="177">
        <f t="shared" si="18"/>
        <v>7633</v>
      </c>
    </row>
    <row r="22" spans="1:44" x14ac:dyDescent="0.2">
      <c r="A22" s="410" t="s">
        <v>316</v>
      </c>
      <c r="C22" s="177">
        <f>'Fuel-Depr-OtherTax'!C14</f>
        <v>-2786</v>
      </c>
      <c r="D22" s="177">
        <f>'Fuel-Depr-OtherTax'!D14</f>
        <v>-2481</v>
      </c>
      <c r="E22" s="177">
        <f>'Fuel-Depr-OtherTax'!E14</f>
        <v>-2652</v>
      </c>
      <c r="F22" s="177">
        <f>'Fuel-Depr-OtherTax'!F14</f>
        <v>-2393</v>
      </c>
      <c r="G22" s="177">
        <f>'Fuel-Depr-OtherTax'!G14</f>
        <v>-2465</v>
      </c>
      <c r="H22" s="177">
        <f>'Fuel-Depr-OtherTax'!H14</f>
        <v>-2312</v>
      </c>
      <c r="I22" s="177">
        <f>'Fuel-Depr-OtherTax'!I14</f>
        <v>-2639</v>
      </c>
      <c r="J22" s="177">
        <f>'Fuel-Depr-OtherTax'!J14</f>
        <v>-2486</v>
      </c>
      <c r="K22" s="177">
        <f>'Fuel-Depr-OtherTax'!K14</f>
        <v>-2559</v>
      </c>
      <c r="L22" s="177">
        <f>'Fuel-Depr-OtherTax'!L14</f>
        <v>-2678</v>
      </c>
      <c r="M22" s="177">
        <f>'Fuel-Depr-OtherTax'!M14</f>
        <v>-2376</v>
      </c>
      <c r="N22" s="177">
        <f>'Fuel-Depr-OtherTax'!N14</f>
        <v>-2280</v>
      </c>
      <c r="O22" s="177">
        <f t="shared" si="9"/>
        <v>-30107</v>
      </c>
      <c r="P22" s="178">
        <f t="shared" si="10"/>
        <v>-5267</v>
      </c>
      <c r="Q22" s="177">
        <f t="shared" si="11"/>
        <v>-24840</v>
      </c>
      <c r="R22" s="566"/>
      <c r="S22" s="170"/>
      <c r="T22" s="601" t="str">
        <f t="shared" si="7"/>
        <v xml:space="preserve">   Fuel Used in Operations</v>
      </c>
      <c r="U22" s="807"/>
      <c r="V22" s="584">
        <f t="shared" si="12"/>
        <v>-7919</v>
      </c>
      <c r="W22" s="584">
        <f t="shared" si="13"/>
        <v>-7170</v>
      </c>
      <c r="X22" s="584">
        <f t="shared" si="14"/>
        <v>-7684</v>
      </c>
      <c r="Y22" s="584">
        <f t="shared" si="15"/>
        <v>-7334</v>
      </c>
      <c r="Z22" s="584"/>
      <c r="AA22" s="584">
        <f t="shared" si="16"/>
        <v>-30107</v>
      </c>
      <c r="AB22" s="170"/>
      <c r="AC22" s="170"/>
      <c r="AD22" s="165" t="str">
        <f t="shared" si="8"/>
        <v xml:space="preserve">   Fuel Used in Operations</v>
      </c>
      <c r="AF22" s="177">
        <f t="shared" si="17"/>
        <v>-2786</v>
      </c>
      <c r="AG22" s="177">
        <f t="shared" si="18"/>
        <v>-5267</v>
      </c>
      <c r="AH22" s="177">
        <f t="shared" si="18"/>
        <v>-7919</v>
      </c>
      <c r="AI22" s="177">
        <f t="shared" si="18"/>
        <v>-10312</v>
      </c>
      <c r="AJ22" s="177">
        <f t="shared" si="18"/>
        <v>-12777</v>
      </c>
      <c r="AK22" s="177">
        <f t="shared" si="18"/>
        <v>-15089</v>
      </c>
      <c r="AL22" s="177">
        <f t="shared" si="18"/>
        <v>-17728</v>
      </c>
      <c r="AM22" s="177">
        <f t="shared" si="18"/>
        <v>-20214</v>
      </c>
      <c r="AN22" s="177">
        <f t="shared" si="18"/>
        <v>-22773</v>
      </c>
      <c r="AO22" s="177">
        <f t="shared" si="18"/>
        <v>-25451</v>
      </c>
      <c r="AP22" s="177">
        <f t="shared" si="18"/>
        <v>-27827</v>
      </c>
      <c r="AQ22" s="177">
        <f t="shared" si="18"/>
        <v>-30107</v>
      </c>
    </row>
    <row r="23" spans="1:44" x14ac:dyDescent="0.2">
      <c r="A23" s="411" t="s">
        <v>317</v>
      </c>
      <c r="B23" s="805"/>
      <c r="C23" s="177">
        <f>'TC&amp;S'!C65</f>
        <v>0</v>
      </c>
      <c r="D23" s="177">
        <f>'TC&amp;S'!D65</f>
        <v>0</v>
      </c>
      <c r="E23" s="177">
        <f>'TC&amp;S'!E65</f>
        <v>0</v>
      </c>
      <c r="F23" s="177">
        <f>'TC&amp;S'!F65</f>
        <v>0</v>
      </c>
      <c r="G23" s="177">
        <f>'TC&amp;S'!G65</f>
        <v>0</v>
      </c>
      <c r="H23" s="177">
        <f>'TC&amp;S'!H65</f>
        <v>0</v>
      </c>
      <c r="I23" s="177">
        <f>'TC&amp;S'!I65</f>
        <v>0</v>
      </c>
      <c r="J23" s="177">
        <f>'TC&amp;S'!J65</f>
        <v>0</v>
      </c>
      <c r="K23" s="177">
        <f>'TC&amp;S'!K65</f>
        <v>0</v>
      </c>
      <c r="L23" s="177">
        <f>'TC&amp;S'!L65</f>
        <v>0</v>
      </c>
      <c r="M23" s="177">
        <f>'TC&amp;S'!M65</f>
        <v>0</v>
      </c>
      <c r="N23" s="177">
        <f>'TC&amp;S'!N65</f>
        <v>0</v>
      </c>
      <c r="O23" s="177">
        <f t="shared" si="9"/>
        <v>0</v>
      </c>
      <c r="P23" s="178">
        <f t="shared" si="10"/>
        <v>0</v>
      </c>
      <c r="Q23" s="177">
        <f t="shared" si="11"/>
        <v>0</v>
      </c>
      <c r="R23" s="566"/>
      <c r="S23" s="170"/>
      <c r="T23" s="601" t="str">
        <f t="shared" si="7"/>
        <v xml:space="preserve">   Transmission, Compression &amp; Storage</v>
      </c>
      <c r="U23" s="810"/>
      <c r="V23" s="584">
        <f t="shared" si="12"/>
        <v>0</v>
      </c>
      <c r="W23" s="584">
        <f t="shared" si="13"/>
        <v>0</v>
      </c>
      <c r="X23" s="584">
        <f t="shared" si="14"/>
        <v>0</v>
      </c>
      <c r="Y23" s="584">
        <f t="shared" si="15"/>
        <v>0</v>
      </c>
      <c r="Z23" s="584"/>
      <c r="AA23" s="584">
        <f t="shared" si="16"/>
        <v>0</v>
      </c>
      <c r="AB23" s="170"/>
      <c r="AC23" s="170"/>
      <c r="AD23" s="165" t="str">
        <f t="shared" si="8"/>
        <v xml:space="preserve">   Transmission, Compression &amp; Storage</v>
      </c>
      <c r="AF23" s="177">
        <f t="shared" si="17"/>
        <v>0</v>
      </c>
      <c r="AG23" s="177">
        <f t="shared" si="18"/>
        <v>0</v>
      </c>
      <c r="AH23" s="177">
        <f t="shared" si="18"/>
        <v>0</v>
      </c>
      <c r="AI23" s="177">
        <f t="shared" si="18"/>
        <v>0</v>
      </c>
      <c r="AJ23" s="177">
        <f t="shared" si="18"/>
        <v>0</v>
      </c>
      <c r="AK23" s="177">
        <f t="shared" si="18"/>
        <v>0</v>
      </c>
      <c r="AL23" s="177">
        <f t="shared" si="18"/>
        <v>0</v>
      </c>
      <c r="AM23" s="177">
        <f t="shared" si="18"/>
        <v>0</v>
      </c>
      <c r="AN23" s="177">
        <f t="shared" si="18"/>
        <v>0</v>
      </c>
      <c r="AO23" s="177">
        <f t="shared" si="18"/>
        <v>0</v>
      </c>
      <c r="AP23" s="177">
        <f t="shared" si="18"/>
        <v>0</v>
      </c>
      <c r="AQ23" s="177">
        <f t="shared" si="18"/>
        <v>0</v>
      </c>
    </row>
    <row r="24" spans="1:44" x14ac:dyDescent="0.2">
      <c r="A24" s="408" t="s">
        <v>318</v>
      </c>
      <c r="C24" s="177">
        <f>'Fuel-Depr-OtherTax'!C29</f>
        <v>1800</v>
      </c>
      <c r="D24" s="177">
        <f>'Fuel-Depr-OtherTax'!D29</f>
        <v>1803</v>
      </c>
      <c r="E24" s="177">
        <f>'Fuel-Depr-OtherTax'!E29</f>
        <v>1803</v>
      </c>
      <c r="F24" s="177">
        <f>'Fuel-Depr-OtherTax'!F29</f>
        <v>1803</v>
      </c>
      <c r="G24" s="177">
        <f>'Fuel-Depr-OtherTax'!G29</f>
        <v>1803</v>
      </c>
      <c r="H24" s="177">
        <f>'Fuel-Depr-OtherTax'!H29</f>
        <v>1805</v>
      </c>
      <c r="I24" s="177">
        <f>'Fuel-Depr-OtherTax'!I29</f>
        <v>1809</v>
      </c>
      <c r="J24" s="177">
        <f>'Fuel-Depr-OtherTax'!J29</f>
        <v>1809</v>
      </c>
      <c r="K24" s="177">
        <f>'Fuel-Depr-OtherTax'!K29</f>
        <v>1828</v>
      </c>
      <c r="L24" s="177">
        <f>'Fuel-Depr-OtherTax'!L29</f>
        <v>1828</v>
      </c>
      <c r="M24" s="177">
        <f>'Fuel-Depr-OtherTax'!M29</f>
        <v>1831</v>
      </c>
      <c r="N24" s="177">
        <f>'Fuel-Depr-OtherTax'!N29</f>
        <v>1835</v>
      </c>
      <c r="O24" s="177">
        <f t="shared" si="9"/>
        <v>21757</v>
      </c>
      <c r="P24" s="178">
        <f t="shared" si="10"/>
        <v>3603</v>
      </c>
      <c r="Q24" s="177">
        <f t="shared" si="11"/>
        <v>18154</v>
      </c>
      <c r="R24" s="566"/>
      <c r="S24" s="170"/>
      <c r="T24" s="601" t="str">
        <f t="shared" si="7"/>
        <v xml:space="preserve">   Depreciation &amp; Amortization</v>
      </c>
      <c r="U24" s="807"/>
      <c r="V24" s="584">
        <f t="shared" si="12"/>
        <v>5406</v>
      </c>
      <c r="W24" s="584">
        <f t="shared" si="13"/>
        <v>5411</v>
      </c>
      <c r="X24" s="584">
        <f t="shared" si="14"/>
        <v>5446</v>
      </c>
      <c r="Y24" s="584">
        <f t="shared" si="15"/>
        <v>5494</v>
      </c>
      <c r="Z24" s="584"/>
      <c r="AA24" s="584">
        <f t="shared" si="16"/>
        <v>21757</v>
      </c>
      <c r="AB24" s="170"/>
      <c r="AC24" s="170"/>
      <c r="AD24" s="165" t="str">
        <f t="shared" si="8"/>
        <v xml:space="preserve">   Depreciation &amp; Amortization</v>
      </c>
      <c r="AE24" s="805"/>
      <c r="AF24" s="177">
        <f t="shared" si="17"/>
        <v>1800</v>
      </c>
      <c r="AG24" s="177">
        <f t="shared" si="18"/>
        <v>3603</v>
      </c>
      <c r="AH24" s="177">
        <f t="shared" si="18"/>
        <v>5406</v>
      </c>
      <c r="AI24" s="177">
        <f t="shared" si="18"/>
        <v>7209</v>
      </c>
      <c r="AJ24" s="177">
        <f t="shared" si="18"/>
        <v>9012</v>
      </c>
      <c r="AK24" s="177">
        <f t="shared" si="18"/>
        <v>10817</v>
      </c>
      <c r="AL24" s="177">
        <f t="shared" si="18"/>
        <v>12626</v>
      </c>
      <c r="AM24" s="177">
        <f t="shared" si="18"/>
        <v>14435</v>
      </c>
      <c r="AN24" s="177">
        <f t="shared" si="18"/>
        <v>16263</v>
      </c>
      <c r="AO24" s="177">
        <f t="shared" si="18"/>
        <v>18091</v>
      </c>
      <c r="AP24" s="177">
        <f t="shared" si="18"/>
        <v>19922</v>
      </c>
      <c r="AQ24" s="177">
        <f t="shared" si="18"/>
        <v>21757</v>
      </c>
    </row>
    <row r="25" spans="1:44" x14ac:dyDescent="0.2">
      <c r="A25" s="408" t="s">
        <v>319</v>
      </c>
      <c r="C25" s="180">
        <f>'Fuel-Depr-OtherTax'!C51</f>
        <v>900</v>
      </c>
      <c r="D25" s="180">
        <f>'Fuel-Depr-OtherTax'!D51</f>
        <v>940</v>
      </c>
      <c r="E25" s="180">
        <f>'Fuel-Depr-OtherTax'!E51</f>
        <v>900</v>
      </c>
      <c r="F25" s="180">
        <f>'Fuel-Depr-OtherTax'!F51</f>
        <v>897</v>
      </c>
      <c r="G25" s="180">
        <f>'Fuel-Depr-OtherTax'!G51</f>
        <v>901</v>
      </c>
      <c r="H25" s="180">
        <f>'Fuel-Depr-OtherTax'!H51</f>
        <v>897</v>
      </c>
      <c r="I25" s="180">
        <f>'Fuel-Depr-OtherTax'!I51</f>
        <v>899</v>
      </c>
      <c r="J25" s="180">
        <f>'Fuel-Depr-OtherTax'!J51</f>
        <v>899</v>
      </c>
      <c r="K25" s="180">
        <f>'Fuel-Depr-OtherTax'!K51</f>
        <v>900</v>
      </c>
      <c r="L25" s="180">
        <f>'Fuel-Depr-OtherTax'!L51</f>
        <v>898</v>
      </c>
      <c r="M25" s="180">
        <f>'Fuel-Depr-OtherTax'!M51</f>
        <v>901</v>
      </c>
      <c r="N25" s="180">
        <f>'Fuel-Depr-OtherTax'!N51</f>
        <v>897</v>
      </c>
      <c r="O25" s="180">
        <f t="shared" si="9"/>
        <v>10829</v>
      </c>
      <c r="P25" s="263">
        <f t="shared" si="10"/>
        <v>1840</v>
      </c>
      <c r="Q25" s="180">
        <f t="shared" si="11"/>
        <v>8989</v>
      </c>
      <c r="R25" s="567"/>
      <c r="S25" s="170"/>
      <c r="T25" s="601" t="str">
        <f t="shared" si="7"/>
        <v xml:space="preserve">   Taxes Other Than Income</v>
      </c>
      <c r="U25" s="807"/>
      <c r="V25" s="586">
        <f t="shared" si="12"/>
        <v>2740</v>
      </c>
      <c r="W25" s="586">
        <f t="shared" si="13"/>
        <v>2695</v>
      </c>
      <c r="X25" s="586">
        <f t="shared" si="14"/>
        <v>2698</v>
      </c>
      <c r="Y25" s="586">
        <f t="shared" si="15"/>
        <v>2696</v>
      </c>
      <c r="Z25" s="586"/>
      <c r="AA25" s="586">
        <f t="shared" si="16"/>
        <v>10829</v>
      </c>
      <c r="AB25" s="170"/>
      <c r="AC25" s="170"/>
      <c r="AD25" s="165" t="str">
        <f t="shared" si="8"/>
        <v xml:space="preserve">   Taxes Other Than Income</v>
      </c>
      <c r="AF25" s="180">
        <f t="shared" si="17"/>
        <v>900</v>
      </c>
      <c r="AG25" s="180">
        <f t="shared" si="18"/>
        <v>1840</v>
      </c>
      <c r="AH25" s="180">
        <f t="shared" si="18"/>
        <v>2740</v>
      </c>
      <c r="AI25" s="180">
        <f t="shared" si="18"/>
        <v>3637</v>
      </c>
      <c r="AJ25" s="180">
        <f t="shared" si="18"/>
        <v>4538</v>
      </c>
      <c r="AK25" s="180">
        <f t="shared" si="18"/>
        <v>5435</v>
      </c>
      <c r="AL25" s="180">
        <f t="shared" si="18"/>
        <v>6334</v>
      </c>
      <c r="AM25" s="180">
        <f t="shared" si="18"/>
        <v>7233</v>
      </c>
      <c r="AN25" s="180">
        <f t="shared" si="18"/>
        <v>8133</v>
      </c>
      <c r="AO25" s="180">
        <f t="shared" si="18"/>
        <v>9031</v>
      </c>
      <c r="AP25" s="180">
        <f t="shared" si="18"/>
        <v>9932</v>
      </c>
      <c r="AQ25" s="180">
        <f t="shared" si="18"/>
        <v>10829</v>
      </c>
    </row>
    <row r="26" spans="1:44" ht="3.95" customHeight="1" x14ac:dyDescent="0.2">
      <c r="A26" s="170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  <c r="S26" s="170"/>
      <c r="T26" s="601"/>
      <c r="U26" s="807"/>
      <c r="V26" s="584"/>
      <c r="W26" s="584"/>
      <c r="X26" s="584"/>
      <c r="Y26" s="584"/>
      <c r="Z26" s="584"/>
      <c r="AA26" s="584"/>
      <c r="AB26" s="170"/>
      <c r="AC26" s="170"/>
      <c r="AD26" s="170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</row>
    <row r="27" spans="1:44" x14ac:dyDescent="0.2">
      <c r="A27" s="407" t="s">
        <v>320</v>
      </c>
      <c r="B27" s="804"/>
      <c r="C27" s="181">
        <f t="shared" ref="C27:Q27" si="19">SUM(C20:C25)</f>
        <v>4632</v>
      </c>
      <c r="D27" s="181">
        <f t="shared" si="19"/>
        <v>5025</v>
      </c>
      <c r="E27" s="181">
        <f t="shared" si="19"/>
        <v>4738</v>
      </c>
      <c r="F27" s="181">
        <f t="shared" si="19"/>
        <v>4981</v>
      </c>
      <c r="G27" s="181">
        <f t="shared" si="19"/>
        <v>4952</v>
      </c>
      <c r="H27" s="181">
        <f t="shared" si="19"/>
        <v>5170</v>
      </c>
      <c r="I27" s="181">
        <f t="shared" si="19"/>
        <v>5431</v>
      </c>
      <c r="J27" s="181">
        <f t="shared" si="19"/>
        <v>5614</v>
      </c>
      <c r="K27" s="181">
        <f t="shared" si="19"/>
        <v>5590</v>
      </c>
      <c r="L27" s="181">
        <f t="shared" si="19"/>
        <v>5424</v>
      </c>
      <c r="M27" s="181">
        <f t="shared" si="19"/>
        <v>5686</v>
      </c>
      <c r="N27" s="181">
        <f t="shared" si="19"/>
        <v>5906</v>
      </c>
      <c r="O27" s="181">
        <f t="shared" si="19"/>
        <v>63149</v>
      </c>
      <c r="P27" s="181">
        <f t="shared" si="19"/>
        <v>9657</v>
      </c>
      <c r="Q27" s="181">
        <f t="shared" si="19"/>
        <v>53492</v>
      </c>
      <c r="R27" s="543"/>
      <c r="S27" s="168"/>
      <c r="T27" s="600" t="str">
        <f>A27</f>
        <v xml:space="preserve">     Total Operating Expenses</v>
      </c>
      <c r="U27" s="595"/>
      <c r="V27" s="603">
        <f>SUM(V20:V25)</f>
        <v>14395</v>
      </c>
      <c r="W27" s="603">
        <f>SUM(W20:W25)</f>
        <v>15103</v>
      </c>
      <c r="X27" s="603">
        <f>SUM(X20:X25)</f>
        <v>16635</v>
      </c>
      <c r="Y27" s="603">
        <f>SUM(Y20:Y25)</f>
        <v>17016</v>
      </c>
      <c r="Z27" s="603"/>
      <c r="AA27" s="603">
        <f>SUM(AA20:AA25)</f>
        <v>63149</v>
      </c>
      <c r="AB27" s="168"/>
      <c r="AC27" s="168"/>
      <c r="AD27" s="166" t="str">
        <f>A27</f>
        <v xml:space="preserve">     Total Operating Expenses</v>
      </c>
      <c r="AF27" s="181">
        <f>C27</f>
        <v>4632</v>
      </c>
      <c r="AG27" s="181">
        <f t="shared" ref="AG27:AQ27" si="20">D27+AF27</f>
        <v>9657</v>
      </c>
      <c r="AH27" s="181">
        <f t="shared" si="20"/>
        <v>14395</v>
      </c>
      <c r="AI27" s="181">
        <f t="shared" si="20"/>
        <v>19376</v>
      </c>
      <c r="AJ27" s="181">
        <f t="shared" si="20"/>
        <v>24328</v>
      </c>
      <c r="AK27" s="181">
        <f t="shared" si="20"/>
        <v>29498</v>
      </c>
      <c r="AL27" s="181">
        <f t="shared" si="20"/>
        <v>34929</v>
      </c>
      <c r="AM27" s="181">
        <f t="shared" si="20"/>
        <v>40543</v>
      </c>
      <c r="AN27" s="181">
        <f t="shared" si="20"/>
        <v>46133</v>
      </c>
      <c r="AO27" s="181">
        <f t="shared" si="20"/>
        <v>51557</v>
      </c>
      <c r="AP27" s="181">
        <f t="shared" si="20"/>
        <v>57243</v>
      </c>
      <c r="AQ27" s="181">
        <f t="shared" si="20"/>
        <v>63149</v>
      </c>
    </row>
    <row r="28" spans="1:44" x14ac:dyDescent="0.2">
      <c r="A28" s="170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  <c r="S28" s="170"/>
      <c r="T28" s="573"/>
      <c r="U28" s="807"/>
      <c r="V28" s="584"/>
      <c r="W28" s="584"/>
      <c r="X28" s="584"/>
      <c r="Y28" s="584"/>
      <c r="Z28" s="584"/>
      <c r="AA28" s="584"/>
      <c r="AB28" s="170"/>
      <c r="AC28" s="170"/>
      <c r="AD28" s="170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</row>
    <row r="29" spans="1:44" x14ac:dyDescent="0.2">
      <c r="A29" s="407" t="s">
        <v>321</v>
      </c>
      <c r="B29" s="803"/>
      <c r="C29" s="181">
        <f t="shared" ref="C29:Q29" si="21">C17-C27</f>
        <v>8957</v>
      </c>
      <c r="D29" s="181">
        <f t="shared" si="21"/>
        <v>7078</v>
      </c>
      <c r="E29" s="181">
        <f t="shared" si="21"/>
        <v>8514</v>
      </c>
      <c r="F29" s="181">
        <f t="shared" si="21"/>
        <v>8028</v>
      </c>
      <c r="G29" s="181">
        <f t="shared" si="21"/>
        <v>8518</v>
      </c>
      <c r="H29" s="181">
        <f t="shared" si="21"/>
        <v>9005</v>
      </c>
      <c r="I29" s="181">
        <f t="shared" si="21"/>
        <v>9789</v>
      </c>
      <c r="J29" s="181">
        <f t="shared" si="21"/>
        <v>9597</v>
      </c>
      <c r="K29" s="181">
        <f t="shared" si="21"/>
        <v>9092</v>
      </c>
      <c r="L29" s="181">
        <f t="shared" si="21"/>
        <v>9605</v>
      </c>
      <c r="M29" s="181">
        <f t="shared" si="21"/>
        <v>9498</v>
      </c>
      <c r="N29" s="181">
        <f t="shared" si="21"/>
        <v>9697</v>
      </c>
      <c r="O29" s="181">
        <f t="shared" si="21"/>
        <v>107378</v>
      </c>
      <c r="P29" s="181">
        <f t="shared" si="21"/>
        <v>16035</v>
      </c>
      <c r="Q29" s="181">
        <f t="shared" si="21"/>
        <v>91343</v>
      </c>
      <c r="R29" s="543"/>
      <c r="S29" s="168"/>
      <c r="T29" s="600" t="str">
        <f>A29</f>
        <v>OPERATING INCOME</v>
      </c>
      <c r="U29" s="595"/>
      <c r="V29" s="603">
        <f>V17-V27</f>
        <v>24549</v>
      </c>
      <c r="W29" s="603">
        <f>W17-W27</f>
        <v>25551</v>
      </c>
      <c r="X29" s="603">
        <f>X17-X27</f>
        <v>28478</v>
      </c>
      <c r="Y29" s="603">
        <f>Y17-Y27</f>
        <v>28800</v>
      </c>
      <c r="Z29" s="603"/>
      <c r="AA29" s="603">
        <f>AA17-AA27</f>
        <v>107378</v>
      </c>
      <c r="AB29" s="168"/>
      <c r="AC29" s="168"/>
      <c r="AD29" s="166" t="str">
        <f>A29</f>
        <v>OPERATING INCOME</v>
      </c>
      <c r="AF29" s="181">
        <f>C29</f>
        <v>8957</v>
      </c>
      <c r="AG29" s="181">
        <f t="shared" ref="AG29:AQ29" si="22">D29+AF29</f>
        <v>16035</v>
      </c>
      <c r="AH29" s="181">
        <f t="shared" si="22"/>
        <v>24549</v>
      </c>
      <c r="AI29" s="181">
        <f t="shared" si="22"/>
        <v>32577</v>
      </c>
      <c r="AJ29" s="181">
        <f t="shared" si="22"/>
        <v>41095</v>
      </c>
      <c r="AK29" s="181">
        <f t="shared" si="22"/>
        <v>50100</v>
      </c>
      <c r="AL29" s="181">
        <f t="shared" si="22"/>
        <v>59889</v>
      </c>
      <c r="AM29" s="181">
        <f t="shared" si="22"/>
        <v>69486</v>
      </c>
      <c r="AN29" s="181">
        <f t="shared" si="22"/>
        <v>78578</v>
      </c>
      <c r="AO29" s="181">
        <f t="shared" si="22"/>
        <v>88183</v>
      </c>
      <c r="AP29" s="181">
        <f t="shared" si="22"/>
        <v>97681</v>
      </c>
      <c r="AQ29" s="181">
        <f t="shared" si="22"/>
        <v>107378</v>
      </c>
      <c r="AR29" s="170"/>
    </row>
    <row r="30" spans="1:44" x14ac:dyDescent="0.2">
      <c r="A30" s="170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  <c r="S30" s="170"/>
      <c r="T30" s="573"/>
      <c r="U30" s="807"/>
      <c r="V30" s="584"/>
      <c r="W30" s="584"/>
      <c r="X30" s="584"/>
      <c r="Y30" s="584"/>
      <c r="Z30" s="584"/>
      <c r="AA30" s="584"/>
      <c r="AB30" s="170"/>
      <c r="AC30" s="170"/>
      <c r="AD30" s="170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</row>
    <row r="31" spans="1:44" x14ac:dyDescent="0.2">
      <c r="A31" s="396" t="s">
        <v>322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8"/>
      <c r="Q31" s="177"/>
      <c r="R31" s="178"/>
      <c r="S31" s="170"/>
      <c r="T31" s="600" t="str">
        <f>A31</f>
        <v>OTHER INCOME</v>
      </c>
      <c r="U31" s="807"/>
      <c r="V31" s="584"/>
      <c r="W31" s="584"/>
      <c r="X31" s="584"/>
      <c r="Y31" s="584"/>
      <c r="Z31" s="584"/>
      <c r="AA31" s="584"/>
      <c r="AB31" s="170"/>
      <c r="AC31" s="170"/>
      <c r="AD31" s="166" t="str">
        <f>A31</f>
        <v>OTHER INCOME</v>
      </c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0"/>
    </row>
    <row r="32" spans="1:44" x14ac:dyDescent="0.2">
      <c r="A32" s="410" t="s">
        <v>323</v>
      </c>
      <c r="C32" s="177">
        <f>OtherInc!C10</f>
        <v>0</v>
      </c>
      <c r="D32" s="177">
        <f>OtherInc!D10</f>
        <v>0</v>
      </c>
      <c r="E32" s="177">
        <f>OtherInc!E10</f>
        <v>0</v>
      </c>
      <c r="F32" s="177">
        <f>OtherInc!F10</f>
        <v>0</v>
      </c>
      <c r="G32" s="177">
        <f>OtherInc!G10</f>
        <v>0</v>
      </c>
      <c r="H32" s="177">
        <f>OtherInc!H10</f>
        <v>0</v>
      </c>
      <c r="I32" s="177">
        <f>OtherInc!I10</f>
        <v>0</v>
      </c>
      <c r="J32" s="177">
        <f>OtherInc!J10</f>
        <v>0</v>
      </c>
      <c r="K32" s="177">
        <f>OtherInc!K10</f>
        <v>0</v>
      </c>
      <c r="L32" s="177">
        <f>OtherInc!L10</f>
        <v>0</v>
      </c>
      <c r="M32" s="177">
        <f>OtherInc!M10</f>
        <v>0</v>
      </c>
      <c r="N32" s="177">
        <f>OtherInc!N10</f>
        <v>0</v>
      </c>
      <c r="O32" s="177">
        <f>SUM(C32:N32)</f>
        <v>0</v>
      </c>
      <c r="P32" s="178">
        <f>SUM(C32:D32)</f>
        <v>0</v>
      </c>
      <c r="Q32" s="177">
        <f>O32-P32</f>
        <v>0</v>
      </c>
      <c r="R32" s="566"/>
      <c r="S32" s="170"/>
      <c r="T32" s="601" t="str">
        <f>A32</f>
        <v xml:space="preserve">   Partnership Income</v>
      </c>
      <c r="U32" s="807"/>
      <c r="V32" s="584">
        <f>C32+D32+E32</f>
        <v>0</v>
      </c>
      <c r="W32" s="584">
        <f>F32+G32+H32</f>
        <v>0</v>
      </c>
      <c r="X32" s="584">
        <f>I32+J32+K32</f>
        <v>0</v>
      </c>
      <c r="Y32" s="584">
        <f>L32+M32+N32</f>
        <v>0</v>
      </c>
      <c r="Z32" s="584"/>
      <c r="AA32" s="584">
        <f>SUM(V32:Y32)</f>
        <v>0</v>
      </c>
      <c r="AB32" s="170"/>
      <c r="AC32" s="170"/>
      <c r="AD32" s="165" t="str">
        <f>A32</f>
        <v xml:space="preserve">   Partnership Income</v>
      </c>
      <c r="AF32" s="177">
        <f>C32</f>
        <v>0</v>
      </c>
      <c r="AG32" s="177">
        <f t="shared" ref="AG32:AQ34" si="23">D32+AF32</f>
        <v>0</v>
      </c>
      <c r="AH32" s="177">
        <f t="shared" si="23"/>
        <v>0</v>
      </c>
      <c r="AI32" s="177">
        <f t="shared" si="23"/>
        <v>0</v>
      </c>
      <c r="AJ32" s="177">
        <f t="shared" si="23"/>
        <v>0</v>
      </c>
      <c r="AK32" s="177">
        <f t="shared" si="23"/>
        <v>0</v>
      </c>
      <c r="AL32" s="177">
        <f t="shared" si="23"/>
        <v>0</v>
      </c>
      <c r="AM32" s="177">
        <f t="shared" si="23"/>
        <v>0</v>
      </c>
      <c r="AN32" s="177">
        <f t="shared" si="23"/>
        <v>0</v>
      </c>
      <c r="AO32" s="177">
        <f t="shared" si="23"/>
        <v>0</v>
      </c>
      <c r="AP32" s="177">
        <f t="shared" si="23"/>
        <v>0</v>
      </c>
      <c r="AQ32" s="177">
        <f t="shared" si="23"/>
        <v>0</v>
      </c>
    </row>
    <row r="33" spans="1:44" x14ac:dyDescent="0.2">
      <c r="A33" s="410" t="s">
        <v>324</v>
      </c>
      <c r="C33" s="177">
        <f>OtherInc!C24</f>
        <v>0</v>
      </c>
      <c r="D33" s="177">
        <f>OtherInc!D24</f>
        <v>0</v>
      </c>
      <c r="E33" s="177">
        <f>OtherInc!E24</f>
        <v>0</v>
      </c>
      <c r="F33" s="177">
        <f>OtherInc!F24</f>
        <v>0</v>
      </c>
      <c r="G33" s="177">
        <f>OtherInc!G24</f>
        <v>0</v>
      </c>
      <c r="H33" s="177">
        <f>OtherInc!H24</f>
        <v>0</v>
      </c>
      <c r="I33" s="177">
        <f>OtherInc!I24</f>
        <v>0</v>
      </c>
      <c r="J33" s="177">
        <f>OtherInc!J24</f>
        <v>0</v>
      </c>
      <c r="K33" s="177">
        <f>OtherInc!K24</f>
        <v>0</v>
      </c>
      <c r="L33" s="177">
        <f>OtherInc!L24</f>
        <v>0</v>
      </c>
      <c r="M33" s="177">
        <f>OtherInc!M24</f>
        <v>0</v>
      </c>
      <c r="N33" s="177">
        <f>OtherInc!N24</f>
        <v>0</v>
      </c>
      <c r="O33" s="177">
        <f>SUM(C33:N33)</f>
        <v>0</v>
      </c>
      <c r="P33" s="178">
        <f>SUM(C33:D33)</f>
        <v>0</v>
      </c>
      <c r="Q33" s="177">
        <f>O33-P33</f>
        <v>0</v>
      </c>
      <c r="R33" s="566"/>
      <c r="T33" s="601" t="str">
        <f>A33</f>
        <v xml:space="preserve">   Interest Income</v>
      </c>
      <c r="U33" s="807"/>
      <c r="V33" s="584">
        <f>C33+D33+E33</f>
        <v>0</v>
      </c>
      <c r="W33" s="584">
        <f>F33+G33+H33</f>
        <v>0</v>
      </c>
      <c r="X33" s="584">
        <f>I33+J33+K33</f>
        <v>0</v>
      </c>
      <c r="Y33" s="584">
        <f>L33+M33+N33</f>
        <v>0</v>
      </c>
      <c r="Z33" s="584"/>
      <c r="AA33" s="584">
        <f>SUM(V33:Y33)</f>
        <v>0</v>
      </c>
      <c r="AD33" s="165" t="str">
        <f>A33</f>
        <v xml:space="preserve">   Interest Income</v>
      </c>
      <c r="AF33" s="177">
        <f>C33</f>
        <v>0</v>
      </c>
      <c r="AG33" s="177">
        <f t="shared" si="23"/>
        <v>0</v>
      </c>
      <c r="AH33" s="177">
        <f t="shared" si="23"/>
        <v>0</v>
      </c>
      <c r="AI33" s="177">
        <f t="shared" si="23"/>
        <v>0</v>
      </c>
      <c r="AJ33" s="177">
        <f t="shared" si="23"/>
        <v>0</v>
      </c>
      <c r="AK33" s="177">
        <f t="shared" si="23"/>
        <v>0</v>
      </c>
      <c r="AL33" s="177">
        <f t="shared" si="23"/>
        <v>0</v>
      </c>
      <c r="AM33" s="177">
        <f t="shared" si="23"/>
        <v>0</v>
      </c>
      <c r="AN33" s="177">
        <f t="shared" si="23"/>
        <v>0</v>
      </c>
      <c r="AO33" s="177">
        <f t="shared" si="23"/>
        <v>0</v>
      </c>
      <c r="AP33" s="177">
        <f t="shared" si="23"/>
        <v>0</v>
      </c>
      <c r="AQ33" s="177">
        <f t="shared" si="23"/>
        <v>0</v>
      </c>
    </row>
    <row r="34" spans="1:44" x14ac:dyDescent="0.2">
      <c r="A34" s="410" t="s">
        <v>325</v>
      </c>
      <c r="C34" s="180">
        <f>OtherInc!C46-IntDeduct!C51</f>
        <v>96</v>
      </c>
      <c r="D34" s="180">
        <f>OtherInc!D46-IntDeduct!D51</f>
        <v>167</v>
      </c>
      <c r="E34" s="180">
        <f>OtherInc!E46-IntDeduct!E51</f>
        <v>135</v>
      </c>
      <c r="F34" s="180">
        <f>OtherInc!F46-IntDeduct!F51</f>
        <v>259</v>
      </c>
      <c r="G34" s="180">
        <f>OtherInc!G46-IntDeduct!G51</f>
        <v>398</v>
      </c>
      <c r="H34" s="180">
        <f>OtherInc!H46-IntDeduct!H51</f>
        <v>473</v>
      </c>
      <c r="I34" s="180">
        <f>OtherInc!I46-IntDeduct!I51</f>
        <v>491</v>
      </c>
      <c r="J34" s="180">
        <f>OtherInc!J46-IntDeduct!J51</f>
        <v>488</v>
      </c>
      <c r="K34" s="180">
        <f>OtherInc!K46-IntDeduct!K51</f>
        <v>464</v>
      </c>
      <c r="L34" s="180">
        <f>OtherInc!L46-IntDeduct!L51</f>
        <v>440</v>
      </c>
      <c r="M34" s="180">
        <f>OtherInc!M46-IntDeduct!M51</f>
        <v>489</v>
      </c>
      <c r="N34" s="180">
        <f>OtherInc!N46-IntDeduct!N51</f>
        <v>488</v>
      </c>
      <c r="O34" s="180">
        <f>SUM(C34:N34)</f>
        <v>4388</v>
      </c>
      <c r="P34" s="263">
        <f>SUM(C34:D34)</f>
        <v>263</v>
      </c>
      <c r="Q34" s="180">
        <f>O34-P34</f>
        <v>4125</v>
      </c>
      <c r="R34" s="567"/>
      <c r="S34" s="170"/>
      <c r="T34" s="601" t="str">
        <f>A34</f>
        <v xml:space="preserve">   Other Income / (Deductions)</v>
      </c>
      <c r="U34" s="807"/>
      <c r="V34" s="586">
        <f>C34+D34+E34</f>
        <v>398</v>
      </c>
      <c r="W34" s="586">
        <f>F34+G34+H34</f>
        <v>1130</v>
      </c>
      <c r="X34" s="586">
        <f>I34+J34+K34</f>
        <v>1443</v>
      </c>
      <c r="Y34" s="586">
        <f>L34+M34+N34</f>
        <v>1417</v>
      </c>
      <c r="Z34" s="586"/>
      <c r="AA34" s="586">
        <f>SUM(V34:Y34)</f>
        <v>4388</v>
      </c>
      <c r="AB34" s="170"/>
      <c r="AC34" s="170"/>
      <c r="AD34" s="165" t="str">
        <f>A34</f>
        <v xml:space="preserve">   Other Income / (Deductions)</v>
      </c>
      <c r="AF34" s="180">
        <f>C34</f>
        <v>96</v>
      </c>
      <c r="AG34" s="180">
        <f t="shared" si="23"/>
        <v>263</v>
      </c>
      <c r="AH34" s="180">
        <f t="shared" si="23"/>
        <v>398</v>
      </c>
      <c r="AI34" s="180">
        <f t="shared" si="23"/>
        <v>657</v>
      </c>
      <c r="AJ34" s="180">
        <f t="shared" si="23"/>
        <v>1055</v>
      </c>
      <c r="AK34" s="180">
        <f t="shared" si="23"/>
        <v>1528</v>
      </c>
      <c r="AL34" s="180">
        <f t="shared" si="23"/>
        <v>2019</v>
      </c>
      <c r="AM34" s="180">
        <f t="shared" si="23"/>
        <v>2507</v>
      </c>
      <c r="AN34" s="180">
        <f t="shared" si="23"/>
        <v>2971</v>
      </c>
      <c r="AO34" s="180">
        <f t="shared" si="23"/>
        <v>3411</v>
      </c>
      <c r="AP34" s="180">
        <f t="shared" si="23"/>
        <v>3900</v>
      </c>
      <c r="AQ34" s="180">
        <f t="shared" si="23"/>
        <v>4388</v>
      </c>
    </row>
    <row r="35" spans="1:44" ht="3.95" customHeight="1" x14ac:dyDescent="0.2">
      <c r="A35" s="398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8"/>
      <c r="S35" s="170"/>
      <c r="T35" s="569"/>
      <c r="U35" s="807"/>
      <c r="V35" s="584"/>
      <c r="W35" s="584"/>
      <c r="X35" s="584"/>
      <c r="Y35" s="584"/>
      <c r="Z35" s="584"/>
      <c r="AA35" s="584"/>
      <c r="AB35" s="170"/>
      <c r="AC35" s="170"/>
      <c r="AD35" s="183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</row>
    <row r="36" spans="1:44" x14ac:dyDescent="0.2">
      <c r="A36" s="407" t="s">
        <v>326</v>
      </c>
      <c r="B36" s="803"/>
      <c r="C36" s="181">
        <f t="shared" ref="C36:Q36" si="24">SUM(C32:C34)</f>
        <v>96</v>
      </c>
      <c r="D36" s="181">
        <f t="shared" si="24"/>
        <v>167</v>
      </c>
      <c r="E36" s="181">
        <f t="shared" si="24"/>
        <v>135</v>
      </c>
      <c r="F36" s="181">
        <f t="shared" si="24"/>
        <v>259</v>
      </c>
      <c r="G36" s="181">
        <f t="shared" si="24"/>
        <v>398</v>
      </c>
      <c r="H36" s="181">
        <f t="shared" si="24"/>
        <v>473</v>
      </c>
      <c r="I36" s="181">
        <f t="shared" si="24"/>
        <v>491</v>
      </c>
      <c r="J36" s="181">
        <f t="shared" si="24"/>
        <v>488</v>
      </c>
      <c r="K36" s="181">
        <f t="shared" si="24"/>
        <v>464</v>
      </c>
      <c r="L36" s="181">
        <f t="shared" si="24"/>
        <v>440</v>
      </c>
      <c r="M36" s="181">
        <f t="shared" si="24"/>
        <v>489</v>
      </c>
      <c r="N36" s="181">
        <f t="shared" si="24"/>
        <v>488</v>
      </c>
      <c r="O36" s="181">
        <f t="shared" si="24"/>
        <v>4388</v>
      </c>
      <c r="P36" s="181">
        <f t="shared" si="24"/>
        <v>263</v>
      </c>
      <c r="Q36" s="181">
        <f t="shared" si="24"/>
        <v>4125</v>
      </c>
      <c r="R36" s="543"/>
      <c r="S36" s="168"/>
      <c r="T36" s="600" t="str">
        <f>A36</f>
        <v xml:space="preserve">     Total Other Income &amp; Other Deductions</v>
      </c>
      <c r="U36" s="595"/>
      <c r="V36" s="603">
        <f>V32+V33+V34</f>
        <v>398</v>
      </c>
      <c r="W36" s="603">
        <f>W32+W33+W34</f>
        <v>1130</v>
      </c>
      <c r="X36" s="603">
        <f>X32+X33+X34</f>
        <v>1443</v>
      </c>
      <c r="Y36" s="603">
        <f>Y32+Y33+Y34</f>
        <v>1417</v>
      </c>
      <c r="Z36" s="603"/>
      <c r="AA36" s="603">
        <f>AA32+AA33+AA34</f>
        <v>4388</v>
      </c>
      <c r="AB36" s="168"/>
      <c r="AC36" s="168"/>
      <c r="AD36" s="166" t="str">
        <f>A36</f>
        <v xml:space="preserve">     Total Other Income &amp; Other Deductions</v>
      </c>
      <c r="AF36" s="181">
        <f>C36</f>
        <v>96</v>
      </c>
      <c r="AG36" s="181">
        <f t="shared" ref="AG36:AQ36" si="25">D36+AF36</f>
        <v>263</v>
      </c>
      <c r="AH36" s="181">
        <f t="shared" si="25"/>
        <v>398</v>
      </c>
      <c r="AI36" s="181">
        <f t="shared" si="25"/>
        <v>657</v>
      </c>
      <c r="AJ36" s="181">
        <f t="shared" si="25"/>
        <v>1055</v>
      </c>
      <c r="AK36" s="181">
        <f t="shared" si="25"/>
        <v>1528</v>
      </c>
      <c r="AL36" s="181">
        <f t="shared" si="25"/>
        <v>2019</v>
      </c>
      <c r="AM36" s="181">
        <f t="shared" si="25"/>
        <v>2507</v>
      </c>
      <c r="AN36" s="181">
        <f t="shared" si="25"/>
        <v>2971</v>
      </c>
      <c r="AO36" s="181">
        <f t="shared" si="25"/>
        <v>3411</v>
      </c>
      <c r="AP36" s="181">
        <f t="shared" si="25"/>
        <v>3900</v>
      </c>
      <c r="AQ36" s="181">
        <f t="shared" si="25"/>
        <v>4388</v>
      </c>
    </row>
    <row r="37" spans="1:44" x14ac:dyDescent="0.2">
      <c r="A37" s="170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8"/>
      <c r="S37" s="170"/>
      <c r="T37" s="573"/>
      <c r="U37" s="807"/>
      <c r="V37" s="584"/>
      <c r="W37" s="584"/>
      <c r="X37" s="584"/>
      <c r="Y37" s="584"/>
      <c r="Z37" s="584"/>
      <c r="AA37" s="584"/>
      <c r="AB37" s="170"/>
      <c r="AC37" s="170"/>
      <c r="AD37" s="170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</row>
    <row r="38" spans="1:44" x14ac:dyDescent="0.2">
      <c r="A38" s="397" t="s">
        <v>330</v>
      </c>
      <c r="B38" s="806"/>
      <c r="C38" s="181">
        <f t="shared" ref="C38:P38" si="26">C29+C36</f>
        <v>9053</v>
      </c>
      <c r="D38" s="181">
        <f t="shared" si="26"/>
        <v>7245</v>
      </c>
      <c r="E38" s="181">
        <f t="shared" si="26"/>
        <v>8649</v>
      </c>
      <c r="F38" s="181">
        <f t="shared" si="26"/>
        <v>8287</v>
      </c>
      <c r="G38" s="181">
        <f t="shared" si="26"/>
        <v>8916</v>
      </c>
      <c r="H38" s="181">
        <f t="shared" si="26"/>
        <v>9478</v>
      </c>
      <c r="I38" s="181">
        <f t="shared" si="26"/>
        <v>10280</v>
      </c>
      <c r="J38" s="181">
        <f t="shared" si="26"/>
        <v>10085</v>
      </c>
      <c r="K38" s="181">
        <f t="shared" si="26"/>
        <v>9556</v>
      </c>
      <c r="L38" s="181">
        <f t="shared" si="26"/>
        <v>10045</v>
      </c>
      <c r="M38" s="181">
        <f t="shared" si="26"/>
        <v>9987</v>
      </c>
      <c r="N38" s="181">
        <f t="shared" si="26"/>
        <v>10185</v>
      </c>
      <c r="O38" s="181">
        <f t="shared" si="26"/>
        <v>111766</v>
      </c>
      <c r="P38" s="181">
        <f t="shared" si="26"/>
        <v>16298</v>
      </c>
      <c r="Q38" s="181">
        <f>O38-P38</f>
        <v>95468</v>
      </c>
      <c r="R38" s="543"/>
      <c r="S38" s="168"/>
      <c r="T38" s="600" t="str">
        <f>A38</f>
        <v>INCOME BEFORE INTEREST &amp; TAXES</v>
      </c>
      <c r="U38" s="809"/>
      <c r="V38" s="603">
        <f>C38+D38+E38</f>
        <v>24947</v>
      </c>
      <c r="W38" s="603">
        <f>F38+G38+H38</f>
        <v>26681</v>
      </c>
      <c r="X38" s="603">
        <f>I38+J38+K38</f>
        <v>29921</v>
      </c>
      <c r="Y38" s="603">
        <f>L38+M38+N38</f>
        <v>30217</v>
      </c>
      <c r="Z38" s="603"/>
      <c r="AA38" s="603">
        <f>SUM(V38:Y38)</f>
        <v>111766</v>
      </c>
      <c r="AB38" s="168"/>
      <c r="AC38" s="168"/>
      <c r="AD38" s="166" t="str">
        <f>A38</f>
        <v>INCOME BEFORE INTEREST &amp; TAXES</v>
      </c>
      <c r="AF38" s="181">
        <f>C38</f>
        <v>9053</v>
      </c>
      <c r="AG38" s="181">
        <f t="shared" ref="AG38:AQ38" si="27">D38+AF38</f>
        <v>16298</v>
      </c>
      <c r="AH38" s="181">
        <f t="shared" si="27"/>
        <v>24947</v>
      </c>
      <c r="AI38" s="181">
        <f t="shared" si="27"/>
        <v>33234</v>
      </c>
      <c r="AJ38" s="181">
        <f t="shared" si="27"/>
        <v>42150</v>
      </c>
      <c r="AK38" s="181">
        <f t="shared" si="27"/>
        <v>51628</v>
      </c>
      <c r="AL38" s="181">
        <f t="shared" si="27"/>
        <v>61908</v>
      </c>
      <c r="AM38" s="181">
        <f t="shared" si="27"/>
        <v>71993</v>
      </c>
      <c r="AN38" s="181">
        <f t="shared" si="27"/>
        <v>81549</v>
      </c>
      <c r="AO38" s="181">
        <f t="shared" si="27"/>
        <v>91594</v>
      </c>
      <c r="AP38" s="181">
        <f t="shared" si="27"/>
        <v>101581</v>
      </c>
      <c r="AQ38" s="181">
        <f t="shared" si="27"/>
        <v>111766</v>
      </c>
    </row>
    <row r="39" spans="1:44" x14ac:dyDescent="0.2">
      <c r="A39" s="170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8"/>
      <c r="S39" s="170"/>
      <c r="T39" s="573"/>
      <c r="U39" s="807"/>
      <c r="V39" s="584"/>
      <c r="W39" s="584"/>
      <c r="X39" s="584"/>
      <c r="Y39" s="584"/>
      <c r="Z39" s="584"/>
      <c r="AA39" s="584"/>
      <c r="AB39" s="170"/>
      <c r="AC39" s="170"/>
      <c r="AD39" s="170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</row>
    <row r="40" spans="1:44" x14ac:dyDescent="0.2">
      <c r="A40" s="407" t="s">
        <v>31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7"/>
      <c r="R40" s="178"/>
      <c r="S40" s="170"/>
      <c r="T40" s="600" t="str">
        <f t="shared" ref="T40:T45" si="28">A40</f>
        <v xml:space="preserve">INTEREST AND OTHER </v>
      </c>
      <c r="U40" s="807"/>
      <c r="V40" s="584"/>
      <c r="W40" s="604"/>
      <c r="X40" s="584"/>
      <c r="Y40" s="584"/>
      <c r="Z40" s="584"/>
      <c r="AA40" s="584"/>
      <c r="AB40" s="170"/>
      <c r="AC40" s="170"/>
      <c r="AD40" s="166" t="str">
        <f t="shared" ref="AD40:AD45" si="29">A40</f>
        <v xml:space="preserve">INTEREST AND OTHER </v>
      </c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0"/>
    </row>
    <row r="41" spans="1:44" x14ac:dyDescent="0.2">
      <c r="A41" s="408" t="s">
        <v>327</v>
      </c>
      <c r="C41" s="177">
        <f>IntDeduct!C18</f>
        <v>0</v>
      </c>
      <c r="D41" s="177">
        <f>IntDeduct!D18</f>
        <v>0</v>
      </c>
      <c r="E41" s="177">
        <f>IntDeduct!E18</f>
        <v>0</v>
      </c>
      <c r="F41" s="177">
        <f>IntDeduct!F18</f>
        <v>0</v>
      </c>
      <c r="G41" s="177">
        <f>IntDeduct!G18</f>
        <v>0</v>
      </c>
      <c r="H41" s="177">
        <f>IntDeduct!H18</f>
        <v>0</v>
      </c>
      <c r="I41" s="177">
        <f>IntDeduct!I18</f>
        <v>0</v>
      </c>
      <c r="J41" s="177">
        <f>IntDeduct!J18</f>
        <v>0</v>
      </c>
      <c r="K41" s="177">
        <f>IntDeduct!K18</f>
        <v>0</v>
      </c>
      <c r="L41" s="177">
        <f>IntDeduct!L18</f>
        <v>0</v>
      </c>
      <c r="M41" s="177">
        <f>IntDeduct!M18</f>
        <v>0</v>
      </c>
      <c r="N41" s="177">
        <f>IntDeduct!N18</f>
        <v>0</v>
      </c>
      <c r="O41" s="177">
        <f>SUM(C41:N41)</f>
        <v>0</v>
      </c>
      <c r="P41" s="178">
        <f>SUM(C41:D41)</f>
        <v>0</v>
      </c>
      <c r="Q41" s="177">
        <f>O41-P41</f>
        <v>0</v>
      </c>
      <c r="R41" s="566"/>
      <c r="S41" s="170"/>
      <c r="T41" s="601" t="str">
        <f t="shared" si="28"/>
        <v xml:space="preserve">   Direct Interest</v>
      </c>
      <c r="U41" s="807"/>
      <c r="V41" s="584">
        <f>C41+D41+E41</f>
        <v>0</v>
      </c>
      <c r="W41" s="584">
        <f>F41+G41+H41</f>
        <v>0</v>
      </c>
      <c r="X41" s="584">
        <f>I41+J41+K41</f>
        <v>0</v>
      </c>
      <c r="Y41" s="584">
        <f>L41+M41+N41</f>
        <v>0</v>
      </c>
      <c r="Z41" s="584"/>
      <c r="AA41" s="584">
        <f>SUM(V41:Y41)</f>
        <v>0</v>
      </c>
      <c r="AB41" s="170"/>
      <c r="AC41" s="170"/>
      <c r="AD41" s="165" t="str">
        <f t="shared" si="29"/>
        <v xml:space="preserve">   Direct Interest</v>
      </c>
      <c r="AF41" s="177">
        <f>C41</f>
        <v>0</v>
      </c>
      <c r="AG41" s="177">
        <f t="shared" ref="AG41:AQ45" si="30">D41+AF41</f>
        <v>0</v>
      </c>
      <c r="AH41" s="177">
        <f t="shared" si="30"/>
        <v>0</v>
      </c>
      <c r="AI41" s="177">
        <f t="shared" si="30"/>
        <v>0</v>
      </c>
      <c r="AJ41" s="177">
        <f t="shared" si="30"/>
        <v>0</v>
      </c>
      <c r="AK41" s="177">
        <f t="shared" si="30"/>
        <v>0</v>
      </c>
      <c r="AL41" s="177">
        <f t="shared" si="30"/>
        <v>0</v>
      </c>
      <c r="AM41" s="177">
        <f t="shared" si="30"/>
        <v>0</v>
      </c>
      <c r="AN41" s="177">
        <f t="shared" si="30"/>
        <v>0</v>
      </c>
      <c r="AO41" s="177">
        <f t="shared" si="30"/>
        <v>0</v>
      </c>
      <c r="AP41" s="177">
        <f t="shared" si="30"/>
        <v>0</v>
      </c>
      <c r="AQ41" s="177">
        <f t="shared" si="30"/>
        <v>0</v>
      </c>
    </row>
    <row r="42" spans="1:44" x14ac:dyDescent="0.2">
      <c r="A42" s="408" t="s">
        <v>28</v>
      </c>
      <c r="C42" s="177">
        <f>IntDeduct!C21+IntDeduct!C22</f>
        <v>90</v>
      </c>
      <c r="D42" s="177">
        <f>IntDeduct!D21+IntDeduct!D22</f>
        <v>90</v>
      </c>
      <c r="E42" s="177">
        <f>IntDeduct!E21+IntDeduct!E22</f>
        <v>90</v>
      </c>
      <c r="F42" s="177">
        <f>IntDeduct!F21+IntDeduct!F22</f>
        <v>89</v>
      </c>
      <c r="G42" s="177">
        <f>IntDeduct!G21+IntDeduct!G22</f>
        <v>90</v>
      </c>
      <c r="H42" s="177">
        <f>IntDeduct!H21+IntDeduct!H22</f>
        <v>90</v>
      </c>
      <c r="I42" s="177">
        <f>IntDeduct!I21+IntDeduct!I22</f>
        <v>90</v>
      </c>
      <c r="J42" s="177">
        <f>IntDeduct!J21+IntDeduct!J22</f>
        <v>90</v>
      </c>
      <c r="K42" s="177">
        <f>IntDeduct!K21+IntDeduct!K22</f>
        <v>90</v>
      </c>
      <c r="L42" s="177">
        <f>IntDeduct!L21+IntDeduct!L22</f>
        <v>89</v>
      </c>
      <c r="M42" s="177">
        <f>IntDeduct!M21+IntDeduct!M22</f>
        <v>60</v>
      </c>
      <c r="N42" s="177">
        <f>IntDeduct!N21+IntDeduct!N22</f>
        <v>60</v>
      </c>
      <c r="O42" s="177">
        <f>SUM(C42:N42)</f>
        <v>1018</v>
      </c>
      <c r="P42" s="178">
        <f>SUM(C42:D42)</f>
        <v>180</v>
      </c>
      <c r="Q42" s="177">
        <f>O42-P42</f>
        <v>838</v>
      </c>
      <c r="R42" s="566"/>
      <c r="S42" s="170"/>
      <c r="T42" s="601" t="str">
        <f t="shared" si="28"/>
        <v xml:space="preserve">   Interest on Long Term Debt (Pre 1/1/98 - Third Party)</v>
      </c>
      <c r="U42" s="807"/>
      <c r="V42" s="584">
        <f>C42+D42+E42</f>
        <v>270</v>
      </c>
      <c r="W42" s="584">
        <f>F42+G42+H42</f>
        <v>269</v>
      </c>
      <c r="X42" s="584">
        <f>I42+J42+K42</f>
        <v>270</v>
      </c>
      <c r="Y42" s="584">
        <f>L42+M42+N42</f>
        <v>209</v>
      </c>
      <c r="Z42" s="584"/>
      <c r="AA42" s="584">
        <f>SUM(V42:Y42)</f>
        <v>1018</v>
      </c>
      <c r="AB42" s="170"/>
      <c r="AC42" s="170"/>
      <c r="AD42" s="165" t="str">
        <f t="shared" si="29"/>
        <v xml:space="preserve">   Interest on Long Term Debt (Pre 1/1/98 - Third Party)</v>
      </c>
      <c r="AF42" s="177">
        <f>C42</f>
        <v>90</v>
      </c>
      <c r="AG42" s="177">
        <f t="shared" ref="AG42:AQ43" si="31">D42+AF42</f>
        <v>180</v>
      </c>
      <c r="AH42" s="177">
        <f t="shared" si="31"/>
        <v>270</v>
      </c>
      <c r="AI42" s="177">
        <f t="shared" si="31"/>
        <v>359</v>
      </c>
      <c r="AJ42" s="177">
        <f t="shared" si="31"/>
        <v>449</v>
      </c>
      <c r="AK42" s="177">
        <f t="shared" si="31"/>
        <v>539</v>
      </c>
      <c r="AL42" s="177">
        <f t="shared" si="31"/>
        <v>629</v>
      </c>
      <c r="AM42" s="177">
        <f t="shared" si="31"/>
        <v>719</v>
      </c>
      <c r="AN42" s="177">
        <f t="shared" si="31"/>
        <v>809</v>
      </c>
      <c r="AO42" s="177">
        <f t="shared" si="31"/>
        <v>898</v>
      </c>
      <c r="AP42" s="177">
        <f t="shared" si="31"/>
        <v>958</v>
      </c>
      <c r="AQ42" s="177">
        <f t="shared" si="31"/>
        <v>1018</v>
      </c>
    </row>
    <row r="43" spans="1:44" x14ac:dyDescent="0.2">
      <c r="A43" s="408" t="s">
        <v>29</v>
      </c>
      <c r="C43" s="177">
        <f>IntDeduct!C23</f>
        <v>0</v>
      </c>
      <c r="D43" s="177">
        <f>IntDeduct!D23</f>
        <v>0</v>
      </c>
      <c r="E43" s="177">
        <f>IntDeduct!E23</f>
        <v>0</v>
      </c>
      <c r="F43" s="177">
        <f>IntDeduct!F23</f>
        <v>0</v>
      </c>
      <c r="G43" s="177">
        <f>IntDeduct!G23</f>
        <v>0</v>
      </c>
      <c r="H43" s="177">
        <f>IntDeduct!H23</f>
        <v>0</v>
      </c>
      <c r="I43" s="177">
        <f>IntDeduct!I23</f>
        <v>0</v>
      </c>
      <c r="J43" s="177">
        <f>IntDeduct!J23</f>
        <v>0</v>
      </c>
      <c r="K43" s="177">
        <f>IntDeduct!K23</f>
        <v>0</v>
      </c>
      <c r="L43" s="177">
        <f>IntDeduct!L23</f>
        <v>0</v>
      </c>
      <c r="M43" s="177">
        <f>IntDeduct!M23</f>
        <v>0</v>
      </c>
      <c r="N43" s="177">
        <f>IntDeduct!N23</f>
        <v>0</v>
      </c>
      <c r="O43" s="177">
        <f>SUM(C43:N43)</f>
        <v>0</v>
      </c>
      <c r="P43" s="178">
        <f>SUM(C43:D43)</f>
        <v>0</v>
      </c>
      <c r="Q43" s="177">
        <f>O43-P43</f>
        <v>0</v>
      </c>
      <c r="R43" s="566"/>
      <c r="S43" s="170"/>
      <c r="T43" s="601" t="str">
        <f t="shared" si="28"/>
        <v xml:space="preserve">   Interest on Long Term Debt (Post 1/1/98 - Internal)</v>
      </c>
      <c r="U43" s="807"/>
      <c r="V43" s="584">
        <f>C43+D43+E43</f>
        <v>0</v>
      </c>
      <c r="W43" s="584">
        <f>F43+G43+H43</f>
        <v>0</v>
      </c>
      <c r="X43" s="584">
        <f>I43+J43+K43</f>
        <v>0</v>
      </c>
      <c r="Y43" s="584">
        <f>L43+M43+N43</f>
        <v>0</v>
      </c>
      <c r="Z43" s="584"/>
      <c r="AA43" s="584">
        <f>SUM(V43:Y43)</f>
        <v>0</v>
      </c>
      <c r="AB43" s="170"/>
      <c r="AC43" s="170"/>
      <c r="AD43" s="165" t="str">
        <f t="shared" si="29"/>
        <v xml:space="preserve">   Interest on Long Term Debt (Post 1/1/98 - Internal)</v>
      </c>
      <c r="AF43" s="177">
        <f>C43</f>
        <v>0</v>
      </c>
      <c r="AG43" s="177">
        <f t="shared" si="31"/>
        <v>0</v>
      </c>
      <c r="AH43" s="177">
        <f t="shared" si="31"/>
        <v>0</v>
      </c>
      <c r="AI43" s="177">
        <f t="shared" si="31"/>
        <v>0</v>
      </c>
      <c r="AJ43" s="177">
        <f t="shared" si="31"/>
        <v>0</v>
      </c>
      <c r="AK43" s="177">
        <f t="shared" si="31"/>
        <v>0</v>
      </c>
      <c r="AL43" s="177">
        <f t="shared" si="31"/>
        <v>0</v>
      </c>
      <c r="AM43" s="177">
        <f t="shared" si="31"/>
        <v>0</v>
      </c>
      <c r="AN43" s="177">
        <f t="shared" si="31"/>
        <v>0</v>
      </c>
      <c r="AO43" s="177">
        <f t="shared" si="31"/>
        <v>0</v>
      </c>
      <c r="AP43" s="177">
        <f t="shared" si="31"/>
        <v>0</v>
      </c>
      <c r="AQ43" s="177">
        <f t="shared" si="31"/>
        <v>0</v>
      </c>
    </row>
    <row r="44" spans="1:44" x14ac:dyDescent="0.2">
      <c r="A44" s="408" t="s">
        <v>328</v>
      </c>
      <c r="C44" s="177">
        <f>SUM(IntDeduct!C24:C26)</f>
        <v>-700</v>
      </c>
      <c r="D44" s="177">
        <f>SUM(IntDeduct!D24:D26)</f>
        <v>-700</v>
      </c>
      <c r="E44" s="177">
        <f>SUM(IntDeduct!E24:E26)</f>
        <v>-700</v>
      </c>
      <c r="F44" s="177">
        <f>SUM(IntDeduct!F24:F26)</f>
        <v>-700</v>
      </c>
      <c r="G44" s="177">
        <f>SUM(IntDeduct!G24:G26)</f>
        <v>-700</v>
      </c>
      <c r="H44" s="177">
        <f>SUM(IntDeduct!H24:H26)</f>
        <v>-700</v>
      </c>
      <c r="I44" s="177">
        <f>SUM(IntDeduct!I24:I26)</f>
        <v>-700</v>
      </c>
      <c r="J44" s="177">
        <f>SUM(IntDeduct!J24:J26)</f>
        <v>-800</v>
      </c>
      <c r="K44" s="177">
        <f>SUM(IntDeduct!K24:K26)</f>
        <v>-700</v>
      </c>
      <c r="L44" s="177">
        <f>SUM(IntDeduct!L24:L26)</f>
        <v>-800</v>
      </c>
      <c r="M44" s="177">
        <f>SUM(IntDeduct!M24:M26)</f>
        <v>-800</v>
      </c>
      <c r="N44" s="177">
        <f>SUM(IntDeduct!N24:N26)</f>
        <v>-800</v>
      </c>
      <c r="O44" s="177">
        <f>SUM(C44:N44)</f>
        <v>-8800</v>
      </c>
      <c r="P44" s="178">
        <f>SUM(C44:D44)</f>
        <v>-1400</v>
      </c>
      <c r="Q44" s="177">
        <f>O44-P44</f>
        <v>-7400</v>
      </c>
      <c r="R44" s="566"/>
      <c r="S44" s="170"/>
      <c r="T44" s="601" t="str">
        <f t="shared" si="28"/>
        <v xml:space="preserve">   Intercompany Interest Expense / (Income)</v>
      </c>
      <c r="U44" s="807"/>
      <c r="V44" s="584">
        <f>C44+D44+E44</f>
        <v>-2100</v>
      </c>
      <c r="W44" s="584">
        <f>F44+G44+H44</f>
        <v>-2100</v>
      </c>
      <c r="X44" s="584">
        <f>I44+J44+K44</f>
        <v>-2200</v>
      </c>
      <c r="Y44" s="584">
        <f>L44+M44+N44</f>
        <v>-2400</v>
      </c>
      <c r="Z44" s="584"/>
      <c r="AA44" s="584">
        <f>SUM(V44:Y44)</f>
        <v>-8800</v>
      </c>
      <c r="AB44" s="170"/>
      <c r="AC44" s="170"/>
      <c r="AD44" s="165" t="str">
        <f t="shared" si="29"/>
        <v xml:space="preserve">   Intercompany Interest Expense / (Income)</v>
      </c>
      <c r="AF44" s="177">
        <f>C44</f>
        <v>-700</v>
      </c>
      <c r="AG44" s="177">
        <f t="shared" si="30"/>
        <v>-1400</v>
      </c>
      <c r="AH44" s="177">
        <f t="shared" si="30"/>
        <v>-2100</v>
      </c>
      <c r="AI44" s="177">
        <f t="shared" si="30"/>
        <v>-2800</v>
      </c>
      <c r="AJ44" s="177">
        <f t="shared" si="30"/>
        <v>-3500</v>
      </c>
      <c r="AK44" s="177">
        <f t="shared" si="30"/>
        <v>-4200</v>
      </c>
      <c r="AL44" s="177">
        <f t="shared" si="30"/>
        <v>-4900</v>
      </c>
      <c r="AM44" s="177">
        <f t="shared" si="30"/>
        <v>-5700</v>
      </c>
      <c r="AN44" s="177">
        <f t="shared" si="30"/>
        <v>-6400</v>
      </c>
      <c r="AO44" s="177">
        <f t="shared" si="30"/>
        <v>-7200</v>
      </c>
      <c r="AP44" s="177">
        <f t="shared" si="30"/>
        <v>-8000</v>
      </c>
      <c r="AQ44" s="177">
        <f t="shared" si="30"/>
        <v>-8800</v>
      </c>
    </row>
    <row r="45" spans="1:44" ht="12.75" customHeight="1" x14ac:dyDescent="0.2">
      <c r="A45" s="176" t="s">
        <v>329</v>
      </c>
      <c r="C45" s="180">
        <f>IntDeduct!C35</f>
        <v>-8</v>
      </c>
      <c r="D45" s="180">
        <f>IntDeduct!D35</f>
        <v>-14</v>
      </c>
      <c r="E45" s="180">
        <f>IntDeduct!E35</f>
        <v>-11</v>
      </c>
      <c r="F45" s="180">
        <f>IntDeduct!F35</f>
        <v>-21</v>
      </c>
      <c r="G45" s="180">
        <f>IntDeduct!G35</f>
        <v>-32</v>
      </c>
      <c r="H45" s="180">
        <f>IntDeduct!H35</f>
        <v>-38</v>
      </c>
      <c r="I45" s="180">
        <f>IntDeduct!I35</f>
        <v>-40</v>
      </c>
      <c r="J45" s="180">
        <f>IntDeduct!J35</f>
        <v>-39</v>
      </c>
      <c r="K45" s="180">
        <f>IntDeduct!K35</f>
        <v>-37</v>
      </c>
      <c r="L45" s="180">
        <f>IntDeduct!L35</f>
        <v>-35</v>
      </c>
      <c r="M45" s="180">
        <f>IntDeduct!M35</f>
        <v>-39</v>
      </c>
      <c r="N45" s="180">
        <f>IntDeduct!N35</f>
        <v>-39</v>
      </c>
      <c r="O45" s="180">
        <f>SUM(C45:N45)</f>
        <v>-353</v>
      </c>
      <c r="P45" s="263">
        <f>SUM(C45:D45)</f>
        <v>-22</v>
      </c>
      <c r="Q45" s="180">
        <f>O45-P45</f>
        <v>-331</v>
      </c>
      <c r="R45" s="567"/>
      <c r="S45" s="655"/>
      <c r="T45" s="601" t="str">
        <f t="shared" si="28"/>
        <v xml:space="preserve">   AFUDC</v>
      </c>
      <c r="U45" s="811"/>
      <c r="V45" s="586">
        <f>C45+D45+E45</f>
        <v>-33</v>
      </c>
      <c r="W45" s="586">
        <f>F45+G45+H45</f>
        <v>-91</v>
      </c>
      <c r="X45" s="586">
        <f>I45+J45+K45</f>
        <v>-116</v>
      </c>
      <c r="Y45" s="586">
        <f>L45+M45+N45</f>
        <v>-113</v>
      </c>
      <c r="Z45" s="586"/>
      <c r="AA45" s="586">
        <f>SUM(V45:Y45)</f>
        <v>-353</v>
      </c>
      <c r="AB45" s="170"/>
      <c r="AC45" s="170"/>
      <c r="AD45" s="165" t="str">
        <f t="shared" si="29"/>
        <v xml:space="preserve">   AFUDC</v>
      </c>
      <c r="AF45" s="180">
        <f>C45</f>
        <v>-8</v>
      </c>
      <c r="AG45" s="180">
        <f t="shared" si="30"/>
        <v>-22</v>
      </c>
      <c r="AH45" s="180">
        <f t="shared" si="30"/>
        <v>-33</v>
      </c>
      <c r="AI45" s="180">
        <f t="shared" si="30"/>
        <v>-54</v>
      </c>
      <c r="AJ45" s="180">
        <f t="shared" si="30"/>
        <v>-86</v>
      </c>
      <c r="AK45" s="180">
        <f t="shared" si="30"/>
        <v>-124</v>
      </c>
      <c r="AL45" s="180">
        <f t="shared" si="30"/>
        <v>-164</v>
      </c>
      <c r="AM45" s="180">
        <f t="shared" si="30"/>
        <v>-203</v>
      </c>
      <c r="AN45" s="180">
        <f t="shared" si="30"/>
        <v>-240</v>
      </c>
      <c r="AO45" s="180">
        <f t="shared" si="30"/>
        <v>-275</v>
      </c>
      <c r="AP45" s="180">
        <f t="shared" si="30"/>
        <v>-314</v>
      </c>
      <c r="AQ45" s="180">
        <f t="shared" si="30"/>
        <v>-353</v>
      </c>
    </row>
    <row r="46" spans="1:44" ht="3.95" customHeight="1" x14ac:dyDescent="0.2">
      <c r="A46" s="170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8"/>
      <c r="S46" s="170"/>
      <c r="T46" s="573"/>
      <c r="U46" s="807"/>
      <c r="V46" s="584"/>
      <c r="W46" s="584"/>
      <c r="X46" s="584"/>
      <c r="Y46" s="584"/>
      <c r="Z46" s="584"/>
      <c r="AA46" s="584"/>
      <c r="AB46" s="170"/>
      <c r="AC46" s="170"/>
      <c r="AD46" s="170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</row>
    <row r="47" spans="1:44" x14ac:dyDescent="0.2">
      <c r="A47" s="412" t="s">
        <v>32</v>
      </c>
      <c r="B47" s="806"/>
      <c r="C47" s="181">
        <f>SUM(C41:C45)</f>
        <v>-618</v>
      </c>
      <c r="D47" s="181">
        <f t="shared" ref="D47:Q47" si="32">SUM(D41:D45)</f>
        <v>-624</v>
      </c>
      <c r="E47" s="181">
        <f t="shared" si="32"/>
        <v>-621</v>
      </c>
      <c r="F47" s="181">
        <f t="shared" si="32"/>
        <v>-632</v>
      </c>
      <c r="G47" s="181">
        <f t="shared" si="32"/>
        <v>-642</v>
      </c>
      <c r="H47" s="181">
        <f t="shared" si="32"/>
        <v>-648</v>
      </c>
      <c r="I47" s="181">
        <f t="shared" si="32"/>
        <v>-650</v>
      </c>
      <c r="J47" s="181">
        <f t="shared" si="32"/>
        <v>-749</v>
      </c>
      <c r="K47" s="181">
        <f t="shared" si="32"/>
        <v>-647</v>
      </c>
      <c r="L47" s="181">
        <f t="shared" si="32"/>
        <v>-746</v>
      </c>
      <c r="M47" s="181">
        <f t="shared" si="32"/>
        <v>-779</v>
      </c>
      <c r="N47" s="181">
        <f t="shared" si="32"/>
        <v>-779</v>
      </c>
      <c r="O47" s="181">
        <f t="shared" si="32"/>
        <v>-8135</v>
      </c>
      <c r="P47" s="181">
        <f t="shared" si="32"/>
        <v>-1242</v>
      </c>
      <c r="Q47" s="181">
        <f t="shared" si="32"/>
        <v>-6893</v>
      </c>
      <c r="R47" s="543"/>
      <c r="S47" s="168"/>
      <c r="T47" s="600" t="str">
        <f>A47</f>
        <v xml:space="preserve">     Total Interest and Other</v>
      </c>
      <c r="U47" s="809"/>
      <c r="V47" s="603">
        <f>SUM(V41:V45)</f>
        <v>-1863</v>
      </c>
      <c r="W47" s="603">
        <f>SUM(W41:W45)</f>
        <v>-1922</v>
      </c>
      <c r="X47" s="603">
        <f>SUM(X41:X45)</f>
        <v>-2046</v>
      </c>
      <c r="Y47" s="603">
        <f>SUM(Y41:Y45)</f>
        <v>-2304</v>
      </c>
      <c r="Z47" s="603"/>
      <c r="AA47" s="603">
        <f>SUM(AA41:AA45)</f>
        <v>-8135</v>
      </c>
      <c r="AB47" s="168"/>
      <c r="AC47" s="168"/>
      <c r="AD47" s="166" t="str">
        <f>A47</f>
        <v xml:space="preserve">     Total Interest and Other</v>
      </c>
      <c r="AF47" s="181">
        <f>C47</f>
        <v>-618</v>
      </c>
      <c r="AG47" s="181">
        <f t="shared" ref="AG47:AQ47" si="33">D47+AF47</f>
        <v>-1242</v>
      </c>
      <c r="AH47" s="181">
        <f t="shared" si="33"/>
        <v>-1863</v>
      </c>
      <c r="AI47" s="181">
        <f t="shared" si="33"/>
        <v>-2495</v>
      </c>
      <c r="AJ47" s="181">
        <f t="shared" si="33"/>
        <v>-3137</v>
      </c>
      <c r="AK47" s="181">
        <f t="shared" si="33"/>
        <v>-3785</v>
      </c>
      <c r="AL47" s="181">
        <f t="shared" si="33"/>
        <v>-4435</v>
      </c>
      <c r="AM47" s="181">
        <f t="shared" si="33"/>
        <v>-5184</v>
      </c>
      <c r="AN47" s="181">
        <f t="shared" si="33"/>
        <v>-5831</v>
      </c>
      <c r="AO47" s="181">
        <f t="shared" si="33"/>
        <v>-6577</v>
      </c>
      <c r="AP47" s="181">
        <f t="shared" si="33"/>
        <v>-7356</v>
      </c>
      <c r="AQ47" s="181">
        <f t="shared" si="33"/>
        <v>-8135</v>
      </c>
    </row>
    <row r="48" spans="1:44" x14ac:dyDescent="0.2">
      <c r="A48" s="412"/>
      <c r="B48" s="806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415"/>
      <c r="S48" s="168"/>
      <c r="T48" s="600"/>
      <c r="U48" s="809"/>
      <c r="V48" s="603"/>
      <c r="W48" s="603"/>
      <c r="X48" s="603"/>
      <c r="Y48" s="603"/>
      <c r="Z48" s="603"/>
      <c r="AA48" s="603"/>
      <c r="AB48" s="168"/>
      <c r="AC48" s="168"/>
      <c r="AD48" s="166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</row>
    <row r="49" spans="1:44" x14ac:dyDescent="0.2">
      <c r="A49" s="397" t="s">
        <v>331</v>
      </c>
      <c r="B49" s="803"/>
      <c r="C49" s="181">
        <f t="shared" ref="C49:Q49" si="34">C29+C36-C47</f>
        <v>9671</v>
      </c>
      <c r="D49" s="181">
        <f t="shared" si="34"/>
        <v>7869</v>
      </c>
      <c r="E49" s="181">
        <f t="shared" si="34"/>
        <v>9270</v>
      </c>
      <c r="F49" s="181">
        <f t="shared" si="34"/>
        <v>8919</v>
      </c>
      <c r="G49" s="181">
        <f t="shared" si="34"/>
        <v>9558</v>
      </c>
      <c r="H49" s="181">
        <f t="shared" si="34"/>
        <v>10126</v>
      </c>
      <c r="I49" s="181">
        <f t="shared" si="34"/>
        <v>10930</v>
      </c>
      <c r="J49" s="181">
        <f t="shared" si="34"/>
        <v>10834</v>
      </c>
      <c r="K49" s="181">
        <f t="shared" si="34"/>
        <v>10203</v>
      </c>
      <c r="L49" s="181">
        <f t="shared" si="34"/>
        <v>10791</v>
      </c>
      <c r="M49" s="181">
        <f t="shared" si="34"/>
        <v>10766</v>
      </c>
      <c r="N49" s="181">
        <f t="shared" si="34"/>
        <v>10964</v>
      </c>
      <c r="O49" s="181">
        <f t="shared" si="34"/>
        <v>119901</v>
      </c>
      <c r="P49" s="181">
        <f t="shared" si="34"/>
        <v>17540</v>
      </c>
      <c r="Q49" s="181">
        <f t="shared" si="34"/>
        <v>102361</v>
      </c>
      <c r="R49" s="543"/>
      <c r="S49" s="168"/>
      <c r="T49" s="600" t="str">
        <f>A49</f>
        <v>INCOME BEFORE INCOME TAXES</v>
      </c>
      <c r="U49" s="595"/>
      <c r="V49" s="603">
        <f>V29+V36-V47</f>
        <v>26810</v>
      </c>
      <c r="W49" s="603">
        <f>W29+W36-W47</f>
        <v>28603</v>
      </c>
      <c r="X49" s="603">
        <f>X29+X36-X47</f>
        <v>31967</v>
      </c>
      <c r="Y49" s="603">
        <f>Y29+Y36-Y47</f>
        <v>32521</v>
      </c>
      <c r="Z49" s="603"/>
      <c r="AA49" s="603">
        <f>AA29+AA36-AA47</f>
        <v>119901</v>
      </c>
      <c r="AB49" s="168"/>
      <c r="AC49" s="170"/>
      <c r="AD49" s="166" t="str">
        <f>A49</f>
        <v>INCOME BEFORE INCOME TAXES</v>
      </c>
      <c r="AF49" s="181">
        <f>C49</f>
        <v>9671</v>
      </c>
      <c r="AG49" s="181">
        <f t="shared" ref="AG49:AQ49" si="35">D49+AF49</f>
        <v>17540</v>
      </c>
      <c r="AH49" s="181">
        <f t="shared" si="35"/>
        <v>26810</v>
      </c>
      <c r="AI49" s="181">
        <f t="shared" si="35"/>
        <v>35729</v>
      </c>
      <c r="AJ49" s="181">
        <f t="shared" si="35"/>
        <v>45287</v>
      </c>
      <c r="AK49" s="181">
        <f t="shared" si="35"/>
        <v>55413</v>
      </c>
      <c r="AL49" s="181">
        <f t="shared" si="35"/>
        <v>66343</v>
      </c>
      <c r="AM49" s="181">
        <f t="shared" si="35"/>
        <v>77177</v>
      </c>
      <c r="AN49" s="181">
        <f t="shared" si="35"/>
        <v>87380</v>
      </c>
      <c r="AO49" s="181">
        <f t="shared" si="35"/>
        <v>98171</v>
      </c>
      <c r="AP49" s="181">
        <f t="shared" si="35"/>
        <v>108937</v>
      </c>
      <c r="AQ49" s="181">
        <f t="shared" si="35"/>
        <v>119901</v>
      </c>
    </row>
    <row r="50" spans="1:44" x14ac:dyDescent="0.2">
      <c r="A50" s="170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8"/>
      <c r="S50" s="170"/>
      <c r="T50" s="573"/>
      <c r="U50" s="807"/>
      <c r="V50" s="584"/>
      <c r="W50" s="584"/>
      <c r="X50" s="584"/>
      <c r="Y50" s="584"/>
      <c r="Z50" s="584"/>
      <c r="AA50" s="584"/>
      <c r="AB50" s="170"/>
      <c r="AC50" s="170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0"/>
    </row>
    <row r="51" spans="1:44" x14ac:dyDescent="0.2">
      <c r="A51" s="176" t="s">
        <v>1059</v>
      </c>
      <c r="C51" s="177">
        <f>C54-C52</f>
        <v>3478</v>
      </c>
      <c r="D51" s="177">
        <f t="shared" ref="D51:N51" si="36">D54-D52</f>
        <v>2752</v>
      </c>
      <c r="E51" s="177">
        <f t="shared" si="36"/>
        <v>3308</v>
      </c>
      <c r="F51" s="177">
        <f t="shared" si="36"/>
        <v>3124</v>
      </c>
      <c r="G51" s="177">
        <f t="shared" si="36"/>
        <v>3318</v>
      </c>
      <c r="H51" s="177">
        <f t="shared" si="36"/>
        <v>3511</v>
      </c>
      <c r="I51" s="177">
        <f t="shared" si="36"/>
        <v>3819</v>
      </c>
      <c r="J51" s="177">
        <f t="shared" si="36"/>
        <v>3782</v>
      </c>
      <c r="K51" s="177">
        <f t="shared" si="36"/>
        <v>3009</v>
      </c>
      <c r="L51" s="177">
        <f t="shared" si="36"/>
        <v>3795</v>
      </c>
      <c r="M51" s="177">
        <f t="shared" si="36"/>
        <v>4350</v>
      </c>
      <c r="N51" s="177">
        <f t="shared" si="36"/>
        <v>3846</v>
      </c>
      <c r="O51" s="177">
        <f>SUM(C51:N51)</f>
        <v>42092</v>
      </c>
      <c r="P51" s="178">
        <f>SUM(C51:D51)</f>
        <v>6230</v>
      </c>
      <c r="Q51" s="177">
        <f>O51-P51</f>
        <v>35862</v>
      </c>
      <c r="R51" s="566"/>
      <c r="S51" s="170"/>
      <c r="T51" s="601" t="str">
        <f>A51</f>
        <v xml:space="preserve">   Payable Currently</v>
      </c>
      <c r="U51" s="807"/>
      <c r="V51" s="584">
        <f>C51+D51+E51</f>
        <v>9538</v>
      </c>
      <c r="W51" s="584">
        <f>F51+G51+H51</f>
        <v>9953</v>
      </c>
      <c r="X51" s="584">
        <f>I51+J51+K51</f>
        <v>10610</v>
      </c>
      <c r="Y51" s="584">
        <f>L51+M51+N51</f>
        <v>11991</v>
      </c>
      <c r="Z51" s="584"/>
      <c r="AA51" s="584">
        <f>SUM(V51:Y51)</f>
        <v>42092</v>
      </c>
      <c r="AB51" s="170"/>
      <c r="AC51" s="170"/>
      <c r="AD51" s="165" t="str">
        <f>A51</f>
        <v xml:space="preserve">   Payable Currently</v>
      </c>
      <c r="AF51" s="177">
        <f>C51</f>
        <v>3478</v>
      </c>
      <c r="AG51" s="177">
        <f t="shared" ref="AG51:AQ52" si="37">D51+AF51</f>
        <v>6230</v>
      </c>
      <c r="AH51" s="177">
        <f t="shared" si="37"/>
        <v>9538</v>
      </c>
      <c r="AI51" s="177">
        <f t="shared" si="37"/>
        <v>12662</v>
      </c>
      <c r="AJ51" s="177">
        <f t="shared" si="37"/>
        <v>15980</v>
      </c>
      <c r="AK51" s="177">
        <f t="shared" si="37"/>
        <v>19491</v>
      </c>
      <c r="AL51" s="177">
        <f t="shared" si="37"/>
        <v>23310</v>
      </c>
      <c r="AM51" s="177">
        <f t="shared" si="37"/>
        <v>27092</v>
      </c>
      <c r="AN51" s="177">
        <f t="shared" si="37"/>
        <v>30101</v>
      </c>
      <c r="AO51" s="177">
        <f t="shared" si="37"/>
        <v>33896</v>
      </c>
      <c r="AP51" s="177">
        <f t="shared" si="37"/>
        <v>38246</v>
      </c>
      <c r="AQ51" s="177">
        <f t="shared" si="37"/>
        <v>42092</v>
      </c>
    </row>
    <row r="52" spans="1:44" x14ac:dyDescent="0.2">
      <c r="A52" s="410" t="s">
        <v>1060</v>
      </c>
      <c r="C52" s="842">
        <f>DeferredTax!R81</f>
        <v>304</v>
      </c>
      <c r="D52" s="842">
        <f>DeferredTax!S81</f>
        <v>329</v>
      </c>
      <c r="E52" s="842">
        <f>DeferredTax!T81</f>
        <v>318</v>
      </c>
      <c r="F52" s="842">
        <f>DeferredTax!U81</f>
        <v>366</v>
      </c>
      <c r="G52" s="842">
        <f>DeferredTax!V81</f>
        <v>420</v>
      </c>
      <c r="H52" s="842">
        <f>DeferredTax!W81</f>
        <v>448</v>
      </c>
      <c r="I52" s="842">
        <f>DeferredTax!X81</f>
        <v>453</v>
      </c>
      <c r="J52" s="842">
        <f>DeferredTax!Y81</f>
        <v>452</v>
      </c>
      <c r="K52" s="842">
        <f>DeferredTax!Z81</f>
        <v>980</v>
      </c>
      <c r="L52" s="842">
        <f>DeferredTax!AA81</f>
        <v>423</v>
      </c>
      <c r="M52" s="842">
        <f>DeferredTax!AB81</f>
        <v>-142</v>
      </c>
      <c r="N52" s="842">
        <f>DeferredTax!AC81</f>
        <v>439</v>
      </c>
      <c r="O52" s="180">
        <f>SUM(C52:N52)</f>
        <v>4790</v>
      </c>
      <c r="P52" s="263">
        <f>SUM(C52:D52)</f>
        <v>633</v>
      </c>
      <c r="Q52" s="180">
        <f>O52-P52</f>
        <v>4157</v>
      </c>
      <c r="R52" s="567"/>
      <c r="S52" s="170"/>
      <c r="T52" s="601" t="str">
        <f>A52</f>
        <v xml:space="preserve">   Deferred</v>
      </c>
      <c r="U52" s="807"/>
      <c r="V52" s="586">
        <f>C52+D52+E52</f>
        <v>951</v>
      </c>
      <c r="W52" s="586">
        <f>F52+G52+H52</f>
        <v>1234</v>
      </c>
      <c r="X52" s="586">
        <f>I52+J52+K52</f>
        <v>1885</v>
      </c>
      <c r="Y52" s="586">
        <f>L52+M52+N52</f>
        <v>720</v>
      </c>
      <c r="Z52" s="586"/>
      <c r="AA52" s="586">
        <f>SUM(V52:Y52)</f>
        <v>4790</v>
      </c>
      <c r="AB52" s="186"/>
      <c r="AC52" s="170"/>
      <c r="AD52" s="165" t="str">
        <f>A52</f>
        <v xml:space="preserve">   Deferred</v>
      </c>
      <c r="AF52" s="180">
        <f>C52</f>
        <v>304</v>
      </c>
      <c r="AG52" s="180">
        <f t="shared" si="37"/>
        <v>633</v>
      </c>
      <c r="AH52" s="180">
        <f t="shared" si="37"/>
        <v>951</v>
      </c>
      <c r="AI52" s="180">
        <f t="shared" si="37"/>
        <v>1317</v>
      </c>
      <c r="AJ52" s="180">
        <f t="shared" si="37"/>
        <v>1737</v>
      </c>
      <c r="AK52" s="180">
        <f t="shared" si="37"/>
        <v>2185</v>
      </c>
      <c r="AL52" s="180">
        <f t="shared" si="37"/>
        <v>2638</v>
      </c>
      <c r="AM52" s="180">
        <f t="shared" si="37"/>
        <v>3090</v>
      </c>
      <c r="AN52" s="180">
        <f t="shared" si="37"/>
        <v>4070</v>
      </c>
      <c r="AO52" s="180">
        <f t="shared" si="37"/>
        <v>4493</v>
      </c>
      <c r="AP52" s="180">
        <f t="shared" si="37"/>
        <v>4351</v>
      </c>
      <c r="AQ52" s="180">
        <f t="shared" si="37"/>
        <v>4790</v>
      </c>
    </row>
    <row r="53" spans="1:44" ht="3.95" customHeight="1" x14ac:dyDescent="0.2">
      <c r="A53" s="398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8"/>
      <c r="S53" s="170"/>
      <c r="T53" s="569"/>
      <c r="U53" s="807"/>
      <c r="V53" s="584"/>
      <c r="W53" s="584"/>
      <c r="X53" s="584"/>
      <c r="Y53" s="584"/>
      <c r="Z53" s="584"/>
      <c r="AA53" s="584"/>
      <c r="AB53" s="170"/>
      <c r="AC53" s="170"/>
      <c r="AD53" s="170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</row>
    <row r="54" spans="1:44" x14ac:dyDescent="0.2">
      <c r="A54" s="409" t="s">
        <v>1058</v>
      </c>
      <c r="B54" s="803"/>
      <c r="C54" s="181">
        <f>C86</f>
        <v>3782</v>
      </c>
      <c r="D54" s="181">
        <f t="shared" ref="D54:N54" si="38">D86</f>
        <v>3081</v>
      </c>
      <c r="E54" s="181">
        <f t="shared" si="38"/>
        <v>3626</v>
      </c>
      <c r="F54" s="181">
        <f t="shared" si="38"/>
        <v>3490</v>
      </c>
      <c r="G54" s="181">
        <f t="shared" si="38"/>
        <v>3738</v>
      </c>
      <c r="H54" s="181">
        <f t="shared" si="38"/>
        <v>3959</v>
      </c>
      <c r="I54" s="181">
        <f t="shared" si="38"/>
        <v>4272</v>
      </c>
      <c r="J54" s="181">
        <f t="shared" si="38"/>
        <v>4234</v>
      </c>
      <c r="K54" s="181">
        <f t="shared" si="38"/>
        <v>3989</v>
      </c>
      <c r="L54" s="181">
        <f t="shared" si="38"/>
        <v>4218</v>
      </c>
      <c r="M54" s="181">
        <f t="shared" si="38"/>
        <v>4208</v>
      </c>
      <c r="N54" s="181">
        <f t="shared" si="38"/>
        <v>4285</v>
      </c>
      <c r="O54" s="181">
        <f>ROUND((SUM(O51:O52)),0)</f>
        <v>46882</v>
      </c>
      <c r="P54" s="181">
        <f>ROUND((SUM(P51:P52)),0)</f>
        <v>6863</v>
      </c>
      <c r="Q54" s="181">
        <f>ROUND((SUM(Q51:Q52)),0)</f>
        <v>40019</v>
      </c>
      <c r="R54" s="543"/>
      <c r="S54" s="168"/>
      <c r="T54" s="600" t="str">
        <f>A54</f>
        <v xml:space="preserve">     Total Income Taxes (Composite Rate - 38.88 %)</v>
      </c>
      <c r="U54" s="595"/>
      <c r="V54" s="603">
        <f>V51+V52</f>
        <v>10489</v>
      </c>
      <c r="W54" s="603">
        <f>W51+W52</f>
        <v>11187</v>
      </c>
      <c r="X54" s="603">
        <f>X51+X52</f>
        <v>12495</v>
      </c>
      <c r="Y54" s="603">
        <f>Y51+Y52</f>
        <v>12711</v>
      </c>
      <c r="Z54" s="603"/>
      <c r="AA54" s="603">
        <f>AA51+AA52</f>
        <v>46882</v>
      </c>
      <c r="AB54" s="168"/>
      <c r="AC54" s="168"/>
      <c r="AD54" s="166" t="str">
        <f>A54</f>
        <v xml:space="preserve">     Total Income Taxes (Composite Rate - 38.88 %)</v>
      </c>
      <c r="AF54" s="181">
        <f>C54</f>
        <v>3782</v>
      </c>
      <c r="AG54" s="181">
        <f t="shared" ref="AG54:AQ54" si="39">D54+AF54</f>
        <v>6863</v>
      </c>
      <c r="AH54" s="181">
        <f t="shared" si="39"/>
        <v>10489</v>
      </c>
      <c r="AI54" s="181">
        <f t="shared" si="39"/>
        <v>13979</v>
      </c>
      <c r="AJ54" s="181">
        <f t="shared" si="39"/>
        <v>17717</v>
      </c>
      <c r="AK54" s="181">
        <f t="shared" si="39"/>
        <v>21676</v>
      </c>
      <c r="AL54" s="181">
        <f t="shared" si="39"/>
        <v>25948</v>
      </c>
      <c r="AM54" s="181">
        <f t="shared" si="39"/>
        <v>30182</v>
      </c>
      <c r="AN54" s="181">
        <f t="shared" si="39"/>
        <v>34171</v>
      </c>
      <c r="AO54" s="181">
        <f t="shared" si="39"/>
        <v>38389</v>
      </c>
      <c r="AP54" s="181">
        <f t="shared" si="39"/>
        <v>42597</v>
      </c>
      <c r="AQ54" s="181">
        <f t="shared" si="39"/>
        <v>46882</v>
      </c>
    </row>
    <row r="55" spans="1:44" x14ac:dyDescent="0.2">
      <c r="A55" s="399"/>
      <c r="B55" s="803"/>
      <c r="C55" s="182"/>
      <c r="D55" s="187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7"/>
      <c r="P55" s="182"/>
      <c r="Q55" s="182"/>
      <c r="R55" s="415"/>
      <c r="S55" s="168"/>
      <c r="T55" s="578"/>
      <c r="U55" s="595"/>
      <c r="V55" s="602"/>
      <c r="W55" s="602"/>
      <c r="X55" s="602"/>
      <c r="Y55" s="605"/>
      <c r="Z55" s="602"/>
      <c r="AA55" s="602"/>
      <c r="AB55" s="168"/>
      <c r="AC55" s="168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</row>
    <row r="56" spans="1:44" x14ac:dyDescent="0.2">
      <c r="A56" s="407" t="s">
        <v>30</v>
      </c>
      <c r="B56" s="803"/>
      <c r="C56" s="181">
        <f t="shared" ref="C56:P56" si="40">ROUND(+C49-C54,0)</f>
        <v>5889</v>
      </c>
      <c r="D56" s="181">
        <f t="shared" si="40"/>
        <v>4788</v>
      </c>
      <c r="E56" s="181">
        <f t="shared" si="40"/>
        <v>5644</v>
      </c>
      <c r="F56" s="181">
        <f t="shared" si="40"/>
        <v>5429</v>
      </c>
      <c r="G56" s="181">
        <f t="shared" si="40"/>
        <v>5820</v>
      </c>
      <c r="H56" s="181">
        <f t="shared" si="40"/>
        <v>6167</v>
      </c>
      <c r="I56" s="181">
        <f t="shared" si="40"/>
        <v>6658</v>
      </c>
      <c r="J56" s="181">
        <f t="shared" si="40"/>
        <v>6600</v>
      </c>
      <c r="K56" s="181">
        <f t="shared" si="40"/>
        <v>6214</v>
      </c>
      <c r="L56" s="181">
        <f t="shared" si="40"/>
        <v>6573</v>
      </c>
      <c r="M56" s="181">
        <f t="shared" si="40"/>
        <v>6558</v>
      </c>
      <c r="N56" s="181">
        <f t="shared" si="40"/>
        <v>6679</v>
      </c>
      <c r="O56" s="181">
        <f t="shared" si="40"/>
        <v>73019</v>
      </c>
      <c r="P56" s="181">
        <f t="shared" si="40"/>
        <v>10677</v>
      </c>
      <c r="Q56" s="181">
        <f>Q49-Q54</f>
        <v>62342</v>
      </c>
      <c r="R56" s="543"/>
      <c r="S56" s="168"/>
      <c r="T56" s="600" t="str">
        <f>A56</f>
        <v xml:space="preserve">NET INCOME </v>
      </c>
      <c r="U56" s="595"/>
      <c r="V56" s="603">
        <f>V49-V54</f>
        <v>16321</v>
      </c>
      <c r="W56" s="603">
        <f>W49-W54</f>
        <v>17416</v>
      </c>
      <c r="X56" s="603">
        <f>X49-X54</f>
        <v>19472</v>
      </c>
      <c r="Y56" s="603">
        <f>Y49-Y54</f>
        <v>19810</v>
      </c>
      <c r="Z56" s="603"/>
      <c r="AA56" s="603">
        <f>AA49-AA54</f>
        <v>73019</v>
      </c>
      <c r="AB56" s="188"/>
      <c r="AC56" s="188"/>
      <c r="AD56" s="166" t="str">
        <f>A56</f>
        <v xml:space="preserve">NET INCOME </v>
      </c>
      <c r="AF56" s="181">
        <f>C56</f>
        <v>5889</v>
      </c>
      <c r="AG56" s="181">
        <f t="shared" ref="AG56:AQ56" si="41">D56+AF56</f>
        <v>10677</v>
      </c>
      <c r="AH56" s="181">
        <f t="shared" si="41"/>
        <v>16321</v>
      </c>
      <c r="AI56" s="181">
        <f t="shared" si="41"/>
        <v>21750</v>
      </c>
      <c r="AJ56" s="181">
        <f t="shared" si="41"/>
        <v>27570</v>
      </c>
      <c r="AK56" s="181">
        <f t="shared" si="41"/>
        <v>33737</v>
      </c>
      <c r="AL56" s="181">
        <f t="shared" si="41"/>
        <v>40395</v>
      </c>
      <c r="AM56" s="181">
        <f t="shared" si="41"/>
        <v>46995</v>
      </c>
      <c r="AN56" s="181">
        <f t="shared" si="41"/>
        <v>53209</v>
      </c>
      <c r="AO56" s="181">
        <f t="shared" si="41"/>
        <v>59782</v>
      </c>
      <c r="AP56" s="181">
        <f t="shared" si="41"/>
        <v>66340</v>
      </c>
      <c r="AQ56" s="181">
        <f t="shared" si="41"/>
        <v>73019</v>
      </c>
    </row>
    <row r="57" spans="1:44" x14ac:dyDescent="0.2">
      <c r="A57" s="170"/>
      <c r="C57" s="184"/>
      <c r="D57" s="177"/>
      <c r="E57" s="184"/>
      <c r="F57" s="184"/>
      <c r="G57" s="177"/>
      <c r="H57" s="184"/>
      <c r="I57" s="177"/>
      <c r="J57" s="177"/>
      <c r="K57" s="177"/>
      <c r="L57" s="177"/>
      <c r="M57" s="177"/>
      <c r="N57" s="177"/>
      <c r="O57" s="184"/>
      <c r="P57" s="177"/>
      <c r="Q57" s="177"/>
      <c r="R57" s="170"/>
      <c r="S57" s="170"/>
      <c r="T57" s="573"/>
      <c r="U57" s="807"/>
      <c r="V57" s="604"/>
      <c r="W57" s="604"/>
      <c r="X57" s="584"/>
      <c r="Y57" s="584"/>
      <c r="Z57" s="584"/>
      <c r="AA57" s="604"/>
      <c r="AB57" s="170"/>
      <c r="AC57" s="170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</row>
    <row r="58" spans="1:44" ht="8.1" customHeight="1" x14ac:dyDescent="0.2">
      <c r="A58" s="398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T58" s="569"/>
      <c r="U58" s="807"/>
      <c r="V58" s="601"/>
      <c r="W58" s="601"/>
      <c r="X58" s="601"/>
      <c r="Y58" s="601"/>
      <c r="Z58" s="601"/>
      <c r="AA58" s="601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</row>
    <row r="59" spans="1:44" x14ac:dyDescent="0.2">
      <c r="A59" s="398"/>
      <c r="AJ59" s="167"/>
    </row>
    <row r="60" spans="1:44" x14ac:dyDescent="0.2">
      <c r="A60" s="546" t="str">
        <f>A1</f>
        <v xml:space="preserve">            </v>
      </c>
      <c r="B60" s="807"/>
      <c r="C60" s="569"/>
      <c r="D60" s="569"/>
      <c r="E60" s="569"/>
      <c r="F60" s="570"/>
      <c r="G60" s="571" t="str">
        <f>G1</f>
        <v>TRANSWESTERN PIPELINE GROUP</v>
      </c>
      <c r="H60" s="571"/>
      <c r="I60" s="571"/>
      <c r="J60" s="571"/>
      <c r="K60" s="572"/>
      <c r="L60" s="572"/>
      <c r="M60" s="572"/>
      <c r="N60" s="572"/>
      <c r="O60" s="572"/>
      <c r="P60" s="573"/>
      <c r="Q60" s="569"/>
      <c r="S60" s="170"/>
      <c r="T60" s="413" t="str">
        <f>A60</f>
        <v xml:space="preserve">            </v>
      </c>
      <c r="U60" s="803"/>
      <c r="V60" s="522" t="str">
        <f>V1</f>
        <v>TRANSWESTERN PIPELINE GROUP</v>
      </c>
      <c r="W60" s="414"/>
      <c r="X60" s="414"/>
      <c r="Y60" s="414"/>
      <c r="Z60" s="168"/>
      <c r="AA60" s="168"/>
      <c r="AB60" s="170"/>
      <c r="AC60" s="170"/>
      <c r="AD60" s="413" t="str">
        <f>A60</f>
        <v xml:space="preserve">            </v>
      </c>
      <c r="AF60" s="170"/>
      <c r="AG60" s="170"/>
      <c r="AH60" s="170"/>
      <c r="AI60" s="522" t="str">
        <f>AI1</f>
        <v>TRANSWESTERN PIPELINE GROUP</v>
      </c>
      <c r="AJ60" s="522"/>
      <c r="AK60" s="522"/>
      <c r="AL60" s="526"/>
      <c r="AN60" s="170"/>
      <c r="AO60" s="170"/>
      <c r="AP60" s="170"/>
      <c r="AQ60" s="170"/>
    </row>
    <row r="61" spans="1:44" x14ac:dyDescent="0.2">
      <c r="A61" s="574" t="s">
        <v>333</v>
      </c>
      <c r="B61" s="807"/>
      <c r="C61" s="569"/>
      <c r="D61" s="569"/>
      <c r="E61" s="569"/>
      <c r="F61" s="569"/>
      <c r="G61" s="571" t="str">
        <f>G2</f>
        <v>2002 OPERATING PLAN</v>
      </c>
      <c r="H61" s="575"/>
      <c r="I61" s="575"/>
      <c r="J61" s="575"/>
      <c r="K61" s="569"/>
      <c r="L61" s="569"/>
      <c r="M61" s="569"/>
      <c r="N61" s="569"/>
      <c r="O61" s="569"/>
      <c r="P61" s="569"/>
      <c r="Q61" s="569"/>
      <c r="T61" s="568" t="s">
        <v>334</v>
      </c>
      <c r="U61" s="803"/>
      <c r="V61" s="522" t="str">
        <f>V2</f>
        <v>2002 OPERATING PLAN</v>
      </c>
      <c r="W61" s="524"/>
      <c r="X61" s="524"/>
      <c r="Y61" s="524"/>
      <c r="Z61" s="166"/>
      <c r="AA61" s="166"/>
      <c r="AD61" s="568" t="s">
        <v>335</v>
      </c>
      <c r="AF61" s="170"/>
      <c r="AG61" s="170"/>
      <c r="AH61" s="170"/>
      <c r="AI61" s="522" t="str">
        <f>AI2</f>
        <v>2002 OPERATING PLAN</v>
      </c>
      <c r="AJ61" s="414"/>
      <c r="AK61" s="414"/>
      <c r="AL61" s="527"/>
      <c r="AN61" s="170"/>
      <c r="AO61" s="170"/>
      <c r="AP61" s="170"/>
      <c r="AQ61" s="170"/>
    </row>
    <row r="62" spans="1:44" x14ac:dyDescent="0.2">
      <c r="A62" s="576" t="str">
        <f>A3</f>
        <v>2002 OPERATING PLAN</v>
      </c>
      <c r="B62" s="807"/>
      <c r="C62" s="569"/>
      <c r="D62" s="569"/>
      <c r="E62" s="569"/>
      <c r="F62" s="569"/>
      <c r="G62" s="577" t="s">
        <v>336</v>
      </c>
      <c r="H62" s="575"/>
      <c r="I62" s="575"/>
      <c r="J62" s="575"/>
      <c r="K62" s="569"/>
      <c r="L62" s="569"/>
      <c r="M62" s="569"/>
      <c r="N62" s="569"/>
      <c r="O62" s="569"/>
      <c r="P62" s="569"/>
      <c r="Q62" s="569"/>
      <c r="T62" s="413" t="str">
        <f>A62</f>
        <v>2002 OPERATING PLAN</v>
      </c>
      <c r="V62" s="525" t="str">
        <f>G62</f>
        <v xml:space="preserve">INCOME TAXES </v>
      </c>
      <c r="W62" s="523"/>
      <c r="X62" s="523"/>
      <c r="Y62" s="523"/>
      <c r="AD62" s="413" t="str">
        <f>A62</f>
        <v>2002 OPERATING PLAN</v>
      </c>
      <c r="AE62" s="814"/>
      <c r="AI62" s="521" t="s">
        <v>337</v>
      </c>
      <c r="AJ62" s="523"/>
      <c r="AK62" s="523"/>
      <c r="AL62" s="523"/>
    </row>
    <row r="63" spans="1:44" x14ac:dyDescent="0.2">
      <c r="A63" s="578"/>
      <c r="B63" s="807"/>
      <c r="C63" s="569"/>
      <c r="D63" s="569"/>
      <c r="E63" s="569"/>
      <c r="F63" s="569"/>
      <c r="G63" s="571" t="str">
        <f>G4</f>
        <v>(Thousands of Dollars)</v>
      </c>
      <c r="H63" s="575"/>
      <c r="I63" s="575"/>
      <c r="J63" s="575"/>
      <c r="K63" s="569"/>
      <c r="L63" s="569"/>
      <c r="M63" s="569"/>
      <c r="N63" s="569"/>
      <c r="O63" s="569"/>
      <c r="P63" s="569"/>
      <c r="Q63" s="569"/>
      <c r="T63" s="166"/>
      <c r="V63" s="522" t="str">
        <f>V4</f>
        <v>(Thousands of Dollars)</v>
      </c>
      <c r="W63" s="523"/>
      <c r="X63" s="523"/>
      <c r="Y63" s="523"/>
      <c r="AD63" s="166"/>
      <c r="AE63" s="814"/>
      <c r="AI63" s="522" t="str">
        <f>AI4</f>
        <v>(Thousands of Dollars)</v>
      </c>
      <c r="AJ63" s="523"/>
      <c r="AK63" s="523"/>
      <c r="AL63" s="523"/>
    </row>
    <row r="64" spans="1:44" x14ac:dyDescent="0.2">
      <c r="A64" s="579" t="str">
        <f>A5</f>
        <v xml:space="preserve">      " GROUP MONTHLY "</v>
      </c>
      <c r="B64" s="801">
        <f ca="1">NOW()</f>
        <v>37189.614922337962</v>
      </c>
      <c r="C64" s="569"/>
      <c r="D64" s="569"/>
      <c r="E64" s="569"/>
      <c r="F64" s="569"/>
      <c r="G64" s="569"/>
      <c r="H64" s="569"/>
      <c r="I64" s="569"/>
      <c r="J64" s="569"/>
      <c r="K64" s="569"/>
      <c r="L64" s="569"/>
      <c r="M64" s="569"/>
      <c r="N64" s="569"/>
      <c r="O64" s="569"/>
      <c r="P64" s="569"/>
      <c r="Q64" s="569"/>
      <c r="T64" s="166" t="str">
        <f>T5</f>
        <v xml:space="preserve">         " GROUP QUARTERLY "</v>
      </c>
      <c r="U64" s="801">
        <f ca="1">NOW()</f>
        <v>37189.614922337962</v>
      </c>
      <c r="AD64" s="166" t="str">
        <f>AD5</f>
        <v xml:space="preserve">      " GROUP CUMULATIVE "</v>
      </c>
      <c r="AE64" s="801">
        <f ca="1">NOW()</f>
        <v>37189.614922337962</v>
      </c>
    </row>
    <row r="65" spans="1:43" x14ac:dyDescent="0.2">
      <c r="A65" s="569"/>
      <c r="B65" s="802">
        <f ca="1">NOW()</f>
        <v>37189.614922337962</v>
      </c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T65" s="166"/>
      <c r="U65" s="802">
        <f ca="1">NOW()</f>
        <v>37189.614922337962</v>
      </c>
      <c r="AE65" s="802">
        <f ca="1">NOW()</f>
        <v>37189.614922337962</v>
      </c>
    </row>
    <row r="66" spans="1:43" x14ac:dyDescent="0.2">
      <c r="A66" s="580"/>
      <c r="B66" s="808"/>
      <c r="C66" s="581" t="str">
        <f>DataBase!C2</f>
        <v>PLAN</v>
      </c>
      <c r="D66" s="581" t="str">
        <f>DataBase!D2</f>
        <v>PLAN</v>
      </c>
      <c r="E66" s="581" t="str">
        <f>DataBase!E2</f>
        <v>PLAN</v>
      </c>
      <c r="F66" s="581" t="str">
        <f>DataBase!F2</f>
        <v>PLAN</v>
      </c>
      <c r="G66" s="581" t="str">
        <f>DataBase!G2</f>
        <v>PLAN</v>
      </c>
      <c r="H66" s="581" t="str">
        <f>DataBase!H2</f>
        <v>PLAN</v>
      </c>
      <c r="I66" s="581" t="str">
        <f>DataBase!I2</f>
        <v>PLAN</v>
      </c>
      <c r="J66" s="581" t="str">
        <f>DataBase!J2</f>
        <v>PLAN</v>
      </c>
      <c r="K66" s="581" t="str">
        <f>DataBase!K2</f>
        <v>PLAN</v>
      </c>
      <c r="L66" s="581" t="str">
        <f>DataBase!L2</f>
        <v>PLAN</v>
      </c>
      <c r="M66" s="581" t="str">
        <f>DataBase!M2</f>
        <v>PLAN</v>
      </c>
      <c r="N66" s="581" t="str">
        <f>DataBase!N2</f>
        <v>PLAN</v>
      </c>
      <c r="O66" s="581" t="str">
        <f>DataBase!O2</f>
        <v>TOTAL</v>
      </c>
      <c r="P66" s="581" t="str">
        <f>P6</f>
        <v>FEB.</v>
      </c>
      <c r="Q66" s="581" t="str">
        <f>Q6</f>
        <v>ESTIMATE</v>
      </c>
      <c r="R66" s="166"/>
      <c r="S66" s="170"/>
      <c r="U66" s="759"/>
      <c r="V66" s="172" t="str">
        <f t="shared" ref="V66:Y67" si="42">V6</f>
        <v>1st</v>
      </c>
      <c r="W66" s="172" t="str">
        <f t="shared" si="42"/>
        <v>2nd</v>
      </c>
      <c r="X66" s="172" t="str">
        <f t="shared" si="42"/>
        <v>3rd</v>
      </c>
      <c r="Y66" s="172" t="str">
        <f t="shared" si="42"/>
        <v>4th</v>
      </c>
      <c r="Z66" s="166"/>
      <c r="AA66" s="172" t="str">
        <f>AA6</f>
        <v>TOTAL</v>
      </c>
      <c r="AB66" s="170"/>
      <c r="AC66" s="170"/>
      <c r="AD66"/>
      <c r="AE66" s="759"/>
      <c r="AF66" s="171" t="str">
        <f>DataBase!C2</f>
        <v>PLAN</v>
      </c>
      <c r="AG66" s="171" t="str">
        <f>DataBase!D2</f>
        <v>PLAN</v>
      </c>
      <c r="AH66" s="171" t="str">
        <f>DataBase!E2</f>
        <v>PLAN</v>
      </c>
      <c r="AI66" s="171" t="str">
        <f>DataBase!F2</f>
        <v>PLAN</v>
      </c>
      <c r="AJ66" s="171" t="str">
        <f>DataBase!G2</f>
        <v>PLAN</v>
      </c>
      <c r="AK66" s="171" t="str">
        <f>DataBase!H2</f>
        <v>PLAN</v>
      </c>
      <c r="AL66" s="171" t="str">
        <f>DataBase!I2</f>
        <v>PLAN</v>
      </c>
      <c r="AM66" s="171" t="str">
        <f>DataBase!J2</f>
        <v>PLAN</v>
      </c>
      <c r="AN66" s="171" t="str">
        <f>DataBase!K2</f>
        <v>PLAN</v>
      </c>
      <c r="AO66" s="171" t="str">
        <f>DataBase!L2</f>
        <v>PLAN</v>
      </c>
      <c r="AP66" s="171" t="str">
        <f>DataBase!M2</f>
        <v>PLAN</v>
      </c>
      <c r="AQ66" s="171" t="str">
        <f>DataBase!N2</f>
        <v>PLAN</v>
      </c>
    </row>
    <row r="67" spans="1:43" x14ac:dyDescent="0.2">
      <c r="A67" s="580"/>
      <c r="B67" s="808"/>
      <c r="C67" s="582" t="str">
        <f t="shared" ref="C67:Q67" si="43">C7</f>
        <v>JAN</v>
      </c>
      <c r="D67" s="582" t="str">
        <f t="shared" si="43"/>
        <v>FEB</v>
      </c>
      <c r="E67" s="582" t="str">
        <f t="shared" si="43"/>
        <v>MAR</v>
      </c>
      <c r="F67" s="582" t="str">
        <f t="shared" si="43"/>
        <v>APR</v>
      </c>
      <c r="G67" s="582" t="str">
        <f t="shared" si="43"/>
        <v>MAY</v>
      </c>
      <c r="H67" s="582" t="str">
        <f t="shared" si="43"/>
        <v>JUN</v>
      </c>
      <c r="I67" s="582" t="str">
        <f t="shared" si="43"/>
        <v>JUL</v>
      </c>
      <c r="J67" s="582" t="str">
        <f t="shared" si="43"/>
        <v>AUG</v>
      </c>
      <c r="K67" s="582" t="str">
        <f t="shared" si="43"/>
        <v>SEP</v>
      </c>
      <c r="L67" s="582" t="str">
        <f t="shared" si="43"/>
        <v>OCT</v>
      </c>
      <c r="M67" s="582" t="str">
        <f t="shared" si="43"/>
        <v>NOV</v>
      </c>
      <c r="N67" s="582" t="str">
        <f t="shared" si="43"/>
        <v>DEC</v>
      </c>
      <c r="O67" s="582">
        <f t="shared" si="43"/>
        <v>2002</v>
      </c>
      <c r="P67" s="582" t="str">
        <f t="shared" si="43"/>
        <v>Y-T-D</v>
      </c>
      <c r="Q67" s="582" t="str">
        <f t="shared" si="43"/>
        <v>R.M.</v>
      </c>
      <c r="R67" s="190"/>
      <c r="S67" s="186"/>
      <c r="U67" s="759"/>
      <c r="V67" s="192" t="str">
        <f t="shared" si="42"/>
        <v>Quarter</v>
      </c>
      <c r="W67" s="192" t="str">
        <f t="shared" si="42"/>
        <v>Quarter</v>
      </c>
      <c r="X67" s="192" t="str">
        <f t="shared" si="42"/>
        <v>Quarter</v>
      </c>
      <c r="Y67" s="192" t="str">
        <f t="shared" si="42"/>
        <v>Quarter</v>
      </c>
      <c r="Z67" s="174"/>
      <c r="AA67" s="192">
        <f>AA7</f>
        <v>2002</v>
      </c>
      <c r="AB67" s="186"/>
      <c r="AC67" s="186"/>
      <c r="AD67"/>
      <c r="AE67" s="759"/>
      <c r="AF67" s="173" t="str">
        <f t="shared" ref="AF67:AQ67" si="44">C7</f>
        <v>JAN</v>
      </c>
      <c r="AG67" s="173" t="str">
        <f t="shared" si="44"/>
        <v>FEB</v>
      </c>
      <c r="AH67" s="173" t="str">
        <f t="shared" si="44"/>
        <v>MAR</v>
      </c>
      <c r="AI67" s="173" t="str">
        <f t="shared" si="44"/>
        <v>APR</v>
      </c>
      <c r="AJ67" s="173" t="str">
        <f t="shared" si="44"/>
        <v>MAY</v>
      </c>
      <c r="AK67" s="173" t="str">
        <f t="shared" si="44"/>
        <v>JUN</v>
      </c>
      <c r="AL67" s="173" t="str">
        <f t="shared" si="44"/>
        <v>JUL</v>
      </c>
      <c r="AM67" s="173" t="str">
        <f t="shared" si="44"/>
        <v>AUG</v>
      </c>
      <c r="AN67" s="173" t="str">
        <f t="shared" si="44"/>
        <v>SEP</v>
      </c>
      <c r="AO67" s="173" t="str">
        <f t="shared" si="44"/>
        <v>OCT</v>
      </c>
      <c r="AP67" s="173" t="str">
        <f t="shared" si="44"/>
        <v>NOV</v>
      </c>
      <c r="AQ67" s="173" t="str">
        <f t="shared" si="44"/>
        <v>DEC</v>
      </c>
    </row>
    <row r="68" spans="1:43" ht="3.95" customHeight="1" x14ac:dyDescent="0.2">
      <c r="A68" s="569"/>
      <c r="B68" s="807"/>
      <c r="C68" s="578"/>
      <c r="D68" s="578"/>
      <c r="E68" s="578"/>
      <c r="F68" s="578"/>
      <c r="G68" s="578"/>
      <c r="H68" s="578"/>
      <c r="I68" s="578"/>
      <c r="J68" s="578"/>
      <c r="K68" s="578"/>
      <c r="L68" s="578"/>
      <c r="M68" s="578"/>
      <c r="N68" s="578"/>
      <c r="O68" s="578"/>
      <c r="P68" s="578"/>
      <c r="Q68" s="578"/>
      <c r="AD68" s="170"/>
    </row>
    <row r="69" spans="1:43" x14ac:dyDescent="0.2">
      <c r="A69" s="583" t="s">
        <v>338</v>
      </c>
      <c r="B69" s="595"/>
      <c r="C69" s="584">
        <f t="shared" ref="C69:N69" si="45">C49</f>
        <v>9671</v>
      </c>
      <c r="D69" s="584">
        <f t="shared" si="45"/>
        <v>7869</v>
      </c>
      <c r="E69" s="584">
        <f t="shared" si="45"/>
        <v>9270</v>
      </c>
      <c r="F69" s="584">
        <f t="shared" si="45"/>
        <v>8919</v>
      </c>
      <c r="G69" s="584">
        <f t="shared" si="45"/>
        <v>9558</v>
      </c>
      <c r="H69" s="584">
        <f t="shared" si="45"/>
        <v>10126</v>
      </c>
      <c r="I69" s="584">
        <f t="shared" si="45"/>
        <v>10930</v>
      </c>
      <c r="J69" s="584">
        <f t="shared" si="45"/>
        <v>10834</v>
      </c>
      <c r="K69" s="584">
        <f t="shared" si="45"/>
        <v>10203</v>
      </c>
      <c r="L69" s="584">
        <f t="shared" si="45"/>
        <v>10791</v>
      </c>
      <c r="M69" s="584">
        <f t="shared" si="45"/>
        <v>10766</v>
      </c>
      <c r="N69" s="584">
        <f t="shared" si="45"/>
        <v>10964</v>
      </c>
      <c r="O69" s="584">
        <f>SUM(C69:N69)</f>
        <v>119901</v>
      </c>
      <c r="P69" s="178">
        <f>SUM(C69:D69)</f>
        <v>17540</v>
      </c>
      <c r="Q69" s="584">
        <f>O69-P69</f>
        <v>102361</v>
      </c>
      <c r="R69" s="170"/>
      <c r="S69" s="170"/>
      <c r="T69" s="175" t="str">
        <f>A69</f>
        <v>Income Before Income Taxes</v>
      </c>
      <c r="V69" s="177">
        <f>C69+D69+E69</f>
        <v>26810</v>
      </c>
      <c r="W69" s="177">
        <f>F69+G69+H69</f>
        <v>28603</v>
      </c>
      <c r="X69" s="177">
        <f>I69+J69+K69</f>
        <v>31967</v>
      </c>
      <c r="Y69" s="177">
        <f>L69+M69+N69</f>
        <v>32521</v>
      </c>
      <c r="Z69" s="177"/>
      <c r="AA69" s="177">
        <f>SUM(V69:Y69)</f>
        <v>119901</v>
      </c>
      <c r="AB69" s="170"/>
      <c r="AC69" s="170"/>
      <c r="AD69" s="175" t="str">
        <f>A69</f>
        <v>Income Before Income Taxes</v>
      </c>
      <c r="AF69" s="177">
        <f>C69</f>
        <v>9671</v>
      </c>
      <c r="AG69" s="177">
        <f t="shared" ref="AG69:AQ70" si="46">D69+AF69</f>
        <v>17540</v>
      </c>
      <c r="AH69" s="177">
        <f t="shared" si="46"/>
        <v>26810</v>
      </c>
      <c r="AI69" s="177">
        <f t="shared" si="46"/>
        <v>35729</v>
      </c>
      <c r="AJ69" s="177">
        <f t="shared" si="46"/>
        <v>45287</v>
      </c>
      <c r="AK69" s="177">
        <f t="shared" si="46"/>
        <v>55413</v>
      </c>
      <c r="AL69" s="177">
        <f t="shared" si="46"/>
        <v>66343</v>
      </c>
      <c r="AM69" s="177">
        <f t="shared" si="46"/>
        <v>77177</v>
      </c>
      <c r="AN69" s="177">
        <f t="shared" si="46"/>
        <v>87380</v>
      </c>
      <c r="AO69" s="177">
        <f t="shared" si="46"/>
        <v>98171</v>
      </c>
      <c r="AP69" s="177">
        <f t="shared" si="46"/>
        <v>108937</v>
      </c>
      <c r="AQ69" s="177">
        <f t="shared" si="46"/>
        <v>119901</v>
      </c>
    </row>
    <row r="70" spans="1:43" x14ac:dyDescent="0.2">
      <c r="A70" s="585" t="s">
        <v>339</v>
      </c>
      <c r="B70" s="807"/>
      <c r="C70" s="586">
        <f t="shared" ref="C70:O70" si="47">C94</f>
        <v>8</v>
      </c>
      <c r="D70" s="586">
        <f t="shared" si="47"/>
        <v>8</v>
      </c>
      <c r="E70" s="586">
        <f t="shared" si="47"/>
        <v>8</v>
      </c>
      <c r="F70" s="586">
        <f t="shared" si="47"/>
        <v>8</v>
      </c>
      <c r="G70" s="586">
        <f t="shared" si="47"/>
        <v>8</v>
      </c>
      <c r="H70" s="586">
        <f t="shared" si="47"/>
        <v>8</v>
      </c>
      <c r="I70" s="586">
        <f t="shared" si="47"/>
        <v>8</v>
      </c>
      <c r="J70" s="586">
        <f t="shared" si="47"/>
        <v>8</v>
      </c>
      <c r="K70" s="586">
        <f t="shared" si="47"/>
        <v>8</v>
      </c>
      <c r="L70" s="586">
        <f t="shared" si="47"/>
        <v>8</v>
      </c>
      <c r="M70" s="586">
        <f t="shared" si="47"/>
        <v>8</v>
      </c>
      <c r="N70" s="586">
        <f t="shared" si="47"/>
        <v>8</v>
      </c>
      <c r="O70" s="586">
        <f t="shared" si="47"/>
        <v>96</v>
      </c>
      <c r="P70" s="263">
        <f>SUM(C70:D70)</f>
        <v>16</v>
      </c>
      <c r="Q70" s="586">
        <f>O70-P70</f>
        <v>80</v>
      </c>
      <c r="R70" s="170"/>
      <c r="S70" s="170"/>
      <c r="T70" s="179" t="str">
        <f>A70</f>
        <v xml:space="preserve">    Income Tax Adjustments</v>
      </c>
      <c r="V70" s="180">
        <f>C70+D70+E70</f>
        <v>24</v>
      </c>
      <c r="W70" s="180">
        <f>F70+G70+H70</f>
        <v>24</v>
      </c>
      <c r="X70" s="180">
        <f>I70+J70+K70</f>
        <v>24</v>
      </c>
      <c r="Y70" s="180">
        <f>L70+M70+N70</f>
        <v>24</v>
      </c>
      <c r="Z70" s="180"/>
      <c r="AA70" s="180">
        <f>SUM(V70:Y70)</f>
        <v>96</v>
      </c>
      <c r="AB70" s="170"/>
      <c r="AC70" s="170"/>
      <c r="AD70" s="179" t="str">
        <f>A70</f>
        <v xml:space="preserve">    Income Tax Adjustments</v>
      </c>
      <c r="AF70" s="180">
        <f>C70</f>
        <v>8</v>
      </c>
      <c r="AG70" s="180">
        <f t="shared" si="46"/>
        <v>16</v>
      </c>
      <c r="AH70" s="180">
        <f t="shared" si="46"/>
        <v>24</v>
      </c>
      <c r="AI70" s="180">
        <f t="shared" si="46"/>
        <v>32</v>
      </c>
      <c r="AJ70" s="180">
        <f t="shared" si="46"/>
        <v>40</v>
      </c>
      <c r="AK70" s="180">
        <f t="shared" si="46"/>
        <v>48</v>
      </c>
      <c r="AL70" s="180">
        <f t="shared" si="46"/>
        <v>56</v>
      </c>
      <c r="AM70" s="180">
        <f t="shared" si="46"/>
        <v>64</v>
      </c>
      <c r="AN70" s="180">
        <f t="shared" si="46"/>
        <v>72</v>
      </c>
      <c r="AO70" s="180">
        <f t="shared" si="46"/>
        <v>80</v>
      </c>
      <c r="AP70" s="180">
        <f t="shared" si="46"/>
        <v>88</v>
      </c>
      <c r="AQ70" s="180">
        <f t="shared" si="46"/>
        <v>96</v>
      </c>
    </row>
    <row r="71" spans="1:43" ht="3.95" customHeight="1" x14ac:dyDescent="0.2">
      <c r="A71" s="573"/>
      <c r="B71" s="807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6"/>
      <c r="P71" s="566"/>
      <c r="Q71" s="584"/>
      <c r="R71" s="170"/>
      <c r="S71" s="170"/>
      <c r="T71" s="179"/>
      <c r="V71" s="177"/>
      <c r="W71" s="177"/>
      <c r="X71" s="177"/>
      <c r="Y71" s="177"/>
      <c r="Z71" s="177"/>
      <c r="AA71" s="177"/>
      <c r="AB71" s="170"/>
      <c r="AC71" s="170"/>
      <c r="AD71" s="179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</row>
    <row r="72" spans="1:43" x14ac:dyDescent="0.2">
      <c r="A72" s="583" t="s">
        <v>340</v>
      </c>
      <c r="B72" s="595"/>
      <c r="C72" s="584">
        <f t="shared" ref="C72:O72" si="48">ROUND(+C69+C70,0)</f>
        <v>9679</v>
      </c>
      <c r="D72" s="584">
        <f t="shared" si="48"/>
        <v>7877</v>
      </c>
      <c r="E72" s="584">
        <f t="shared" si="48"/>
        <v>9278</v>
      </c>
      <c r="F72" s="584">
        <f t="shared" si="48"/>
        <v>8927</v>
      </c>
      <c r="G72" s="584">
        <f t="shared" si="48"/>
        <v>9566</v>
      </c>
      <c r="H72" s="584">
        <f t="shared" si="48"/>
        <v>10134</v>
      </c>
      <c r="I72" s="584">
        <f t="shared" si="48"/>
        <v>10938</v>
      </c>
      <c r="J72" s="584">
        <f t="shared" si="48"/>
        <v>10842</v>
      </c>
      <c r="K72" s="584">
        <f t="shared" si="48"/>
        <v>10211</v>
      </c>
      <c r="L72" s="584">
        <f t="shared" si="48"/>
        <v>10799</v>
      </c>
      <c r="M72" s="584">
        <f t="shared" si="48"/>
        <v>10774</v>
      </c>
      <c r="N72" s="584">
        <f t="shared" si="48"/>
        <v>10972</v>
      </c>
      <c r="O72" s="584">
        <f t="shared" si="48"/>
        <v>119997</v>
      </c>
      <c r="P72" s="584">
        <f>P69+P70</f>
        <v>17556</v>
      </c>
      <c r="Q72" s="584">
        <f>Q69+Q70</f>
        <v>102441</v>
      </c>
      <c r="R72" s="168"/>
      <c r="S72" s="170"/>
      <c r="T72" s="175" t="str">
        <f>A72</f>
        <v>Taxable Income</v>
      </c>
      <c r="V72" s="177">
        <f>C72+D72+E72</f>
        <v>26834</v>
      </c>
      <c r="W72" s="177">
        <f>F72+G72+H72</f>
        <v>28627</v>
      </c>
      <c r="X72" s="177">
        <f>I72+J72+K72</f>
        <v>31991</v>
      </c>
      <c r="Y72" s="177">
        <f>L72+M72+N72</f>
        <v>32545</v>
      </c>
      <c r="Z72" s="177"/>
      <c r="AA72" s="177">
        <f>SUM(V72:Y72)</f>
        <v>119997</v>
      </c>
      <c r="AD72" s="175" t="str">
        <f>A72</f>
        <v>Taxable Income</v>
      </c>
      <c r="AF72" s="177">
        <f>C72</f>
        <v>9679</v>
      </c>
      <c r="AG72" s="177">
        <f t="shared" ref="AG72:AQ72" si="49">D72+AF72</f>
        <v>17556</v>
      </c>
      <c r="AH72" s="177">
        <f t="shared" si="49"/>
        <v>26834</v>
      </c>
      <c r="AI72" s="177">
        <f t="shared" si="49"/>
        <v>35761</v>
      </c>
      <c r="AJ72" s="177">
        <f t="shared" si="49"/>
        <v>45327</v>
      </c>
      <c r="AK72" s="177">
        <f t="shared" si="49"/>
        <v>55461</v>
      </c>
      <c r="AL72" s="177">
        <f t="shared" si="49"/>
        <v>66399</v>
      </c>
      <c r="AM72" s="177">
        <f t="shared" si="49"/>
        <v>77241</v>
      </c>
      <c r="AN72" s="177">
        <f t="shared" si="49"/>
        <v>87452</v>
      </c>
      <c r="AO72" s="177">
        <f t="shared" si="49"/>
        <v>98251</v>
      </c>
      <c r="AP72" s="177">
        <f t="shared" si="49"/>
        <v>109025</v>
      </c>
      <c r="AQ72" s="177">
        <f t="shared" si="49"/>
        <v>119997</v>
      </c>
    </row>
    <row r="73" spans="1:43" x14ac:dyDescent="0.2">
      <c r="A73" s="587" t="s">
        <v>341</v>
      </c>
      <c r="B73" s="807"/>
      <c r="C73" s="653">
        <v>0.38879000000000002</v>
      </c>
      <c r="D73" s="653">
        <v>0.38879000000000002</v>
      </c>
      <c r="E73" s="653">
        <v>0.38879000000000002</v>
      </c>
      <c r="F73" s="653">
        <v>0.38879000000000002</v>
      </c>
      <c r="G73" s="653">
        <v>0.38879000000000002</v>
      </c>
      <c r="H73" s="653">
        <v>0.38879000000000002</v>
      </c>
      <c r="I73" s="653">
        <v>0.38879000000000002</v>
      </c>
      <c r="J73" s="653">
        <v>0.38879000000000002</v>
      </c>
      <c r="K73" s="653">
        <v>0.38879000000000002</v>
      </c>
      <c r="L73" s="653">
        <v>0.38879000000000002</v>
      </c>
      <c r="M73" s="653">
        <v>0.38879000000000002</v>
      </c>
      <c r="N73" s="653">
        <v>0.38879000000000002</v>
      </c>
      <c r="O73" s="588">
        <f>ROUND(O75/O72,5)</f>
        <v>0.38879000000000002</v>
      </c>
      <c r="P73" s="588">
        <f>ROUND(P75/P72,5)</f>
        <v>1.47044</v>
      </c>
      <c r="Q73" s="588">
        <f>ROUND(Q75/Q72,5)</f>
        <v>0.20341999999999999</v>
      </c>
      <c r="S73" s="170"/>
      <c r="T73" s="179" t="str">
        <f>A73</f>
        <v xml:space="preserve">     x Tax Rate</v>
      </c>
      <c r="V73" s="194">
        <f>ROUND(V75/V72,5)</f>
        <v>0.38875999999999999</v>
      </c>
      <c r="W73" s="194">
        <f>ROUND(W75/W72,5)</f>
        <v>0.38879000000000002</v>
      </c>
      <c r="X73" s="194">
        <f>ROUND(X75/X72,5)</f>
        <v>0.38879999999999998</v>
      </c>
      <c r="Y73" s="194">
        <f>ROUND(Y75/Y72,5)</f>
        <v>0.38882</v>
      </c>
      <c r="Z73" s="193"/>
      <c r="AA73" s="194">
        <f>ROUND(AA75/AA72,5)</f>
        <v>0.38879000000000002</v>
      </c>
      <c r="AD73" s="179" t="str">
        <f>A73</f>
        <v xml:space="preserve">     x Tax Rate</v>
      </c>
      <c r="AF73" s="194">
        <f>C73</f>
        <v>0.38879000000000002</v>
      </c>
      <c r="AG73" s="194">
        <f t="shared" ref="AG73:AQ73" si="50">D73</f>
        <v>0.38879000000000002</v>
      </c>
      <c r="AH73" s="194">
        <f t="shared" si="50"/>
        <v>0.38879000000000002</v>
      </c>
      <c r="AI73" s="194">
        <f t="shared" si="50"/>
        <v>0.38879000000000002</v>
      </c>
      <c r="AJ73" s="194">
        <f t="shared" si="50"/>
        <v>0.38879000000000002</v>
      </c>
      <c r="AK73" s="194">
        <f t="shared" si="50"/>
        <v>0.38879000000000002</v>
      </c>
      <c r="AL73" s="194">
        <f t="shared" si="50"/>
        <v>0.38879000000000002</v>
      </c>
      <c r="AM73" s="194">
        <f t="shared" si="50"/>
        <v>0.38879000000000002</v>
      </c>
      <c r="AN73" s="194">
        <f t="shared" si="50"/>
        <v>0.38879000000000002</v>
      </c>
      <c r="AO73" s="194">
        <f t="shared" si="50"/>
        <v>0.38879000000000002</v>
      </c>
      <c r="AP73" s="194">
        <f t="shared" si="50"/>
        <v>0.38879000000000002</v>
      </c>
      <c r="AQ73" s="194">
        <f t="shared" si="50"/>
        <v>0.38879000000000002</v>
      </c>
    </row>
    <row r="74" spans="1:43" ht="3.95" customHeight="1" x14ac:dyDescent="0.2">
      <c r="A74" s="569"/>
      <c r="B74" s="807"/>
      <c r="C74" s="589"/>
      <c r="D74" s="589"/>
      <c r="E74" s="589"/>
      <c r="F74" s="589"/>
      <c r="G74" s="589"/>
      <c r="H74" s="589"/>
      <c r="I74" s="589"/>
      <c r="J74" s="589"/>
      <c r="K74" s="589"/>
      <c r="L74" s="589"/>
      <c r="M74" s="589"/>
      <c r="N74" s="589"/>
      <c r="O74" s="589"/>
      <c r="P74" s="569"/>
      <c r="Q74" s="569"/>
    </row>
    <row r="75" spans="1:43" x14ac:dyDescent="0.2">
      <c r="A75" s="579" t="s">
        <v>342</v>
      </c>
      <c r="B75" s="595"/>
      <c r="C75" s="586">
        <f t="shared" ref="C75:N75" si="51">ROUND(C72*C73,0)</f>
        <v>3763</v>
      </c>
      <c r="D75" s="586">
        <f t="shared" si="51"/>
        <v>3062</v>
      </c>
      <c r="E75" s="586">
        <f t="shared" si="51"/>
        <v>3607</v>
      </c>
      <c r="F75" s="586">
        <f t="shared" si="51"/>
        <v>3471</v>
      </c>
      <c r="G75" s="586">
        <f t="shared" si="51"/>
        <v>3719</v>
      </c>
      <c r="H75" s="586">
        <f t="shared" si="51"/>
        <v>3940</v>
      </c>
      <c r="I75" s="586">
        <f t="shared" si="51"/>
        <v>4253</v>
      </c>
      <c r="J75" s="586">
        <f t="shared" si="51"/>
        <v>4215</v>
      </c>
      <c r="K75" s="586">
        <f t="shared" si="51"/>
        <v>3970</v>
      </c>
      <c r="L75" s="586">
        <f t="shared" si="51"/>
        <v>4199</v>
      </c>
      <c r="M75" s="586">
        <f t="shared" si="51"/>
        <v>4189</v>
      </c>
      <c r="N75" s="586">
        <f t="shared" si="51"/>
        <v>4266</v>
      </c>
      <c r="O75" s="586">
        <f>SUM(C75:N75)</f>
        <v>46654</v>
      </c>
      <c r="P75" s="263">
        <f>SUM(C75:I75)</f>
        <v>25815</v>
      </c>
      <c r="Q75" s="586">
        <f>O75-P75</f>
        <v>20839</v>
      </c>
      <c r="R75" s="166"/>
      <c r="S75" s="168"/>
      <c r="T75" s="175" t="str">
        <f>A75</f>
        <v>Base Tax Expense</v>
      </c>
      <c r="U75" s="803"/>
      <c r="V75" s="180">
        <f>C75+D75+E75</f>
        <v>10432</v>
      </c>
      <c r="W75" s="180">
        <f>F75+G75+H75</f>
        <v>11130</v>
      </c>
      <c r="X75" s="180">
        <f>I75+J75+K75</f>
        <v>12438</v>
      </c>
      <c r="Y75" s="180">
        <f>L75+M75+N75</f>
        <v>12654</v>
      </c>
      <c r="Z75" s="180"/>
      <c r="AA75" s="180">
        <f>SUM(V75:Y75)</f>
        <v>46654</v>
      </c>
      <c r="AD75" s="175" t="str">
        <f>A75</f>
        <v>Base Tax Expense</v>
      </c>
      <c r="AF75" s="180">
        <f>C75</f>
        <v>3763</v>
      </c>
      <c r="AG75" s="180">
        <f t="shared" ref="AG75:AQ75" si="52">D75+AF75</f>
        <v>6825</v>
      </c>
      <c r="AH75" s="180">
        <f t="shared" si="52"/>
        <v>10432</v>
      </c>
      <c r="AI75" s="180">
        <f t="shared" si="52"/>
        <v>13903</v>
      </c>
      <c r="AJ75" s="180">
        <f t="shared" si="52"/>
        <v>17622</v>
      </c>
      <c r="AK75" s="180">
        <f t="shared" si="52"/>
        <v>21562</v>
      </c>
      <c r="AL75" s="180">
        <f t="shared" si="52"/>
        <v>25815</v>
      </c>
      <c r="AM75" s="180">
        <f t="shared" si="52"/>
        <v>30030</v>
      </c>
      <c r="AN75" s="180">
        <f t="shared" si="52"/>
        <v>34000</v>
      </c>
      <c r="AO75" s="180">
        <f t="shared" si="52"/>
        <v>38199</v>
      </c>
      <c r="AP75" s="180">
        <f t="shared" si="52"/>
        <v>42388</v>
      </c>
      <c r="AQ75" s="180">
        <f t="shared" si="52"/>
        <v>46654</v>
      </c>
    </row>
    <row r="76" spans="1:43" x14ac:dyDescent="0.2">
      <c r="A76" s="569"/>
      <c r="B76" s="807"/>
      <c r="C76" s="573"/>
      <c r="D76" s="573"/>
      <c r="E76" s="573"/>
      <c r="F76" s="573"/>
      <c r="G76" s="573"/>
      <c r="H76" s="573"/>
      <c r="I76" s="573"/>
      <c r="J76" s="573"/>
      <c r="K76" s="573"/>
      <c r="L76" s="573"/>
      <c r="M76" s="573"/>
      <c r="N76" s="573"/>
      <c r="O76" s="573"/>
      <c r="P76" s="569"/>
      <c r="Q76" s="569"/>
      <c r="S76" s="170"/>
      <c r="V76" s="177"/>
      <c r="W76" s="177"/>
      <c r="X76" s="177"/>
      <c r="Y76" s="177"/>
      <c r="Z76" s="177"/>
      <c r="AA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</row>
    <row r="77" spans="1:43" x14ac:dyDescent="0.2">
      <c r="A77" s="579" t="s">
        <v>343</v>
      </c>
      <c r="B77" s="807"/>
      <c r="C77" s="573"/>
      <c r="D77" s="573"/>
      <c r="E77" s="573"/>
      <c r="F77" s="573"/>
      <c r="G77" s="573"/>
      <c r="H77" s="573"/>
      <c r="I77" s="573"/>
      <c r="J77" s="573"/>
      <c r="K77" s="573"/>
      <c r="L77" s="573"/>
      <c r="M77" s="573"/>
      <c r="N77" s="573"/>
      <c r="O77" s="573"/>
      <c r="P77" s="569"/>
      <c r="Q77" s="569"/>
      <c r="S77" s="170"/>
      <c r="T77" s="175" t="str">
        <f t="shared" ref="T77:T82" si="53">A77</f>
        <v>Tax Debits (Credits)</v>
      </c>
      <c r="V77" s="177"/>
      <c r="W77" s="177"/>
      <c r="X77" s="177"/>
      <c r="Y77" s="177"/>
      <c r="Z77" s="177"/>
      <c r="AA77" s="177"/>
      <c r="AD77" s="175" t="str">
        <f t="shared" ref="AD77:AD82" si="54">A77</f>
        <v>Tax Debits (Credits)</v>
      </c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</row>
    <row r="78" spans="1:43" x14ac:dyDescent="0.2">
      <c r="A78" s="410" t="s">
        <v>344</v>
      </c>
      <c r="B78" s="807"/>
      <c r="C78" s="178">
        <v>0</v>
      </c>
      <c r="D78" s="178">
        <v>0</v>
      </c>
      <c r="E78" s="178">
        <v>0</v>
      </c>
      <c r="F78" s="178">
        <v>0</v>
      </c>
      <c r="G78" s="178">
        <v>0</v>
      </c>
      <c r="H78" s="178">
        <v>0</v>
      </c>
      <c r="I78" s="178">
        <v>0</v>
      </c>
      <c r="J78" s="178">
        <v>0</v>
      </c>
      <c r="K78" s="178">
        <v>0</v>
      </c>
      <c r="L78" s="178">
        <v>0</v>
      </c>
      <c r="M78" s="178">
        <v>0</v>
      </c>
      <c r="N78" s="178">
        <v>0</v>
      </c>
      <c r="O78" s="584">
        <f>SUM(C78:N78)</f>
        <v>0</v>
      </c>
      <c r="P78" s="178">
        <f>SUM(C78:D78)</f>
        <v>0</v>
      </c>
      <c r="Q78" s="584">
        <f>O78-P78</f>
        <v>0</v>
      </c>
      <c r="S78" s="170"/>
      <c r="T78" s="179" t="str">
        <f t="shared" si="53"/>
        <v xml:space="preserve">    Other</v>
      </c>
      <c r="V78" s="177">
        <f>C78+D78+E78</f>
        <v>0</v>
      </c>
      <c r="W78" s="177">
        <f>F78+G78+H78</f>
        <v>0</v>
      </c>
      <c r="X78" s="177">
        <f>I78+J78+K78</f>
        <v>0</v>
      </c>
      <c r="Y78" s="177">
        <f>L78+M78+N78</f>
        <v>0</v>
      </c>
      <c r="Z78" s="177"/>
      <c r="AA78" s="177">
        <f>SUM(V78:Y78)</f>
        <v>0</v>
      </c>
      <c r="AD78" s="179" t="str">
        <f t="shared" si="54"/>
        <v xml:space="preserve">    Other</v>
      </c>
      <c r="AF78" s="177">
        <f>C78</f>
        <v>0</v>
      </c>
      <c r="AG78" s="177">
        <f t="shared" ref="AG78:AQ82" si="55">D78+AF78</f>
        <v>0</v>
      </c>
      <c r="AH78" s="177">
        <f t="shared" si="55"/>
        <v>0</v>
      </c>
      <c r="AI78" s="177">
        <f t="shared" si="55"/>
        <v>0</v>
      </c>
      <c r="AJ78" s="177">
        <f t="shared" si="55"/>
        <v>0</v>
      </c>
      <c r="AK78" s="177">
        <f t="shared" si="55"/>
        <v>0</v>
      </c>
      <c r="AL78" s="177">
        <f t="shared" si="55"/>
        <v>0</v>
      </c>
      <c r="AM78" s="177">
        <f t="shared" si="55"/>
        <v>0</v>
      </c>
      <c r="AN78" s="177">
        <f t="shared" si="55"/>
        <v>0</v>
      </c>
      <c r="AO78" s="177">
        <f t="shared" si="55"/>
        <v>0</v>
      </c>
      <c r="AP78" s="177">
        <f t="shared" si="55"/>
        <v>0</v>
      </c>
      <c r="AQ78" s="177">
        <f t="shared" si="55"/>
        <v>0</v>
      </c>
    </row>
    <row r="79" spans="1:43" x14ac:dyDescent="0.2">
      <c r="A79" s="185" t="s">
        <v>345</v>
      </c>
      <c r="B79" s="807"/>
      <c r="C79" s="584">
        <f t="shared" ref="C79:N79" si="56">ROUND((+C32*C73),0)</f>
        <v>0</v>
      </c>
      <c r="D79" s="584">
        <f t="shared" si="56"/>
        <v>0</v>
      </c>
      <c r="E79" s="584">
        <f t="shared" si="56"/>
        <v>0</v>
      </c>
      <c r="F79" s="584">
        <f t="shared" si="56"/>
        <v>0</v>
      </c>
      <c r="G79" s="584">
        <f t="shared" si="56"/>
        <v>0</v>
      </c>
      <c r="H79" s="584">
        <f t="shared" si="56"/>
        <v>0</v>
      </c>
      <c r="I79" s="584">
        <f t="shared" si="56"/>
        <v>0</v>
      </c>
      <c r="J79" s="584">
        <f t="shared" si="56"/>
        <v>0</v>
      </c>
      <c r="K79" s="584">
        <f t="shared" si="56"/>
        <v>0</v>
      </c>
      <c r="L79" s="584">
        <f t="shared" si="56"/>
        <v>0</v>
      </c>
      <c r="M79" s="584">
        <f t="shared" si="56"/>
        <v>0</v>
      </c>
      <c r="N79" s="584">
        <f t="shared" si="56"/>
        <v>0</v>
      </c>
      <c r="O79" s="584">
        <f>SUM(C79:N79)</f>
        <v>0</v>
      </c>
      <c r="P79" s="178">
        <f>SUM(C79:D79)</f>
        <v>0</v>
      </c>
      <c r="Q79" s="584">
        <f>O79-P79</f>
        <v>0</v>
      </c>
      <c r="S79" s="170"/>
      <c r="T79" s="179" t="str">
        <f t="shared" si="53"/>
        <v xml:space="preserve">    Sub's Taxes</v>
      </c>
      <c r="V79" s="177">
        <f>C79+D79+E79</f>
        <v>0</v>
      </c>
      <c r="W79" s="177">
        <f>F79+G79+H79</f>
        <v>0</v>
      </c>
      <c r="X79" s="177">
        <f>I79+J79+K79</f>
        <v>0</v>
      </c>
      <c r="Y79" s="177">
        <f>L79+M79+N79</f>
        <v>0</v>
      </c>
      <c r="Z79" s="177"/>
      <c r="AA79" s="177">
        <f>SUM(V79:Y79)</f>
        <v>0</v>
      </c>
      <c r="AD79" s="179" t="str">
        <f t="shared" si="54"/>
        <v xml:space="preserve">    Sub's Taxes</v>
      </c>
      <c r="AF79" s="177">
        <f>C79</f>
        <v>0</v>
      </c>
      <c r="AG79" s="177">
        <f t="shared" si="55"/>
        <v>0</v>
      </c>
      <c r="AH79" s="177">
        <f t="shared" si="55"/>
        <v>0</v>
      </c>
      <c r="AI79" s="177">
        <f t="shared" si="55"/>
        <v>0</v>
      </c>
      <c r="AJ79" s="177">
        <f t="shared" si="55"/>
        <v>0</v>
      </c>
      <c r="AK79" s="177">
        <f t="shared" si="55"/>
        <v>0</v>
      </c>
      <c r="AL79" s="177">
        <f t="shared" si="55"/>
        <v>0</v>
      </c>
      <c r="AM79" s="177">
        <f t="shared" si="55"/>
        <v>0</v>
      </c>
      <c r="AN79" s="177">
        <f t="shared" si="55"/>
        <v>0</v>
      </c>
      <c r="AO79" s="177">
        <f t="shared" si="55"/>
        <v>0</v>
      </c>
      <c r="AP79" s="177">
        <f t="shared" si="55"/>
        <v>0</v>
      </c>
      <c r="AQ79" s="177">
        <f t="shared" si="55"/>
        <v>0</v>
      </c>
    </row>
    <row r="80" spans="1:43" x14ac:dyDescent="0.2">
      <c r="A80" s="410" t="s">
        <v>346</v>
      </c>
      <c r="B80" s="807"/>
      <c r="C80" s="178">
        <v>19</v>
      </c>
      <c r="D80" s="178">
        <v>19</v>
      </c>
      <c r="E80" s="178">
        <v>19</v>
      </c>
      <c r="F80" s="178">
        <v>19</v>
      </c>
      <c r="G80" s="178">
        <v>19</v>
      </c>
      <c r="H80" s="178">
        <v>19</v>
      </c>
      <c r="I80" s="178">
        <v>19</v>
      </c>
      <c r="J80" s="178">
        <v>19</v>
      </c>
      <c r="K80" s="178">
        <v>19</v>
      </c>
      <c r="L80" s="178">
        <v>19</v>
      </c>
      <c r="M80" s="178">
        <v>19</v>
      </c>
      <c r="N80" s="178">
        <v>19</v>
      </c>
      <c r="O80" s="584">
        <f>SUM(C80:N80)</f>
        <v>228</v>
      </c>
      <c r="P80" s="178">
        <f>SUM(C80:D80)</f>
        <v>38</v>
      </c>
      <c r="Q80" s="584">
        <f>O80-P80</f>
        <v>190</v>
      </c>
      <c r="S80" s="170"/>
      <c r="T80" s="179" t="str">
        <f t="shared" si="53"/>
        <v xml:space="preserve">    Co. 92 FVA Composite Tax Rate Adjust. (35% vs. 38.88%)</v>
      </c>
      <c r="V80" s="177">
        <f>C80+D80+E80</f>
        <v>57</v>
      </c>
      <c r="W80" s="177">
        <f>F80+G80+H80</f>
        <v>57</v>
      </c>
      <c r="X80" s="177">
        <f>I80+J80+K80</f>
        <v>57</v>
      </c>
      <c r="Y80" s="177">
        <f>L80+M80+N80</f>
        <v>57</v>
      </c>
      <c r="Z80" s="177"/>
      <c r="AA80" s="177">
        <f>SUM(V80:Y80)</f>
        <v>228</v>
      </c>
      <c r="AD80" s="179" t="str">
        <f t="shared" si="54"/>
        <v xml:space="preserve">    Co. 92 FVA Composite Tax Rate Adjust. (35% vs. 38.88%)</v>
      </c>
      <c r="AF80" s="177">
        <f>C80</f>
        <v>19</v>
      </c>
      <c r="AG80" s="177">
        <f t="shared" si="55"/>
        <v>38</v>
      </c>
      <c r="AH80" s="177">
        <f t="shared" si="55"/>
        <v>57</v>
      </c>
      <c r="AI80" s="177">
        <f t="shared" si="55"/>
        <v>76</v>
      </c>
      <c r="AJ80" s="177">
        <f t="shared" si="55"/>
        <v>95</v>
      </c>
      <c r="AK80" s="177">
        <f t="shared" si="55"/>
        <v>114</v>
      </c>
      <c r="AL80" s="177">
        <f t="shared" si="55"/>
        <v>133</v>
      </c>
      <c r="AM80" s="177">
        <f t="shared" si="55"/>
        <v>152</v>
      </c>
      <c r="AN80" s="177">
        <f t="shared" si="55"/>
        <v>171</v>
      </c>
      <c r="AO80" s="177">
        <f t="shared" si="55"/>
        <v>190</v>
      </c>
      <c r="AP80" s="177">
        <f t="shared" si="55"/>
        <v>209</v>
      </c>
      <c r="AQ80" s="177">
        <f t="shared" si="55"/>
        <v>228</v>
      </c>
    </row>
    <row r="81" spans="1:43" x14ac:dyDescent="0.2">
      <c r="A81" s="410" t="s">
        <v>347</v>
      </c>
      <c r="B81" s="807"/>
      <c r="C81" s="178">
        <v>0</v>
      </c>
      <c r="D81" s="178">
        <v>0</v>
      </c>
      <c r="E81" s="178">
        <v>0</v>
      </c>
      <c r="F81" s="178">
        <v>0</v>
      </c>
      <c r="G81" s="178">
        <v>0</v>
      </c>
      <c r="H81" s="178">
        <v>0</v>
      </c>
      <c r="I81" s="178">
        <v>0</v>
      </c>
      <c r="J81" s="178">
        <v>0</v>
      </c>
      <c r="K81" s="178">
        <v>0</v>
      </c>
      <c r="L81" s="178">
        <v>0</v>
      </c>
      <c r="M81" s="178">
        <v>0</v>
      </c>
      <c r="N81" s="178">
        <v>0</v>
      </c>
      <c r="O81" s="584">
        <f>SUM(C81:N81)</f>
        <v>0</v>
      </c>
      <c r="P81" s="178">
        <f>SUM(C81:D81)</f>
        <v>0</v>
      </c>
      <c r="Q81" s="584">
        <f>O81-P81</f>
        <v>0</v>
      </c>
      <c r="S81" s="170"/>
      <c r="T81" s="179" t="str">
        <f t="shared" si="53"/>
        <v xml:space="preserve">    State Income Tax / Excess Def. Tax Reversal</v>
      </c>
      <c r="V81" s="177">
        <f>C81+D81+E81</f>
        <v>0</v>
      </c>
      <c r="W81" s="177">
        <f>F81+G81+H81</f>
        <v>0</v>
      </c>
      <c r="X81" s="177">
        <f>I81+J81+K81</f>
        <v>0</v>
      </c>
      <c r="Y81" s="177">
        <f>L81+M81+N81</f>
        <v>0</v>
      </c>
      <c r="Z81" s="177"/>
      <c r="AA81" s="177">
        <f>SUM(V81:Y81)</f>
        <v>0</v>
      </c>
      <c r="AD81" s="179" t="str">
        <f t="shared" si="54"/>
        <v xml:space="preserve">    State Income Tax / Excess Def. Tax Reversal</v>
      </c>
      <c r="AF81" s="177">
        <f>C81</f>
        <v>0</v>
      </c>
      <c r="AG81" s="177">
        <f t="shared" si="55"/>
        <v>0</v>
      </c>
      <c r="AH81" s="177">
        <f t="shared" si="55"/>
        <v>0</v>
      </c>
      <c r="AI81" s="177">
        <f t="shared" si="55"/>
        <v>0</v>
      </c>
      <c r="AJ81" s="177">
        <f t="shared" si="55"/>
        <v>0</v>
      </c>
      <c r="AK81" s="177">
        <f t="shared" si="55"/>
        <v>0</v>
      </c>
      <c r="AL81" s="177">
        <f t="shared" si="55"/>
        <v>0</v>
      </c>
      <c r="AM81" s="177">
        <f t="shared" si="55"/>
        <v>0</v>
      </c>
      <c r="AN81" s="177">
        <f t="shared" si="55"/>
        <v>0</v>
      </c>
      <c r="AO81" s="177">
        <f t="shared" si="55"/>
        <v>0</v>
      </c>
      <c r="AP81" s="177">
        <f t="shared" si="55"/>
        <v>0</v>
      </c>
      <c r="AQ81" s="177">
        <f t="shared" si="55"/>
        <v>0</v>
      </c>
    </row>
    <row r="82" spans="1:43" x14ac:dyDescent="0.2">
      <c r="A82" s="185" t="s">
        <v>348</v>
      </c>
      <c r="B82" s="807"/>
      <c r="C82" s="263">
        <v>0</v>
      </c>
      <c r="D82" s="263">
        <v>0</v>
      </c>
      <c r="E82" s="263">
        <v>0</v>
      </c>
      <c r="F82" s="263">
        <v>0</v>
      </c>
      <c r="G82" s="263">
        <v>0</v>
      </c>
      <c r="H82" s="263">
        <v>0</v>
      </c>
      <c r="I82" s="263">
        <v>0</v>
      </c>
      <c r="J82" s="263">
        <v>0</v>
      </c>
      <c r="K82" s="263">
        <v>0</v>
      </c>
      <c r="L82" s="263">
        <v>0</v>
      </c>
      <c r="M82" s="263">
        <v>0</v>
      </c>
      <c r="N82" s="263">
        <v>0</v>
      </c>
      <c r="O82" s="586">
        <f>SUM(C82:N82)</f>
        <v>0</v>
      </c>
      <c r="P82" s="263">
        <f>SUM(C82:D82)</f>
        <v>0</v>
      </c>
      <c r="Q82" s="586">
        <f>O82-P82</f>
        <v>0</v>
      </c>
      <c r="R82" s="189"/>
      <c r="S82" s="186"/>
      <c r="T82" s="179" t="str">
        <f t="shared" si="53"/>
        <v xml:space="preserve">    Admin. Services / Rounding</v>
      </c>
      <c r="U82" s="812"/>
      <c r="V82" s="180">
        <f>C82+D82+E82</f>
        <v>0</v>
      </c>
      <c r="W82" s="180">
        <f>F82+G82+H82</f>
        <v>0</v>
      </c>
      <c r="X82" s="180">
        <f>I82+J82+K82</f>
        <v>0</v>
      </c>
      <c r="Y82" s="180">
        <f>L82+M82+N82</f>
        <v>0</v>
      </c>
      <c r="Z82" s="180"/>
      <c r="AA82" s="180">
        <f>SUM(V82:Y82)</f>
        <v>0</v>
      </c>
      <c r="AB82" s="189"/>
      <c r="AC82" s="189"/>
      <c r="AD82" s="179" t="str">
        <f t="shared" si="54"/>
        <v xml:space="preserve">    Admin. Services / Rounding</v>
      </c>
      <c r="AF82" s="180">
        <f>C82</f>
        <v>0</v>
      </c>
      <c r="AG82" s="180">
        <f t="shared" si="55"/>
        <v>0</v>
      </c>
      <c r="AH82" s="180">
        <f t="shared" si="55"/>
        <v>0</v>
      </c>
      <c r="AI82" s="180">
        <f t="shared" si="55"/>
        <v>0</v>
      </c>
      <c r="AJ82" s="180">
        <f t="shared" si="55"/>
        <v>0</v>
      </c>
      <c r="AK82" s="180">
        <f t="shared" si="55"/>
        <v>0</v>
      </c>
      <c r="AL82" s="180">
        <f t="shared" si="55"/>
        <v>0</v>
      </c>
      <c r="AM82" s="180">
        <f t="shared" si="55"/>
        <v>0</v>
      </c>
      <c r="AN82" s="180">
        <f t="shared" si="55"/>
        <v>0</v>
      </c>
      <c r="AO82" s="180">
        <f t="shared" si="55"/>
        <v>0</v>
      </c>
      <c r="AP82" s="180">
        <f t="shared" si="55"/>
        <v>0</v>
      </c>
      <c r="AQ82" s="180">
        <f t="shared" si="55"/>
        <v>0</v>
      </c>
    </row>
    <row r="83" spans="1:43" ht="3.95" customHeight="1" x14ac:dyDescent="0.2">
      <c r="A83" s="569"/>
      <c r="B83" s="807"/>
      <c r="C83" s="566"/>
      <c r="D83" s="56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6"/>
      <c r="P83" s="584"/>
      <c r="Q83" s="584"/>
      <c r="S83" s="170"/>
      <c r="V83" s="177"/>
      <c r="W83" s="177"/>
      <c r="X83" s="177"/>
      <c r="Y83" s="177"/>
      <c r="Z83" s="177"/>
      <c r="AA83" s="177"/>
      <c r="AD83" s="183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</row>
    <row r="84" spans="1:43" x14ac:dyDescent="0.2">
      <c r="A84" s="579" t="s">
        <v>349</v>
      </c>
      <c r="B84" s="595"/>
      <c r="C84" s="586">
        <f t="shared" ref="C84:Q84" si="57">SUM(C78:C82)</f>
        <v>19</v>
      </c>
      <c r="D84" s="586">
        <f t="shared" si="57"/>
        <v>19</v>
      </c>
      <c r="E84" s="586">
        <f t="shared" si="57"/>
        <v>19</v>
      </c>
      <c r="F84" s="586">
        <f t="shared" si="57"/>
        <v>19</v>
      </c>
      <c r="G84" s="586">
        <f t="shared" si="57"/>
        <v>19</v>
      </c>
      <c r="H84" s="586">
        <f t="shared" si="57"/>
        <v>19</v>
      </c>
      <c r="I84" s="586">
        <f t="shared" si="57"/>
        <v>19</v>
      </c>
      <c r="J84" s="586">
        <f t="shared" si="57"/>
        <v>19</v>
      </c>
      <c r="K84" s="586">
        <f t="shared" si="57"/>
        <v>19</v>
      </c>
      <c r="L84" s="586">
        <f t="shared" si="57"/>
        <v>19</v>
      </c>
      <c r="M84" s="586">
        <f t="shared" si="57"/>
        <v>19</v>
      </c>
      <c r="N84" s="586">
        <f t="shared" si="57"/>
        <v>19</v>
      </c>
      <c r="O84" s="586">
        <f t="shared" si="57"/>
        <v>228</v>
      </c>
      <c r="P84" s="586">
        <f t="shared" si="57"/>
        <v>38</v>
      </c>
      <c r="Q84" s="586">
        <f t="shared" si="57"/>
        <v>190</v>
      </c>
      <c r="R84" s="166"/>
      <c r="S84" s="168"/>
      <c r="T84" s="175" t="str">
        <f>A84</f>
        <v xml:space="preserve">      Total Debits (Credits)</v>
      </c>
      <c r="U84" s="803"/>
      <c r="V84" s="180">
        <f>C84+D84+E84</f>
        <v>57</v>
      </c>
      <c r="W84" s="180">
        <f>F84+G84+H84</f>
        <v>57</v>
      </c>
      <c r="X84" s="180">
        <f>I84+J84+K84</f>
        <v>57</v>
      </c>
      <c r="Y84" s="180">
        <f>L84+M84+N84</f>
        <v>57</v>
      </c>
      <c r="Z84" s="180"/>
      <c r="AA84" s="180">
        <f>SUM(V84:Y84)</f>
        <v>228</v>
      </c>
      <c r="AB84" s="166"/>
      <c r="AC84" s="166"/>
      <c r="AD84" s="175" t="str">
        <f>A84</f>
        <v xml:space="preserve">      Total Debits (Credits)</v>
      </c>
      <c r="AF84" s="180">
        <f>C84</f>
        <v>19</v>
      </c>
      <c r="AG84" s="180">
        <f t="shared" ref="AG84:AQ84" si="58">D84+AF84</f>
        <v>38</v>
      </c>
      <c r="AH84" s="180">
        <f t="shared" si="58"/>
        <v>57</v>
      </c>
      <c r="AI84" s="180">
        <f t="shared" si="58"/>
        <v>76</v>
      </c>
      <c r="AJ84" s="180">
        <f t="shared" si="58"/>
        <v>95</v>
      </c>
      <c r="AK84" s="180">
        <f t="shared" si="58"/>
        <v>114</v>
      </c>
      <c r="AL84" s="180">
        <f t="shared" si="58"/>
        <v>133</v>
      </c>
      <c r="AM84" s="180">
        <f t="shared" si="58"/>
        <v>152</v>
      </c>
      <c r="AN84" s="180">
        <f t="shared" si="58"/>
        <v>171</v>
      </c>
      <c r="AO84" s="180">
        <f t="shared" si="58"/>
        <v>190</v>
      </c>
      <c r="AP84" s="180">
        <f t="shared" si="58"/>
        <v>209</v>
      </c>
      <c r="AQ84" s="180">
        <f t="shared" si="58"/>
        <v>228</v>
      </c>
    </row>
    <row r="85" spans="1:43" x14ac:dyDescent="0.2">
      <c r="A85" s="569"/>
      <c r="B85" s="807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V85" s="177"/>
      <c r="W85" s="177"/>
      <c r="X85" s="177"/>
      <c r="Y85" s="177"/>
      <c r="Z85" s="177"/>
      <c r="AA85" s="177"/>
      <c r="AD85" s="183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</row>
    <row r="86" spans="1:43" x14ac:dyDescent="0.2">
      <c r="A86" s="579" t="s">
        <v>350</v>
      </c>
      <c r="B86" s="595"/>
      <c r="C86" s="590">
        <f t="shared" ref="C86:Q86" si="59">C75+C84</f>
        <v>3782</v>
      </c>
      <c r="D86" s="590">
        <f t="shared" si="59"/>
        <v>3081</v>
      </c>
      <c r="E86" s="590">
        <f t="shared" si="59"/>
        <v>3626</v>
      </c>
      <c r="F86" s="590">
        <f t="shared" si="59"/>
        <v>3490</v>
      </c>
      <c r="G86" s="590">
        <f t="shared" si="59"/>
        <v>3738</v>
      </c>
      <c r="H86" s="590">
        <f t="shared" si="59"/>
        <v>3959</v>
      </c>
      <c r="I86" s="590">
        <f t="shared" si="59"/>
        <v>4272</v>
      </c>
      <c r="J86" s="590">
        <f t="shared" si="59"/>
        <v>4234</v>
      </c>
      <c r="K86" s="590">
        <f t="shared" si="59"/>
        <v>3989</v>
      </c>
      <c r="L86" s="590">
        <f t="shared" si="59"/>
        <v>4218</v>
      </c>
      <c r="M86" s="590">
        <f t="shared" si="59"/>
        <v>4208</v>
      </c>
      <c r="N86" s="590">
        <f t="shared" si="59"/>
        <v>4285</v>
      </c>
      <c r="O86" s="590">
        <f t="shared" si="59"/>
        <v>46882</v>
      </c>
      <c r="P86" s="590">
        <f t="shared" si="59"/>
        <v>25853</v>
      </c>
      <c r="Q86" s="590">
        <f t="shared" si="59"/>
        <v>21029</v>
      </c>
      <c r="R86" s="166"/>
      <c r="S86" s="168"/>
      <c r="T86" s="175" t="str">
        <f>A86</f>
        <v>Net Tax Expense</v>
      </c>
      <c r="U86" s="803"/>
      <c r="V86" s="191">
        <f>C86+D86+E86</f>
        <v>10489</v>
      </c>
      <c r="W86" s="191">
        <f>F86+G86+H86</f>
        <v>11187</v>
      </c>
      <c r="X86" s="191">
        <f>I86+J86+K86</f>
        <v>12495</v>
      </c>
      <c r="Y86" s="191">
        <f>L86+M86+N86</f>
        <v>12711</v>
      </c>
      <c r="Z86" s="191"/>
      <c r="AA86" s="191">
        <f>SUM(V86:Y86)</f>
        <v>46882</v>
      </c>
      <c r="AD86" s="175" t="str">
        <f>A86</f>
        <v>Net Tax Expense</v>
      </c>
      <c r="AF86" s="191">
        <f>C86</f>
        <v>3782</v>
      </c>
      <c r="AG86" s="191">
        <f t="shared" ref="AG86:AQ86" si="60">D86+AF86</f>
        <v>6863</v>
      </c>
      <c r="AH86" s="191">
        <f t="shared" si="60"/>
        <v>10489</v>
      </c>
      <c r="AI86" s="191">
        <f t="shared" si="60"/>
        <v>13979</v>
      </c>
      <c r="AJ86" s="191">
        <f t="shared" si="60"/>
        <v>17717</v>
      </c>
      <c r="AK86" s="191">
        <f t="shared" si="60"/>
        <v>21676</v>
      </c>
      <c r="AL86" s="191">
        <f t="shared" si="60"/>
        <v>25948</v>
      </c>
      <c r="AM86" s="191">
        <f t="shared" si="60"/>
        <v>30182</v>
      </c>
      <c r="AN86" s="191">
        <f t="shared" si="60"/>
        <v>34171</v>
      </c>
      <c r="AO86" s="191">
        <f t="shared" si="60"/>
        <v>38389</v>
      </c>
      <c r="AP86" s="191">
        <f t="shared" si="60"/>
        <v>42597</v>
      </c>
      <c r="AQ86" s="191">
        <f t="shared" si="60"/>
        <v>46882</v>
      </c>
    </row>
    <row r="87" spans="1:43" x14ac:dyDescent="0.2">
      <c r="A87" s="569"/>
      <c r="B87" s="807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66"/>
      <c r="P87" s="584"/>
      <c r="Q87" s="584"/>
      <c r="S87" s="170"/>
      <c r="V87" s="177"/>
      <c r="W87" s="177"/>
      <c r="X87" s="177"/>
      <c r="Y87" s="177"/>
      <c r="Z87" s="177"/>
      <c r="AA87" s="177"/>
      <c r="AD87" s="179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</row>
    <row r="88" spans="1:43" x14ac:dyDescent="0.2">
      <c r="A88" s="579" t="s">
        <v>351</v>
      </c>
      <c r="B88" s="807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66"/>
      <c r="P88" s="566"/>
      <c r="Q88" s="584"/>
      <c r="S88" s="170"/>
      <c r="T88" s="175" t="str">
        <f>A88</f>
        <v>Income Tax Adjustments</v>
      </c>
      <c r="V88" s="177"/>
      <c r="W88" s="177"/>
      <c r="X88" s="177"/>
      <c r="Y88" s="177"/>
      <c r="Z88" s="177"/>
      <c r="AA88" s="177"/>
      <c r="AD88" s="175" t="str">
        <f>A88</f>
        <v>Income Tax Adjustments</v>
      </c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</row>
    <row r="89" spans="1:43" x14ac:dyDescent="0.2">
      <c r="A89" s="587" t="s">
        <v>352</v>
      </c>
      <c r="B89" s="807"/>
      <c r="C89" s="178">
        <v>0</v>
      </c>
      <c r="D89" s="178">
        <v>0</v>
      </c>
      <c r="E89" s="178">
        <v>0</v>
      </c>
      <c r="F89" s="178">
        <v>0</v>
      </c>
      <c r="G89" s="178">
        <v>0</v>
      </c>
      <c r="H89" s="178">
        <v>0</v>
      </c>
      <c r="I89" s="178">
        <v>0</v>
      </c>
      <c r="J89" s="178">
        <v>0</v>
      </c>
      <c r="K89" s="178">
        <v>0</v>
      </c>
      <c r="L89" s="178">
        <v>0</v>
      </c>
      <c r="M89" s="178">
        <v>0</v>
      </c>
      <c r="N89" s="178">
        <v>0</v>
      </c>
      <c r="O89" s="584">
        <f>SUM(C89:N89)</f>
        <v>0</v>
      </c>
      <c r="P89" s="178">
        <f>SUM(C89:D89)</f>
        <v>0</v>
      </c>
      <c r="Q89" s="584">
        <f>O89-P89</f>
        <v>0</v>
      </c>
      <c r="S89" s="170"/>
      <c r="T89" s="179" t="str">
        <f>A89</f>
        <v xml:space="preserve">    Depreciation</v>
      </c>
      <c r="V89" s="177">
        <f>C89+D89+E89</f>
        <v>0</v>
      </c>
      <c r="W89" s="177">
        <f>F89+G89+H89</f>
        <v>0</v>
      </c>
      <c r="X89" s="177">
        <f>I89+J89+K89</f>
        <v>0</v>
      </c>
      <c r="Y89" s="177">
        <f>L89+M89+N89</f>
        <v>0</v>
      </c>
      <c r="Z89" s="177"/>
      <c r="AA89" s="177">
        <f>SUM(V89:Y89)</f>
        <v>0</v>
      </c>
      <c r="AD89" s="179" t="str">
        <f>A89</f>
        <v xml:space="preserve">    Depreciation</v>
      </c>
      <c r="AF89" s="177">
        <f>C89</f>
        <v>0</v>
      </c>
      <c r="AG89" s="177">
        <f t="shared" ref="AG89:AQ92" si="61">D89+AF89</f>
        <v>0</v>
      </c>
      <c r="AH89" s="177">
        <f t="shared" si="61"/>
        <v>0</v>
      </c>
      <c r="AI89" s="177">
        <f t="shared" si="61"/>
        <v>0</v>
      </c>
      <c r="AJ89" s="177">
        <f t="shared" si="61"/>
        <v>0</v>
      </c>
      <c r="AK89" s="177">
        <f t="shared" si="61"/>
        <v>0</v>
      </c>
      <c r="AL89" s="177">
        <f t="shared" si="61"/>
        <v>0</v>
      </c>
      <c r="AM89" s="177">
        <f t="shared" si="61"/>
        <v>0</v>
      </c>
      <c r="AN89" s="177">
        <f t="shared" si="61"/>
        <v>0</v>
      </c>
      <c r="AO89" s="177">
        <f t="shared" si="61"/>
        <v>0</v>
      </c>
      <c r="AP89" s="177">
        <f t="shared" si="61"/>
        <v>0</v>
      </c>
      <c r="AQ89" s="177">
        <f t="shared" si="61"/>
        <v>0</v>
      </c>
    </row>
    <row r="90" spans="1:43" x14ac:dyDescent="0.2">
      <c r="A90" s="587" t="s">
        <v>353</v>
      </c>
      <c r="B90" s="807"/>
      <c r="C90" s="178">
        <v>8</v>
      </c>
      <c r="D90" s="178">
        <v>8</v>
      </c>
      <c r="E90" s="178">
        <v>8</v>
      </c>
      <c r="F90" s="178">
        <v>8</v>
      </c>
      <c r="G90" s="178">
        <v>8</v>
      </c>
      <c r="H90" s="178">
        <v>8</v>
      </c>
      <c r="I90" s="178">
        <v>8</v>
      </c>
      <c r="J90" s="178">
        <v>8</v>
      </c>
      <c r="K90" s="178">
        <v>8</v>
      </c>
      <c r="L90" s="178">
        <v>8</v>
      </c>
      <c r="M90" s="178">
        <v>8</v>
      </c>
      <c r="N90" s="178">
        <v>8</v>
      </c>
      <c r="O90" s="584">
        <f>SUM(C90:N90)</f>
        <v>96</v>
      </c>
      <c r="P90" s="178">
        <f>SUM(C90:D90)</f>
        <v>16</v>
      </c>
      <c r="Q90" s="584">
        <f>O90-P90</f>
        <v>80</v>
      </c>
      <c r="S90" s="170"/>
      <c r="T90" s="179" t="str">
        <f>A90</f>
        <v xml:space="preserve">    Business Expenses</v>
      </c>
      <c r="V90" s="177">
        <f>C90+D90+E90</f>
        <v>24</v>
      </c>
      <c r="W90" s="177">
        <f>F90+G90+H90</f>
        <v>24</v>
      </c>
      <c r="X90" s="177">
        <f>I90+J90+K90</f>
        <v>24</v>
      </c>
      <c r="Y90" s="177">
        <f>L90+M90+N90</f>
        <v>24</v>
      </c>
      <c r="Z90" s="177"/>
      <c r="AA90" s="177">
        <f>SUM(V90:Y90)</f>
        <v>96</v>
      </c>
      <c r="AD90" s="179" t="str">
        <f>A90</f>
        <v xml:space="preserve">    Business Expenses</v>
      </c>
      <c r="AF90" s="177">
        <f>C90</f>
        <v>8</v>
      </c>
      <c r="AG90" s="177">
        <f t="shared" si="61"/>
        <v>16</v>
      </c>
      <c r="AH90" s="177">
        <f t="shared" si="61"/>
        <v>24</v>
      </c>
      <c r="AI90" s="177">
        <f t="shared" si="61"/>
        <v>32</v>
      </c>
      <c r="AJ90" s="177">
        <f t="shared" si="61"/>
        <v>40</v>
      </c>
      <c r="AK90" s="177">
        <f t="shared" si="61"/>
        <v>48</v>
      </c>
      <c r="AL90" s="177">
        <f t="shared" si="61"/>
        <v>56</v>
      </c>
      <c r="AM90" s="177">
        <f t="shared" si="61"/>
        <v>64</v>
      </c>
      <c r="AN90" s="177">
        <f t="shared" si="61"/>
        <v>72</v>
      </c>
      <c r="AO90" s="177">
        <f t="shared" si="61"/>
        <v>80</v>
      </c>
      <c r="AP90" s="177">
        <f t="shared" si="61"/>
        <v>88</v>
      </c>
      <c r="AQ90" s="177">
        <f t="shared" si="61"/>
        <v>96</v>
      </c>
    </row>
    <row r="91" spans="1:43" x14ac:dyDescent="0.2">
      <c r="A91" s="587" t="s">
        <v>354</v>
      </c>
      <c r="B91" s="807"/>
      <c r="C91" s="178">
        <v>0</v>
      </c>
      <c r="D91" s="178">
        <v>0</v>
      </c>
      <c r="E91" s="178">
        <v>0</v>
      </c>
      <c r="F91" s="178">
        <v>0</v>
      </c>
      <c r="G91" s="178">
        <v>0</v>
      </c>
      <c r="H91" s="178">
        <v>0</v>
      </c>
      <c r="I91" s="178">
        <v>0</v>
      </c>
      <c r="J91" s="178">
        <v>0</v>
      </c>
      <c r="K91" s="178">
        <v>0</v>
      </c>
      <c r="L91" s="178">
        <v>0</v>
      </c>
      <c r="M91" s="178">
        <v>0</v>
      </c>
      <c r="N91" s="178">
        <v>0</v>
      </c>
      <c r="O91" s="584">
        <f>SUM(C91:N91)</f>
        <v>0</v>
      </c>
      <c r="P91" s="178">
        <f>SUM(C91:D91)</f>
        <v>0</v>
      </c>
      <c r="Q91" s="584">
        <f>O91-P91</f>
        <v>0</v>
      </c>
      <c r="S91" s="170"/>
      <c r="T91" s="179" t="str">
        <f>A91</f>
        <v xml:space="preserve">    Foreign Tax / Civic &amp; Political</v>
      </c>
      <c r="V91" s="177">
        <f>C91+D91+E91</f>
        <v>0</v>
      </c>
      <c r="W91" s="177">
        <f>F91+G91+H91</f>
        <v>0</v>
      </c>
      <c r="X91" s="177">
        <f>I91+J91+K91</f>
        <v>0</v>
      </c>
      <c r="Y91" s="177">
        <f>L91+M91+N91</f>
        <v>0</v>
      </c>
      <c r="Z91" s="177"/>
      <c r="AA91" s="177">
        <f>SUM(V91:Y91)</f>
        <v>0</v>
      </c>
      <c r="AD91" s="179" t="str">
        <f>A91</f>
        <v xml:space="preserve">    Foreign Tax / Civic &amp; Political</v>
      </c>
      <c r="AE91" s="805"/>
      <c r="AF91" s="177">
        <f>C91</f>
        <v>0</v>
      </c>
      <c r="AG91" s="177">
        <f t="shared" si="61"/>
        <v>0</v>
      </c>
      <c r="AH91" s="177">
        <f t="shared" si="61"/>
        <v>0</v>
      </c>
      <c r="AI91" s="177">
        <f t="shared" si="61"/>
        <v>0</v>
      </c>
      <c r="AJ91" s="177">
        <f t="shared" si="61"/>
        <v>0</v>
      </c>
      <c r="AK91" s="177">
        <f t="shared" si="61"/>
        <v>0</v>
      </c>
      <c r="AL91" s="177">
        <f t="shared" si="61"/>
        <v>0</v>
      </c>
      <c r="AM91" s="177">
        <f t="shared" si="61"/>
        <v>0</v>
      </c>
      <c r="AN91" s="177">
        <f t="shared" si="61"/>
        <v>0</v>
      </c>
      <c r="AO91" s="177">
        <f t="shared" si="61"/>
        <v>0</v>
      </c>
      <c r="AP91" s="177">
        <f t="shared" si="61"/>
        <v>0</v>
      </c>
      <c r="AQ91" s="177">
        <f t="shared" si="61"/>
        <v>0</v>
      </c>
    </row>
    <row r="92" spans="1:43" x14ac:dyDescent="0.2">
      <c r="A92" s="587" t="s">
        <v>355</v>
      </c>
      <c r="B92" s="807"/>
      <c r="C92" s="586">
        <f t="shared" ref="C92:N92" si="62">-C32</f>
        <v>0</v>
      </c>
      <c r="D92" s="586">
        <f t="shared" si="62"/>
        <v>0</v>
      </c>
      <c r="E92" s="586">
        <f t="shared" si="62"/>
        <v>0</v>
      </c>
      <c r="F92" s="586">
        <f t="shared" si="62"/>
        <v>0</v>
      </c>
      <c r="G92" s="586">
        <f t="shared" si="62"/>
        <v>0</v>
      </c>
      <c r="H92" s="586">
        <f t="shared" si="62"/>
        <v>0</v>
      </c>
      <c r="I92" s="586">
        <f t="shared" si="62"/>
        <v>0</v>
      </c>
      <c r="J92" s="586">
        <f t="shared" si="62"/>
        <v>0</v>
      </c>
      <c r="K92" s="586">
        <f t="shared" si="62"/>
        <v>0</v>
      </c>
      <c r="L92" s="586">
        <f t="shared" si="62"/>
        <v>0</v>
      </c>
      <c r="M92" s="586">
        <f t="shared" si="62"/>
        <v>0</v>
      </c>
      <c r="N92" s="586">
        <f t="shared" si="62"/>
        <v>0</v>
      </c>
      <c r="O92" s="586">
        <f>SUM(C92:N92)</f>
        <v>0</v>
      </c>
      <c r="P92" s="263">
        <f>SUM(C92:D92)</f>
        <v>0</v>
      </c>
      <c r="Q92" s="586">
        <f>O92-P92</f>
        <v>0</v>
      </c>
      <c r="S92" s="170"/>
      <c r="T92" s="179" t="str">
        <f>A92</f>
        <v xml:space="preserve">    IBIT of All Subs</v>
      </c>
      <c r="V92" s="180">
        <f>C92+D92+E92</f>
        <v>0</v>
      </c>
      <c r="W92" s="180">
        <f>F92+G92+H92</f>
        <v>0</v>
      </c>
      <c r="X92" s="180">
        <f>I92+J92+K92</f>
        <v>0</v>
      </c>
      <c r="Y92" s="180">
        <f>L92+M92+N92</f>
        <v>0</v>
      </c>
      <c r="Z92" s="180"/>
      <c r="AA92" s="180">
        <f>SUM(V92:Y92)</f>
        <v>0</v>
      </c>
      <c r="AD92" s="179" t="str">
        <f>A92</f>
        <v xml:space="preserve">    IBIT of All Subs</v>
      </c>
      <c r="AF92" s="180">
        <f>C92</f>
        <v>0</v>
      </c>
      <c r="AG92" s="180">
        <f t="shared" si="61"/>
        <v>0</v>
      </c>
      <c r="AH92" s="180">
        <f t="shared" si="61"/>
        <v>0</v>
      </c>
      <c r="AI92" s="180">
        <f t="shared" si="61"/>
        <v>0</v>
      </c>
      <c r="AJ92" s="180">
        <f t="shared" si="61"/>
        <v>0</v>
      </c>
      <c r="AK92" s="180">
        <f t="shared" si="61"/>
        <v>0</v>
      </c>
      <c r="AL92" s="180">
        <f t="shared" si="61"/>
        <v>0</v>
      </c>
      <c r="AM92" s="180">
        <f t="shared" si="61"/>
        <v>0</v>
      </c>
      <c r="AN92" s="180">
        <f t="shared" si="61"/>
        <v>0</v>
      </c>
      <c r="AO92" s="180">
        <f t="shared" si="61"/>
        <v>0</v>
      </c>
      <c r="AP92" s="180">
        <f t="shared" si="61"/>
        <v>0</v>
      </c>
      <c r="AQ92" s="180">
        <f t="shared" si="61"/>
        <v>0</v>
      </c>
    </row>
    <row r="93" spans="1:43" ht="3.95" customHeight="1" x14ac:dyDescent="0.2">
      <c r="A93" s="569"/>
      <c r="B93" s="807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6"/>
      <c r="P93" s="584"/>
      <c r="Q93" s="584"/>
      <c r="V93" s="177"/>
      <c r="W93" s="177"/>
      <c r="X93" s="177"/>
      <c r="Y93" s="177"/>
      <c r="Z93" s="177"/>
      <c r="AA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</row>
    <row r="94" spans="1:43" x14ac:dyDescent="0.2">
      <c r="A94" s="591" t="s">
        <v>356</v>
      </c>
      <c r="B94" s="809"/>
      <c r="C94" s="586">
        <f t="shared" ref="C94:Q94" si="63">SUM(C89:C92)</f>
        <v>8</v>
      </c>
      <c r="D94" s="586">
        <f t="shared" si="63"/>
        <v>8</v>
      </c>
      <c r="E94" s="586">
        <f t="shared" si="63"/>
        <v>8</v>
      </c>
      <c r="F94" s="586">
        <f t="shared" si="63"/>
        <v>8</v>
      </c>
      <c r="G94" s="586">
        <f t="shared" si="63"/>
        <v>8</v>
      </c>
      <c r="H94" s="586">
        <f t="shared" si="63"/>
        <v>8</v>
      </c>
      <c r="I94" s="586">
        <f t="shared" si="63"/>
        <v>8</v>
      </c>
      <c r="J94" s="586">
        <f t="shared" si="63"/>
        <v>8</v>
      </c>
      <c r="K94" s="586">
        <f t="shared" si="63"/>
        <v>8</v>
      </c>
      <c r="L94" s="586">
        <f t="shared" si="63"/>
        <v>8</v>
      </c>
      <c r="M94" s="586">
        <f t="shared" si="63"/>
        <v>8</v>
      </c>
      <c r="N94" s="586">
        <f t="shared" si="63"/>
        <v>8</v>
      </c>
      <c r="O94" s="586">
        <f t="shared" si="63"/>
        <v>96</v>
      </c>
      <c r="P94" s="586">
        <f t="shared" si="63"/>
        <v>16</v>
      </c>
      <c r="Q94" s="586">
        <f t="shared" si="63"/>
        <v>80</v>
      </c>
      <c r="R94" s="166"/>
      <c r="S94" s="170"/>
      <c r="T94" s="175" t="str">
        <f>A94</f>
        <v xml:space="preserve">      Total Income Tax Adjustment</v>
      </c>
      <c r="U94" s="805"/>
      <c r="V94" s="180">
        <f>C94+D94+E94</f>
        <v>24</v>
      </c>
      <c r="W94" s="180">
        <f>F94+G94+H94</f>
        <v>24</v>
      </c>
      <c r="X94" s="180">
        <f>I94+J94+K94</f>
        <v>24</v>
      </c>
      <c r="Y94" s="180">
        <f>L94+M94+N94</f>
        <v>24</v>
      </c>
      <c r="Z94" s="180"/>
      <c r="AA94" s="180">
        <f>SUM(V94:Y94)</f>
        <v>96</v>
      </c>
      <c r="AD94" s="175" t="str">
        <f>A94</f>
        <v xml:space="preserve">      Total Income Tax Adjustment</v>
      </c>
      <c r="AF94" s="180">
        <f>C94</f>
        <v>8</v>
      </c>
      <c r="AG94" s="180">
        <f t="shared" ref="AG94:AQ94" si="64">D94+AF94</f>
        <v>16</v>
      </c>
      <c r="AH94" s="180">
        <f t="shared" si="64"/>
        <v>24</v>
      </c>
      <c r="AI94" s="180">
        <f t="shared" si="64"/>
        <v>32</v>
      </c>
      <c r="AJ94" s="180">
        <f t="shared" si="64"/>
        <v>40</v>
      </c>
      <c r="AK94" s="180">
        <f t="shared" si="64"/>
        <v>48</v>
      </c>
      <c r="AL94" s="180">
        <f t="shared" si="64"/>
        <v>56</v>
      </c>
      <c r="AM94" s="180">
        <f t="shared" si="64"/>
        <v>64</v>
      </c>
      <c r="AN94" s="180">
        <f t="shared" si="64"/>
        <v>72</v>
      </c>
      <c r="AO94" s="180">
        <f t="shared" si="64"/>
        <v>80</v>
      </c>
      <c r="AP94" s="180">
        <f t="shared" si="64"/>
        <v>88</v>
      </c>
      <c r="AQ94" s="180">
        <f t="shared" si="64"/>
        <v>96</v>
      </c>
    </row>
    <row r="95" spans="1:43" ht="8.1" customHeight="1" x14ac:dyDescent="0.2">
      <c r="A95" s="569"/>
      <c r="B95" s="807"/>
      <c r="C95" s="569"/>
      <c r="D95" s="569"/>
      <c r="E95" s="569"/>
      <c r="F95" s="569"/>
      <c r="G95" s="569"/>
      <c r="H95" s="569"/>
      <c r="I95" s="569"/>
      <c r="J95" s="569"/>
      <c r="K95" s="569"/>
      <c r="L95" s="569"/>
      <c r="M95" s="569"/>
      <c r="N95" s="569"/>
      <c r="O95" s="573"/>
      <c r="P95" s="569"/>
      <c r="Q95" s="569"/>
      <c r="S95" s="170"/>
      <c r="T95" s="170"/>
      <c r="V95" s="170"/>
    </row>
    <row r="96" spans="1:43" ht="12.75" customHeight="1" x14ac:dyDescent="0.2">
      <c r="A96" s="546" t="str">
        <f ca="1">CELL("FILENAME")</f>
        <v>P:\Finance\2002 Plan\[EMTW02PL.XLS]IncomeState</v>
      </c>
      <c r="C96" s="166"/>
      <c r="D96" s="166"/>
      <c r="E96" s="166"/>
      <c r="F96" s="166"/>
      <c r="G96" s="660" t="s">
        <v>600</v>
      </c>
      <c r="H96" s="522"/>
      <c r="I96" s="522"/>
      <c r="J96" s="522"/>
      <c r="K96" s="166"/>
      <c r="L96" s="166"/>
      <c r="M96" s="166"/>
      <c r="N96" s="166"/>
      <c r="O96" s="166"/>
      <c r="P96" s="166"/>
      <c r="Q96" s="166"/>
      <c r="R96" s="166"/>
      <c r="S96" s="167"/>
      <c r="T96" s="576" t="str">
        <f ca="1">A96</f>
        <v>P:\Finance\2002 Plan\[EMTW02PL.XLS]IncomeState</v>
      </c>
      <c r="U96" s="595"/>
      <c r="V96" s="592" t="str">
        <f>G96</f>
        <v>TRANSWESTERN FAIR VALUE COMPANY</v>
      </c>
      <c r="W96" s="571"/>
      <c r="X96" s="571"/>
      <c r="Y96" s="571"/>
      <c r="Z96" s="570"/>
      <c r="AA96" s="570"/>
      <c r="AB96" s="167"/>
      <c r="AC96" s="166"/>
      <c r="AD96" s="413" t="str">
        <f ca="1">A96</f>
        <v>P:\Finance\2002 Plan\[EMTW02PL.XLS]IncomeState</v>
      </c>
      <c r="AI96" s="522" t="str">
        <f>G96</f>
        <v>TRANSWESTERN FAIR VALUE COMPANY</v>
      </c>
      <c r="AJ96" s="522"/>
      <c r="AK96" s="522"/>
      <c r="AL96" s="526"/>
    </row>
    <row r="97" spans="1:43" x14ac:dyDescent="0.2">
      <c r="A97" s="401" t="s">
        <v>583</v>
      </c>
      <c r="C97" s="168"/>
      <c r="D97" s="169"/>
      <c r="E97" s="168"/>
      <c r="F97" s="167"/>
      <c r="G97" s="571" t="str">
        <f>G2</f>
        <v>2002 OPERATING PLAN</v>
      </c>
      <c r="H97" s="522"/>
      <c r="I97" s="522"/>
      <c r="J97" s="522"/>
      <c r="K97" s="168"/>
      <c r="L97" s="168"/>
      <c r="M97" s="168"/>
      <c r="N97" s="168"/>
      <c r="O97" s="166"/>
      <c r="P97" s="166"/>
      <c r="Q97" s="166"/>
      <c r="R97" s="166"/>
      <c r="S97" s="167"/>
      <c r="T97" s="669" t="s">
        <v>585</v>
      </c>
      <c r="U97" s="595"/>
      <c r="V97" s="592" t="str">
        <f>G97</f>
        <v>2002 OPERATING PLAN</v>
      </c>
      <c r="W97" s="571"/>
      <c r="X97" s="571"/>
      <c r="Y97" s="571"/>
      <c r="Z97" s="570"/>
      <c r="AA97" s="570"/>
      <c r="AB97" s="166"/>
      <c r="AC97" s="166"/>
      <c r="AD97" s="668" t="s">
        <v>584</v>
      </c>
      <c r="AF97" s="170"/>
      <c r="AG97" s="170"/>
      <c r="AH97" s="170"/>
      <c r="AI97" s="522" t="str">
        <f>G97</f>
        <v>2002 OPERATING PLAN</v>
      </c>
      <c r="AJ97" s="522"/>
      <c r="AK97" s="522"/>
      <c r="AL97" s="526"/>
      <c r="AN97" s="170"/>
      <c r="AO97" s="170"/>
      <c r="AP97" s="170"/>
      <c r="AQ97" s="170"/>
    </row>
    <row r="98" spans="1:43" x14ac:dyDescent="0.2">
      <c r="A98" s="670" t="str">
        <f>A3</f>
        <v>2002 OPERATING PLAN</v>
      </c>
      <c r="C98" s="168"/>
      <c r="D98" s="168"/>
      <c r="E98" s="168"/>
      <c r="F98" s="168"/>
      <c r="G98" s="571" t="str">
        <f>G3</f>
        <v xml:space="preserve">RESULTS OF OPERATIONS </v>
      </c>
      <c r="H98" s="522"/>
      <c r="I98" s="522"/>
      <c r="J98" s="414"/>
      <c r="K98" s="168"/>
      <c r="L98" s="168"/>
      <c r="M98" s="168"/>
      <c r="N98" s="168"/>
      <c r="O98" s="166"/>
      <c r="P98" s="166"/>
      <c r="Q98" s="166"/>
      <c r="R98" s="166"/>
      <c r="S98" s="167"/>
      <c r="T98" s="594" t="str">
        <f>A98</f>
        <v>2002 OPERATING PLAN</v>
      </c>
      <c r="U98" s="595"/>
      <c r="V98" s="592" t="str">
        <f>G98</f>
        <v xml:space="preserve">RESULTS OF OPERATIONS </v>
      </c>
      <c r="W98" s="571"/>
      <c r="X98" s="571"/>
      <c r="Y98" s="571"/>
      <c r="Z98" s="570"/>
      <c r="AA98" s="570"/>
      <c r="AB98" s="166"/>
      <c r="AC98" s="166"/>
      <c r="AD98" s="413" t="str">
        <f>A98</f>
        <v>2002 OPERATING PLAN</v>
      </c>
      <c r="AF98" s="170"/>
      <c r="AG98" s="170"/>
      <c r="AH98" s="170"/>
      <c r="AI98" s="521" t="s">
        <v>928</v>
      </c>
      <c r="AJ98" s="522"/>
      <c r="AK98" s="522"/>
      <c r="AL98" s="526"/>
      <c r="AN98" s="170"/>
      <c r="AO98" s="170"/>
      <c r="AP98" s="170"/>
      <c r="AQ98" s="170"/>
    </row>
    <row r="99" spans="1:43" x14ac:dyDescent="0.2">
      <c r="A99" s="398"/>
      <c r="B99" s="801">
        <f ca="1">NOW()</f>
        <v>37189.614922337962</v>
      </c>
      <c r="C99" s="168"/>
      <c r="D99" s="168"/>
      <c r="E99" s="168"/>
      <c r="F99" s="168"/>
      <c r="G99" s="571" t="str">
        <f>G4</f>
        <v>(Thousands of Dollars)</v>
      </c>
      <c r="H99" s="522"/>
      <c r="I99" s="522"/>
      <c r="J99" s="414"/>
      <c r="K99" s="168"/>
      <c r="L99" s="168"/>
      <c r="M99" s="168"/>
      <c r="N99" s="168"/>
      <c r="O99" s="166"/>
      <c r="P99" s="166"/>
      <c r="Q99" s="166"/>
      <c r="R99" s="166"/>
      <c r="S99" s="167"/>
      <c r="T99" s="569"/>
      <c r="U99" s="801">
        <f ca="1">NOW()</f>
        <v>37189.614922337962</v>
      </c>
      <c r="V99" s="592" t="str">
        <f>G99</f>
        <v>(Thousands of Dollars)</v>
      </c>
      <c r="W99" s="571"/>
      <c r="X99" s="571"/>
      <c r="Y99" s="571"/>
      <c r="Z99" s="570"/>
      <c r="AA99" s="570"/>
      <c r="AB99" s="166"/>
      <c r="AC99" s="166"/>
      <c r="AD99" s="166"/>
      <c r="AE99" s="801">
        <f ca="1">NOW()</f>
        <v>37189.614922337962</v>
      </c>
      <c r="AF99" s="170"/>
      <c r="AG99" s="170"/>
      <c r="AH99" s="170"/>
      <c r="AI99" s="522" t="str">
        <f>G99</f>
        <v>(Thousands of Dollars)</v>
      </c>
      <c r="AJ99" s="522"/>
      <c r="AK99" s="522"/>
      <c r="AL99" s="527"/>
      <c r="AN99" s="170"/>
      <c r="AO99" s="170"/>
      <c r="AP99" s="170"/>
      <c r="AQ99" s="170"/>
    </row>
    <row r="100" spans="1:43" x14ac:dyDescent="0.2">
      <c r="A100" s="409" t="s">
        <v>601</v>
      </c>
      <c r="B100" s="802">
        <f ca="1">NOW()</f>
        <v>37189.614922337962</v>
      </c>
      <c r="C100" s="168"/>
      <c r="D100" s="507"/>
      <c r="E100" s="168"/>
      <c r="F100" s="168"/>
      <c r="G100" s="406"/>
      <c r="H100" s="168"/>
      <c r="I100" s="171"/>
      <c r="J100" s="168"/>
      <c r="K100" s="168"/>
      <c r="L100" s="168"/>
      <c r="M100" s="168"/>
      <c r="N100" s="168"/>
      <c r="O100" s="166"/>
      <c r="P100" s="166"/>
      <c r="Q100" s="166"/>
      <c r="R100" s="166"/>
      <c r="S100" s="166"/>
      <c r="T100" s="665" t="s">
        <v>602</v>
      </c>
      <c r="U100" s="802">
        <f ca="1">NOW()</f>
        <v>37189.614922337962</v>
      </c>
      <c r="V100" s="570"/>
      <c r="W100" s="578"/>
      <c r="X100" s="578"/>
      <c r="Y100" s="578"/>
      <c r="Z100" s="578"/>
      <c r="AA100" s="578"/>
      <c r="AB100" s="166"/>
      <c r="AC100" s="166"/>
      <c r="AD100" s="409" t="s">
        <v>603</v>
      </c>
      <c r="AE100" s="802">
        <f ca="1">NOW()</f>
        <v>37189.614922337962</v>
      </c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</row>
    <row r="101" spans="1:43" x14ac:dyDescent="0.2">
      <c r="A101" s="170"/>
      <c r="C101" s="171" t="str">
        <f>DataBase!C2</f>
        <v>PLAN</v>
      </c>
      <c r="D101" s="171" t="str">
        <f>DataBase!D2</f>
        <v>PLAN</v>
      </c>
      <c r="E101" s="171" t="str">
        <f>DataBase!E2</f>
        <v>PLAN</v>
      </c>
      <c r="F101" s="171" t="str">
        <f>DataBase!F2</f>
        <v>PLAN</v>
      </c>
      <c r="G101" s="171" t="str">
        <f>DataBase!G2</f>
        <v>PLAN</v>
      </c>
      <c r="H101" s="171" t="str">
        <f>DataBase!H2</f>
        <v>PLAN</v>
      </c>
      <c r="I101" s="171" t="str">
        <f>DataBase!I2</f>
        <v>PLAN</v>
      </c>
      <c r="J101" s="171" t="str">
        <f>DataBase!J2</f>
        <v>PLAN</v>
      </c>
      <c r="K101" s="171" t="str">
        <f>DataBase!K2</f>
        <v>PLAN</v>
      </c>
      <c r="L101" s="171" t="str">
        <f>DataBase!L2</f>
        <v>PLAN</v>
      </c>
      <c r="M101" s="171" t="str">
        <f>DataBase!M2</f>
        <v>PLAN</v>
      </c>
      <c r="N101" s="171" t="str">
        <f>DataBase!N2</f>
        <v>PLAN</v>
      </c>
      <c r="O101" s="171" t="str">
        <f>DataBase!O2</f>
        <v>TOTAL</v>
      </c>
      <c r="P101" s="171" t="str">
        <f>P6</f>
        <v>FEB.</v>
      </c>
      <c r="Q101" s="171" t="str">
        <f>Q6</f>
        <v>ESTIMATE</v>
      </c>
      <c r="R101" s="166"/>
      <c r="S101" s="167"/>
      <c r="T101" s="570"/>
      <c r="U101" s="595"/>
      <c r="V101" s="595" t="s">
        <v>932</v>
      </c>
      <c r="W101" s="595" t="s">
        <v>933</v>
      </c>
      <c r="X101" s="595" t="s">
        <v>934</v>
      </c>
      <c r="Y101" s="595" t="s">
        <v>935</v>
      </c>
      <c r="Z101" s="578"/>
      <c r="AA101" s="596" t="str">
        <f>O101</f>
        <v>TOTAL</v>
      </c>
      <c r="AB101" s="166"/>
      <c r="AC101" s="166"/>
      <c r="AD101" s="170"/>
      <c r="AF101" s="171" t="str">
        <f t="shared" ref="AF101:AQ102" si="65">C101</f>
        <v>PLAN</v>
      </c>
      <c r="AG101" s="171" t="str">
        <f t="shared" si="65"/>
        <v>PLAN</v>
      </c>
      <c r="AH101" s="171" t="str">
        <f t="shared" si="65"/>
        <v>PLAN</v>
      </c>
      <c r="AI101" s="171" t="str">
        <f t="shared" si="65"/>
        <v>PLAN</v>
      </c>
      <c r="AJ101" s="171" t="str">
        <f t="shared" si="65"/>
        <v>PLAN</v>
      </c>
      <c r="AK101" s="171" t="str">
        <f t="shared" si="65"/>
        <v>PLAN</v>
      </c>
      <c r="AL101" s="171" t="str">
        <f t="shared" si="65"/>
        <v>PLAN</v>
      </c>
      <c r="AM101" s="171" t="str">
        <f t="shared" si="65"/>
        <v>PLAN</v>
      </c>
      <c r="AN101" s="171" t="str">
        <f t="shared" si="65"/>
        <v>PLAN</v>
      </c>
      <c r="AO101" s="171" t="str">
        <f t="shared" si="65"/>
        <v>PLAN</v>
      </c>
      <c r="AP101" s="171" t="str">
        <f t="shared" si="65"/>
        <v>PLAN</v>
      </c>
      <c r="AQ101" s="171" t="str">
        <f t="shared" si="65"/>
        <v>PLAN</v>
      </c>
    </row>
    <row r="102" spans="1:43" x14ac:dyDescent="0.2">
      <c r="A102" s="170"/>
      <c r="C102" s="173" t="str">
        <f>C7</f>
        <v>JAN</v>
      </c>
      <c r="D102" s="173" t="str">
        <f t="shared" ref="D102:Q102" si="66">D7</f>
        <v>FEB</v>
      </c>
      <c r="E102" s="173" t="str">
        <f t="shared" si="66"/>
        <v>MAR</v>
      </c>
      <c r="F102" s="173" t="str">
        <f t="shared" si="66"/>
        <v>APR</v>
      </c>
      <c r="G102" s="173" t="str">
        <f t="shared" si="66"/>
        <v>MAY</v>
      </c>
      <c r="H102" s="173" t="str">
        <f t="shared" si="66"/>
        <v>JUN</v>
      </c>
      <c r="I102" s="173" t="str">
        <f t="shared" si="66"/>
        <v>JUL</v>
      </c>
      <c r="J102" s="173" t="str">
        <f t="shared" si="66"/>
        <v>AUG</v>
      </c>
      <c r="K102" s="173" t="str">
        <f t="shared" si="66"/>
        <v>SEP</v>
      </c>
      <c r="L102" s="173" t="str">
        <f t="shared" si="66"/>
        <v>OCT</v>
      </c>
      <c r="M102" s="173" t="str">
        <f t="shared" si="66"/>
        <v>NOV</v>
      </c>
      <c r="N102" s="173" t="str">
        <f t="shared" si="66"/>
        <v>DEC</v>
      </c>
      <c r="O102" s="173">
        <f t="shared" si="66"/>
        <v>2002</v>
      </c>
      <c r="P102" s="173" t="str">
        <f t="shared" si="66"/>
        <v>Y-T-D</v>
      </c>
      <c r="Q102" s="173" t="str">
        <f t="shared" si="66"/>
        <v>R.M.</v>
      </c>
      <c r="R102" s="168"/>
      <c r="S102" s="167"/>
      <c r="T102" s="570"/>
      <c r="U102" s="595"/>
      <c r="V102" s="582" t="s">
        <v>938</v>
      </c>
      <c r="W102" s="597" t="str">
        <f>V$7</f>
        <v>Quarter</v>
      </c>
      <c r="X102" s="597" t="str">
        <f>W$7</f>
        <v>Quarter</v>
      </c>
      <c r="Y102" s="597" t="str">
        <f>X$7</f>
        <v>Quarter</v>
      </c>
      <c r="Z102" s="598"/>
      <c r="AA102" s="599">
        <f>O102</f>
        <v>2002</v>
      </c>
      <c r="AB102" s="166"/>
      <c r="AC102" s="166"/>
      <c r="AD102" s="170"/>
      <c r="AF102" s="173" t="str">
        <f t="shared" si="65"/>
        <v>JAN</v>
      </c>
      <c r="AG102" s="173" t="str">
        <f t="shared" si="65"/>
        <v>FEB</v>
      </c>
      <c r="AH102" s="173" t="str">
        <f t="shared" si="65"/>
        <v>MAR</v>
      </c>
      <c r="AI102" s="173" t="str">
        <f t="shared" si="65"/>
        <v>APR</v>
      </c>
      <c r="AJ102" s="173" t="str">
        <f t="shared" si="65"/>
        <v>MAY</v>
      </c>
      <c r="AK102" s="173" t="str">
        <f t="shared" si="65"/>
        <v>JUN</v>
      </c>
      <c r="AL102" s="173" t="str">
        <f t="shared" si="65"/>
        <v>JUL</v>
      </c>
      <c r="AM102" s="173" t="str">
        <f t="shared" si="65"/>
        <v>AUG</v>
      </c>
      <c r="AN102" s="173" t="str">
        <f t="shared" si="65"/>
        <v>SEP</v>
      </c>
      <c r="AO102" s="173" t="str">
        <f t="shared" si="65"/>
        <v>OCT</v>
      </c>
      <c r="AP102" s="173" t="str">
        <f t="shared" si="65"/>
        <v>NOV</v>
      </c>
      <c r="AQ102" s="173" t="str">
        <f t="shared" si="65"/>
        <v>DEC</v>
      </c>
    </row>
    <row r="103" spans="1:43" x14ac:dyDescent="0.2">
      <c r="A103" s="407" t="s">
        <v>939</v>
      </c>
      <c r="T103" s="600" t="str">
        <f>A103</f>
        <v>OPERATING REVENUES</v>
      </c>
      <c r="U103" s="807"/>
      <c r="V103" s="569"/>
      <c r="W103" s="569"/>
      <c r="X103" s="569"/>
      <c r="Y103" s="569"/>
      <c r="Z103" s="569"/>
      <c r="AA103" s="569"/>
      <c r="AD103" s="166" t="str">
        <f>A103</f>
        <v>OPERATING REVENUES</v>
      </c>
    </row>
    <row r="104" spans="1:43" x14ac:dyDescent="0.2">
      <c r="A104" s="408" t="s">
        <v>940</v>
      </c>
      <c r="C104" s="666">
        <v>0</v>
      </c>
      <c r="D104" s="666">
        <v>0</v>
      </c>
      <c r="E104" s="666">
        <v>0</v>
      </c>
      <c r="F104" s="666">
        <v>0</v>
      </c>
      <c r="G104" s="666">
        <v>0</v>
      </c>
      <c r="H104" s="666">
        <v>0</v>
      </c>
      <c r="I104" s="666">
        <v>0</v>
      </c>
      <c r="J104" s="666">
        <v>0</v>
      </c>
      <c r="K104" s="666">
        <v>0</v>
      </c>
      <c r="L104" s="666">
        <v>0</v>
      </c>
      <c r="M104" s="666">
        <v>0</v>
      </c>
      <c r="N104" s="666">
        <v>0</v>
      </c>
      <c r="O104" s="177">
        <f>SUM(C104:N104)</f>
        <v>0</v>
      </c>
      <c r="P104" s="178">
        <f>SUM(C104:D104)</f>
        <v>0</v>
      </c>
      <c r="Q104" s="177">
        <f>O104-P104</f>
        <v>0</v>
      </c>
      <c r="R104" s="566"/>
      <c r="S104" s="170"/>
      <c r="T104" s="601" t="str">
        <f>A104</f>
        <v xml:space="preserve">   Gas Sales &amp; Liquids Revenue</v>
      </c>
      <c r="U104" s="807"/>
      <c r="V104" s="584">
        <f>C104+D104+E104</f>
        <v>0</v>
      </c>
      <c r="W104" s="584">
        <f>F104+G104+H104</f>
        <v>0</v>
      </c>
      <c r="X104" s="584">
        <f>I104+J104+K104</f>
        <v>0</v>
      </c>
      <c r="Y104" s="584">
        <f>L104+M104+N104</f>
        <v>0</v>
      </c>
      <c r="Z104" s="584"/>
      <c r="AA104" s="584">
        <f>SUM(V104:Y104)</f>
        <v>0</v>
      </c>
      <c r="AB104" s="170"/>
      <c r="AC104" s="170"/>
      <c r="AD104" s="165" t="str">
        <f>A104</f>
        <v xml:space="preserve">   Gas Sales &amp; Liquids Revenue</v>
      </c>
      <c r="AF104" s="177">
        <f>C104</f>
        <v>0</v>
      </c>
      <c r="AG104" s="177">
        <f t="shared" ref="AG104:AQ105" si="67">D104+AF104</f>
        <v>0</v>
      </c>
      <c r="AH104" s="177">
        <f t="shared" si="67"/>
        <v>0</v>
      </c>
      <c r="AI104" s="177">
        <f t="shared" si="67"/>
        <v>0</v>
      </c>
      <c r="AJ104" s="177">
        <f t="shared" si="67"/>
        <v>0</v>
      </c>
      <c r="AK104" s="177">
        <f t="shared" si="67"/>
        <v>0</v>
      </c>
      <c r="AL104" s="177">
        <f t="shared" si="67"/>
        <v>0</v>
      </c>
      <c r="AM104" s="177">
        <f t="shared" si="67"/>
        <v>0</v>
      </c>
      <c r="AN104" s="177">
        <f t="shared" si="67"/>
        <v>0</v>
      </c>
      <c r="AO104" s="177">
        <f t="shared" si="67"/>
        <v>0</v>
      </c>
      <c r="AP104" s="177">
        <f t="shared" si="67"/>
        <v>0</v>
      </c>
      <c r="AQ104" s="177">
        <f t="shared" si="67"/>
        <v>0</v>
      </c>
    </row>
    <row r="105" spans="1:43" x14ac:dyDescent="0.2">
      <c r="A105" s="408" t="s">
        <v>941</v>
      </c>
      <c r="C105" s="667">
        <v>0</v>
      </c>
      <c r="D105" s="667">
        <v>0</v>
      </c>
      <c r="E105" s="667">
        <v>0</v>
      </c>
      <c r="F105" s="667">
        <v>0</v>
      </c>
      <c r="G105" s="667">
        <v>0</v>
      </c>
      <c r="H105" s="667">
        <v>0</v>
      </c>
      <c r="I105" s="667">
        <v>0</v>
      </c>
      <c r="J105" s="667">
        <v>0</v>
      </c>
      <c r="K105" s="667">
        <v>0</v>
      </c>
      <c r="L105" s="667">
        <v>0</v>
      </c>
      <c r="M105" s="667">
        <v>0</v>
      </c>
      <c r="N105" s="667">
        <v>0</v>
      </c>
      <c r="O105" s="180">
        <f>SUM(C105:N105)</f>
        <v>0</v>
      </c>
      <c r="P105" s="263">
        <f>SUM(C105:D105)</f>
        <v>0</v>
      </c>
      <c r="Q105" s="180">
        <f>O105-P105</f>
        <v>0</v>
      </c>
      <c r="R105" s="567"/>
      <c r="S105" s="170"/>
      <c r="T105" s="601" t="str">
        <f>A105</f>
        <v xml:space="preserve">     Less:  Cost of Sales</v>
      </c>
      <c r="U105" s="807"/>
      <c r="V105" s="586">
        <f>C105+D105+E105</f>
        <v>0</v>
      </c>
      <c r="W105" s="586">
        <f>F105+G105+H105</f>
        <v>0</v>
      </c>
      <c r="X105" s="586">
        <f>I105+J105+K105</f>
        <v>0</v>
      </c>
      <c r="Y105" s="586">
        <f>L105+M105+N105</f>
        <v>0</v>
      </c>
      <c r="Z105" s="586"/>
      <c r="AA105" s="586">
        <f>SUM(V105:Y105)</f>
        <v>0</v>
      </c>
      <c r="AB105" s="170"/>
      <c r="AC105" s="170"/>
      <c r="AD105" s="165" t="str">
        <f>A105</f>
        <v xml:space="preserve">     Less:  Cost of Sales</v>
      </c>
      <c r="AF105" s="180">
        <f>C105</f>
        <v>0</v>
      </c>
      <c r="AG105" s="180">
        <f t="shared" si="67"/>
        <v>0</v>
      </c>
      <c r="AH105" s="180">
        <f t="shared" si="67"/>
        <v>0</v>
      </c>
      <c r="AI105" s="180">
        <f t="shared" si="67"/>
        <v>0</v>
      </c>
      <c r="AJ105" s="180">
        <f t="shared" si="67"/>
        <v>0</v>
      </c>
      <c r="AK105" s="180">
        <f t="shared" si="67"/>
        <v>0</v>
      </c>
      <c r="AL105" s="180">
        <f t="shared" si="67"/>
        <v>0</v>
      </c>
      <c r="AM105" s="180">
        <f t="shared" si="67"/>
        <v>0</v>
      </c>
      <c r="AN105" s="180">
        <f t="shared" si="67"/>
        <v>0</v>
      </c>
      <c r="AO105" s="180">
        <f t="shared" si="67"/>
        <v>0</v>
      </c>
      <c r="AP105" s="180">
        <f t="shared" si="67"/>
        <v>0</v>
      </c>
      <c r="AQ105" s="180">
        <f t="shared" si="67"/>
        <v>0</v>
      </c>
    </row>
    <row r="106" spans="1:43" ht="6" customHeight="1" x14ac:dyDescent="0.2">
      <c r="A106" s="398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8"/>
      <c r="S106" s="170"/>
      <c r="T106" s="569"/>
      <c r="U106" s="807"/>
      <c r="V106" s="584"/>
      <c r="W106" s="584"/>
      <c r="X106" s="584"/>
      <c r="Y106" s="584"/>
      <c r="Z106" s="584"/>
      <c r="AA106" s="584"/>
      <c r="AB106" s="170"/>
      <c r="AC106" s="170"/>
      <c r="AD106" s="170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</row>
    <row r="107" spans="1:43" x14ac:dyDescent="0.2">
      <c r="A107" s="409" t="s">
        <v>942</v>
      </c>
      <c r="B107" s="803"/>
      <c r="C107" s="181">
        <f t="shared" ref="C107:Q107" si="68">C104-C105</f>
        <v>0</v>
      </c>
      <c r="D107" s="181">
        <f t="shared" si="68"/>
        <v>0</v>
      </c>
      <c r="E107" s="181">
        <f t="shared" si="68"/>
        <v>0</v>
      </c>
      <c r="F107" s="181">
        <f t="shared" si="68"/>
        <v>0</v>
      </c>
      <c r="G107" s="181">
        <f t="shared" si="68"/>
        <v>0</v>
      </c>
      <c r="H107" s="181">
        <f t="shared" si="68"/>
        <v>0</v>
      </c>
      <c r="I107" s="181">
        <f t="shared" si="68"/>
        <v>0</v>
      </c>
      <c r="J107" s="181">
        <f t="shared" si="68"/>
        <v>0</v>
      </c>
      <c r="K107" s="181">
        <f t="shared" si="68"/>
        <v>0</v>
      </c>
      <c r="L107" s="181">
        <f t="shared" si="68"/>
        <v>0</v>
      </c>
      <c r="M107" s="181">
        <f t="shared" si="68"/>
        <v>0</v>
      </c>
      <c r="N107" s="181">
        <f t="shared" si="68"/>
        <v>0</v>
      </c>
      <c r="O107" s="181">
        <f t="shared" si="68"/>
        <v>0</v>
      </c>
      <c r="P107" s="181">
        <f t="shared" si="68"/>
        <v>0</v>
      </c>
      <c r="Q107" s="181">
        <f t="shared" si="68"/>
        <v>0</v>
      </c>
      <c r="R107" s="543"/>
      <c r="S107" s="168"/>
      <c r="T107" s="600" t="str">
        <f>A107</f>
        <v xml:space="preserve">      Sales Margin</v>
      </c>
      <c r="U107" s="595"/>
      <c r="V107" s="602">
        <f>V104-V105</f>
        <v>0</v>
      </c>
      <c r="W107" s="602">
        <f>W104-W105</f>
        <v>0</v>
      </c>
      <c r="X107" s="602">
        <f>X104-X105</f>
        <v>0</v>
      </c>
      <c r="Y107" s="602">
        <f>Y104-Y105</f>
        <v>0</v>
      </c>
      <c r="Z107" s="602"/>
      <c r="AA107" s="602">
        <f>AA104-AA105</f>
        <v>0</v>
      </c>
      <c r="AB107" s="168"/>
      <c r="AC107" s="168"/>
      <c r="AD107" s="166" t="str">
        <f>A107</f>
        <v xml:space="preserve">      Sales Margin</v>
      </c>
      <c r="AF107" s="182">
        <f>C107</f>
        <v>0</v>
      </c>
      <c r="AG107" s="182">
        <f t="shared" ref="AG107:AQ107" si="69">D107+AF107</f>
        <v>0</v>
      </c>
      <c r="AH107" s="182">
        <f t="shared" si="69"/>
        <v>0</v>
      </c>
      <c r="AI107" s="182">
        <f t="shared" si="69"/>
        <v>0</v>
      </c>
      <c r="AJ107" s="182">
        <f t="shared" si="69"/>
        <v>0</v>
      </c>
      <c r="AK107" s="182">
        <f t="shared" si="69"/>
        <v>0</v>
      </c>
      <c r="AL107" s="182">
        <f t="shared" si="69"/>
        <v>0</v>
      </c>
      <c r="AM107" s="182">
        <f t="shared" si="69"/>
        <v>0</v>
      </c>
      <c r="AN107" s="182">
        <f t="shared" si="69"/>
        <v>0</v>
      </c>
      <c r="AO107" s="182">
        <f t="shared" si="69"/>
        <v>0</v>
      </c>
      <c r="AP107" s="182">
        <f t="shared" si="69"/>
        <v>0</v>
      </c>
      <c r="AQ107" s="182">
        <f t="shared" si="69"/>
        <v>0</v>
      </c>
    </row>
    <row r="108" spans="1:43" ht="6" customHeight="1" x14ac:dyDescent="0.2">
      <c r="A108" s="398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8"/>
      <c r="S108" s="170"/>
      <c r="T108" s="569"/>
      <c r="U108" s="807"/>
      <c r="V108" s="584"/>
      <c r="W108" s="584"/>
      <c r="X108" s="584"/>
      <c r="Y108" s="584"/>
      <c r="Z108" s="584"/>
      <c r="AA108" s="584"/>
      <c r="AB108" s="170"/>
      <c r="AC108" s="170"/>
      <c r="AD108" s="183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</row>
    <row r="109" spans="1:43" x14ac:dyDescent="0.2">
      <c r="A109" s="408" t="s">
        <v>943</v>
      </c>
      <c r="C109" s="666">
        <v>0</v>
      </c>
      <c r="D109" s="666">
        <v>0</v>
      </c>
      <c r="E109" s="666">
        <v>0</v>
      </c>
      <c r="F109" s="666">
        <v>0</v>
      </c>
      <c r="G109" s="666">
        <v>0</v>
      </c>
      <c r="H109" s="666">
        <v>0</v>
      </c>
      <c r="I109" s="666">
        <v>0</v>
      </c>
      <c r="J109" s="666">
        <v>0</v>
      </c>
      <c r="K109" s="666">
        <v>0</v>
      </c>
      <c r="L109" s="666">
        <v>0</v>
      </c>
      <c r="M109" s="666">
        <v>0</v>
      </c>
      <c r="N109" s="666">
        <v>0</v>
      </c>
      <c r="O109" s="177">
        <f>SUM(C109:N109)</f>
        <v>0</v>
      </c>
      <c r="P109" s="178">
        <f>SUM(C109:D109)</f>
        <v>0</v>
      </c>
      <c r="Q109" s="177">
        <f>O109-P109</f>
        <v>0</v>
      </c>
      <c r="R109" s="566"/>
      <c r="S109" s="170"/>
      <c r="T109" s="601" t="str">
        <f>A109</f>
        <v xml:space="preserve">   Transportation &amp; Storage Revenue</v>
      </c>
      <c r="U109" s="807"/>
      <c r="V109" s="584">
        <f>C109+D109+E109</f>
        <v>0</v>
      </c>
      <c r="W109" s="584">
        <f>F109+G109+H109</f>
        <v>0</v>
      </c>
      <c r="X109" s="584">
        <f>I109+J109+K109</f>
        <v>0</v>
      </c>
      <c r="Y109" s="584">
        <f>L109+M109+N109</f>
        <v>0</v>
      </c>
      <c r="Z109" s="584"/>
      <c r="AA109" s="584">
        <f>SUM(V109:Y109)</f>
        <v>0</v>
      </c>
      <c r="AB109" s="170"/>
      <c r="AC109" s="170"/>
      <c r="AD109" s="165" t="str">
        <f>A109</f>
        <v xml:space="preserve">   Transportation &amp; Storage Revenue</v>
      </c>
      <c r="AF109" s="177">
        <f>C109</f>
        <v>0</v>
      </c>
      <c r="AG109" s="177">
        <f t="shared" ref="AG109:AQ110" si="70">D109+AF109</f>
        <v>0</v>
      </c>
      <c r="AH109" s="177">
        <f t="shared" si="70"/>
        <v>0</v>
      </c>
      <c r="AI109" s="177">
        <f t="shared" si="70"/>
        <v>0</v>
      </c>
      <c r="AJ109" s="177">
        <f t="shared" si="70"/>
        <v>0</v>
      </c>
      <c r="AK109" s="177">
        <f t="shared" si="70"/>
        <v>0</v>
      </c>
      <c r="AL109" s="177">
        <f t="shared" si="70"/>
        <v>0</v>
      </c>
      <c r="AM109" s="177">
        <f t="shared" si="70"/>
        <v>0</v>
      </c>
      <c r="AN109" s="177">
        <f t="shared" si="70"/>
        <v>0</v>
      </c>
      <c r="AO109" s="177">
        <f t="shared" si="70"/>
        <v>0</v>
      </c>
      <c r="AP109" s="177">
        <f t="shared" si="70"/>
        <v>0</v>
      </c>
      <c r="AQ109" s="177">
        <f t="shared" si="70"/>
        <v>0</v>
      </c>
    </row>
    <row r="110" spans="1:43" x14ac:dyDescent="0.2">
      <c r="A110" s="408" t="s">
        <v>311</v>
      </c>
      <c r="C110" s="667">
        <v>0</v>
      </c>
      <c r="D110" s="667">
        <v>0</v>
      </c>
      <c r="E110" s="667">
        <v>0</v>
      </c>
      <c r="F110" s="667">
        <v>0</v>
      </c>
      <c r="G110" s="667">
        <v>0</v>
      </c>
      <c r="H110" s="667">
        <v>0</v>
      </c>
      <c r="I110" s="667">
        <v>0</v>
      </c>
      <c r="J110" s="667">
        <v>0</v>
      </c>
      <c r="K110" s="667">
        <v>0</v>
      </c>
      <c r="L110" s="667">
        <v>0</v>
      </c>
      <c r="M110" s="667">
        <v>0</v>
      </c>
      <c r="N110" s="667">
        <v>0</v>
      </c>
      <c r="O110" s="180">
        <f>SUM(C110:N110)</f>
        <v>0</v>
      </c>
      <c r="P110" s="263">
        <f>SUM(C110:D110)</f>
        <v>0</v>
      </c>
      <c r="Q110" s="180">
        <f>O110-P110</f>
        <v>0</v>
      </c>
      <c r="R110" s="567"/>
      <c r="S110" s="170"/>
      <c r="T110" s="601" t="str">
        <f>A110</f>
        <v xml:space="preserve">   Other Revenue</v>
      </c>
      <c r="U110" s="807"/>
      <c r="V110" s="586">
        <f>C110+D110+E110</f>
        <v>0</v>
      </c>
      <c r="W110" s="586">
        <f>F110+G110+H110</f>
        <v>0</v>
      </c>
      <c r="X110" s="586">
        <f>I110+J110+K110</f>
        <v>0</v>
      </c>
      <c r="Y110" s="586">
        <f>L110+M110+N110</f>
        <v>0</v>
      </c>
      <c r="Z110" s="586"/>
      <c r="AA110" s="586">
        <f>SUM(V110:Y110)</f>
        <v>0</v>
      </c>
      <c r="AB110" s="170"/>
      <c r="AC110" s="170"/>
      <c r="AD110" s="165" t="str">
        <f>A110</f>
        <v xml:space="preserve">   Other Revenue</v>
      </c>
      <c r="AF110" s="180">
        <f>C110</f>
        <v>0</v>
      </c>
      <c r="AG110" s="180">
        <f t="shared" si="70"/>
        <v>0</v>
      </c>
      <c r="AH110" s="180">
        <f t="shared" si="70"/>
        <v>0</v>
      </c>
      <c r="AI110" s="180">
        <f t="shared" si="70"/>
        <v>0</v>
      </c>
      <c r="AJ110" s="180">
        <f t="shared" si="70"/>
        <v>0</v>
      </c>
      <c r="AK110" s="180">
        <f t="shared" si="70"/>
        <v>0</v>
      </c>
      <c r="AL110" s="180">
        <f t="shared" si="70"/>
        <v>0</v>
      </c>
      <c r="AM110" s="180">
        <f t="shared" si="70"/>
        <v>0</v>
      </c>
      <c r="AN110" s="180">
        <f t="shared" si="70"/>
        <v>0</v>
      </c>
      <c r="AO110" s="180">
        <f t="shared" si="70"/>
        <v>0</v>
      </c>
      <c r="AP110" s="180">
        <f t="shared" si="70"/>
        <v>0</v>
      </c>
      <c r="AQ110" s="180">
        <f t="shared" si="70"/>
        <v>0</v>
      </c>
    </row>
    <row r="111" spans="1:43" ht="3.95" customHeight="1" x14ac:dyDescent="0.2">
      <c r="A111" s="170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8"/>
      <c r="S111" s="170"/>
      <c r="T111" s="601"/>
      <c r="U111" s="807"/>
      <c r="V111" s="584"/>
      <c r="W111" s="584"/>
      <c r="X111" s="584"/>
      <c r="Y111" s="584"/>
      <c r="Z111" s="584"/>
      <c r="AA111" s="584"/>
      <c r="AB111" s="170"/>
      <c r="AC111" s="170"/>
      <c r="AD111" s="170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</row>
    <row r="112" spans="1:43" x14ac:dyDescent="0.2">
      <c r="A112" s="407" t="s">
        <v>312</v>
      </c>
      <c r="B112" s="804"/>
      <c r="C112" s="181">
        <f>C107+C109+C110</f>
        <v>0</v>
      </c>
      <c r="D112" s="181">
        <f t="shared" ref="D112:Q112" si="71">D107+D109+D110</f>
        <v>0</v>
      </c>
      <c r="E112" s="181">
        <f t="shared" si="71"/>
        <v>0</v>
      </c>
      <c r="F112" s="181">
        <f t="shared" si="71"/>
        <v>0</v>
      </c>
      <c r="G112" s="181">
        <f t="shared" si="71"/>
        <v>0</v>
      </c>
      <c r="H112" s="181">
        <f t="shared" si="71"/>
        <v>0</v>
      </c>
      <c r="I112" s="181">
        <f t="shared" si="71"/>
        <v>0</v>
      </c>
      <c r="J112" s="181">
        <f t="shared" si="71"/>
        <v>0</v>
      </c>
      <c r="K112" s="181">
        <f t="shared" si="71"/>
        <v>0</v>
      </c>
      <c r="L112" s="181">
        <f t="shared" si="71"/>
        <v>0</v>
      </c>
      <c r="M112" s="181">
        <f t="shared" si="71"/>
        <v>0</v>
      </c>
      <c r="N112" s="181">
        <f t="shared" si="71"/>
        <v>0</v>
      </c>
      <c r="O112" s="181">
        <f t="shared" si="71"/>
        <v>0</v>
      </c>
      <c r="P112" s="181">
        <f t="shared" si="71"/>
        <v>0</v>
      </c>
      <c r="Q112" s="181">
        <f t="shared" si="71"/>
        <v>0</v>
      </c>
      <c r="R112" s="181"/>
      <c r="S112" s="168"/>
      <c r="T112" s="600" t="str">
        <f>A112</f>
        <v xml:space="preserve">      Net Operating Income</v>
      </c>
      <c r="U112" s="595"/>
      <c r="V112" s="603">
        <f>SUM(V107:V110)</f>
        <v>0</v>
      </c>
      <c r="W112" s="603">
        <f>SUM(W107:W110)</f>
        <v>0</v>
      </c>
      <c r="X112" s="603">
        <f>SUM(X107:X110)</f>
        <v>0</v>
      </c>
      <c r="Y112" s="603">
        <f>SUM(Y107:Y110)</f>
        <v>0</v>
      </c>
      <c r="Z112" s="603"/>
      <c r="AA112" s="603">
        <f>SUM(AA107:AA110)</f>
        <v>0</v>
      </c>
      <c r="AB112" s="168"/>
      <c r="AC112" s="168"/>
      <c r="AD112" s="166" t="str">
        <f>A112</f>
        <v xml:space="preserve">      Net Operating Income</v>
      </c>
      <c r="AF112" s="181">
        <f>C112</f>
        <v>0</v>
      </c>
      <c r="AG112" s="181">
        <f t="shared" ref="AG112:AQ112" si="72">D112+AF112</f>
        <v>0</v>
      </c>
      <c r="AH112" s="181">
        <f t="shared" si="72"/>
        <v>0</v>
      </c>
      <c r="AI112" s="181">
        <f t="shared" si="72"/>
        <v>0</v>
      </c>
      <c r="AJ112" s="181">
        <f t="shared" si="72"/>
        <v>0</v>
      </c>
      <c r="AK112" s="181">
        <f t="shared" si="72"/>
        <v>0</v>
      </c>
      <c r="AL112" s="181">
        <f t="shared" si="72"/>
        <v>0</v>
      </c>
      <c r="AM112" s="181">
        <f t="shared" si="72"/>
        <v>0</v>
      </c>
      <c r="AN112" s="181">
        <f t="shared" si="72"/>
        <v>0</v>
      </c>
      <c r="AO112" s="181">
        <f t="shared" si="72"/>
        <v>0</v>
      </c>
      <c r="AP112" s="181">
        <f t="shared" si="72"/>
        <v>0</v>
      </c>
      <c r="AQ112" s="181">
        <f t="shared" si="72"/>
        <v>0</v>
      </c>
    </row>
    <row r="113" spans="1:43" x14ac:dyDescent="0.2">
      <c r="A113" s="170"/>
      <c r="C113" s="177"/>
      <c r="D113" s="177"/>
      <c r="E113" s="177"/>
      <c r="F113" s="184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8"/>
      <c r="S113" s="170"/>
      <c r="T113" s="601"/>
      <c r="U113" s="807"/>
      <c r="V113" s="584"/>
      <c r="W113" s="584"/>
      <c r="X113" s="584"/>
      <c r="Y113" s="584"/>
      <c r="Z113" s="584"/>
      <c r="AA113" s="584"/>
      <c r="AB113" s="170"/>
      <c r="AC113" s="170"/>
      <c r="AD113" s="170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</row>
    <row r="114" spans="1:43" x14ac:dyDescent="0.2">
      <c r="A114" s="407" t="s">
        <v>313</v>
      </c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7"/>
      <c r="R114" s="178"/>
      <c r="S114" s="170"/>
      <c r="T114" s="600" t="str">
        <f t="shared" ref="T114:T120" si="73">A114</f>
        <v>OPERATING EXPENSES</v>
      </c>
      <c r="U114" s="807"/>
      <c r="V114" s="584"/>
      <c r="W114" s="584"/>
      <c r="X114" s="584"/>
      <c r="Y114" s="584"/>
      <c r="Z114" s="584"/>
      <c r="AA114" s="584"/>
      <c r="AB114" s="170"/>
      <c r="AC114" s="170"/>
      <c r="AD114" s="166" t="str">
        <f t="shared" ref="AD114:AD120" si="74">A114</f>
        <v>OPERATING EXPENSES</v>
      </c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</row>
    <row r="115" spans="1:43" x14ac:dyDescent="0.2">
      <c r="A115" s="408" t="s">
        <v>314</v>
      </c>
      <c r="C115" s="666">
        <v>0</v>
      </c>
      <c r="D115" s="666">
        <v>0</v>
      </c>
      <c r="E115" s="666">
        <v>0</v>
      </c>
      <c r="F115" s="666">
        <v>0</v>
      </c>
      <c r="G115" s="666">
        <v>0</v>
      </c>
      <c r="H115" s="666">
        <v>0</v>
      </c>
      <c r="I115" s="666">
        <v>0</v>
      </c>
      <c r="J115" s="666">
        <v>0</v>
      </c>
      <c r="K115" s="666">
        <v>0</v>
      </c>
      <c r="L115" s="666">
        <v>0</v>
      </c>
      <c r="M115" s="666">
        <v>0</v>
      </c>
      <c r="N115" s="666">
        <v>0</v>
      </c>
      <c r="O115" s="177">
        <f t="shared" ref="O115:O120" si="75">SUM(C115:N115)</f>
        <v>0</v>
      </c>
      <c r="P115" s="178">
        <f t="shared" ref="P115:P120" si="76">SUM(C115:D115)</f>
        <v>0</v>
      </c>
      <c r="Q115" s="177">
        <f t="shared" ref="Q115:Q120" si="77">O115-P115</f>
        <v>0</v>
      </c>
      <c r="R115" s="566"/>
      <c r="S115" s="170"/>
      <c r="T115" s="601" t="str">
        <f t="shared" si="73"/>
        <v xml:space="preserve">   Operations and Maintenance</v>
      </c>
      <c r="U115" s="807"/>
      <c r="V115" s="584">
        <f t="shared" ref="V115:V120" si="78">C115+D115+E115</f>
        <v>0</v>
      </c>
      <c r="W115" s="584">
        <f t="shared" ref="W115:W120" si="79">F115+G115+H115</f>
        <v>0</v>
      </c>
      <c r="X115" s="584">
        <f t="shared" ref="X115:X120" si="80">I115+J115+K115</f>
        <v>0</v>
      </c>
      <c r="Y115" s="584">
        <f t="shared" ref="Y115:Y120" si="81">L115+M115+N115</f>
        <v>0</v>
      </c>
      <c r="Z115" s="584"/>
      <c r="AA115" s="584">
        <f t="shared" ref="AA115:AA120" si="82">SUM(V115:Y115)</f>
        <v>0</v>
      </c>
      <c r="AB115" s="170"/>
      <c r="AD115" s="165" t="str">
        <f t="shared" si="74"/>
        <v xml:space="preserve">   Operations and Maintenance</v>
      </c>
      <c r="AF115" s="177">
        <f t="shared" ref="AF115:AF120" si="83">C115</f>
        <v>0</v>
      </c>
      <c r="AG115" s="177">
        <f t="shared" ref="AG115:AG120" si="84">D115+AF115</f>
        <v>0</v>
      </c>
      <c r="AH115" s="177">
        <f t="shared" ref="AH115:AH120" si="85">E115+AG115</f>
        <v>0</v>
      </c>
      <c r="AI115" s="177">
        <f t="shared" ref="AI115:AI120" si="86">F115+AH115</f>
        <v>0</v>
      </c>
      <c r="AJ115" s="177">
        <f t="shared" ref="AJ115:AJ120" si="87">G115+AI115</f>
        <v>0</v>
      </c>
      <c r="AK115" s="177">
        <f t="shared" ref="AK115:AK120" si="88">H115+AJ115</f>
        <v>0</v>
      </c>
      <c r="AL115" s="177">
        <f t="shared" ref="AL115:AL120" si="89">I115+AK115</f>
        <v>0</v>
      </c>
      <c r="AM115" s="177">
        <f t="shared" ref="AM115:AM120" si="90">J115+AL115</f>
        <v>0</v>
      </c>
      <c r="AN115" s="177">
        <f t="shared" ref="AN115:AN120" si="91">K115+AM115</f>
        <v>0</v>
      </c>
      <c r="AO115" s="177">
        <f t="shared" ref="AO115:AO120" si="92">L115+AN115</f>
        <v>0</v>
      </c>
      <c r="AP115" s="177">
        <f t="shared" ref="AP115:AP120" si="93">M115+AO115</f>
        <v>0</v>
      </c>
      <c r="AQ115" s="177">
        <f t="shared" ref="AQ115:AQ120" si="94">N115+AP115</f>
        <v>0</v>
      </c>
    </row>
    <row r="116" spans="1:43" x14ac:dyDescent="0.2">
      <c r="A116" s="408" t="s">
        <v>315</v>
      </c>
      <c r="C116" s="666">
        <v>0</v>
      </c>
      <c r="D116" s="666">
        <v>0</v>
      </c>
      <c r="E116" s="666">
        <v>0</v>
      </c>
      <c r="F116" s="666">
        <v>0</v>
      </c>
      <c r="G116" s="666">
        <v>0</v>
      </c>
      <c r="H116" s="666">
        <v>0</v>
      </c>
      <c r="I116" s="666">
        <v>0</v>
      </c>
      <c r="J116" s="666">
        <v>0</v>
      </c>
      <c r="K116" s="666">
        <v>0</v>
      </c>
      <c r="L116" s="666">
        <v>0</v>
      </c>
      <c r="M116" s="666">
        <v>0</v>
      </c>
      <c r="N116" s="666">
        <v>0</v>
      </c>
      <c r="O116" s="177">
        <f t="shared" si="75"/>
        <v>0</v>
      </c>
      <c r="P116" s="178">
        <f t="shared" si="76"/>
        <v>0</v>
      </c>
      <c r="Q116" s="177">
        <f t="shared" si="77"/>
        <v>0</v>
      </c>
      <c r="R116" s="566"/>
      <c r="S116" s="170"/>
      <c r="T116" s="601" t="str">
        <f t="shared" si="73"/>
        <v xml:space="preserve">   Regulatory Amortization</v>
      </c>
      <c r="U116" s="807"/>
      <c r="V116" s="584">
        <f t="shared" si="78"/>
        <v>0</v>
      </c>
      <c r="W116" s="584">
        <f t="shared" si="79"/>
        <v>0</v>
      </c>
      <c r="X116" s="584">
        <f t="shared" si="80"/>
        <v>0</v>
      </c>
      <c r="Y116" s="584">
        <f t="shared" si="81"/>
        <v>0</v>
      </c>
      <c r="Z116" s="584"/>
      <c r="AA116" s="584">
        <f t="shared" si="82"/>
        <v>0</v>
      </c>
      <c r="AB116" s="170"/>
      <c r="AC116" s="170"/>
      <c r="AD116" s="165" t="str">
        <f t="shared" si="74"/>
        <v xml:space="preserve">   Regulatory Amortization</v>
      </c>
      <c r="AF116" s="177">
        <f t="shared" si="83"/>
        <v>0</v>
      </c>
      <c r="AG116" s="177">
        <f t="shared" si="84"/>
        <v>0</v>
      </c>
      <c r="AH116" s="177">
        <f t="shared" si="85"/>
        <v>0</v>
      </c>
      <c r="AI116" s="177">
        <f t="shared" si="86"/>
        <v>0</v>
      </c>
      <c r="AJ116" s="177">
        <f t="shared" si="87"/>
        <v>0</v>
      </c>
      <c r="AK116" s="177">
        <f t="shared" si="88"/>
        <v>0</v>
      </c>
      <c r="AL116" s="177">
        <f t="shared" si="89"/>
        <v>0</v>
      </c>
      <c r="AM116" s="177">
        <f t="shared" si="90"/>
        <v>0</v>
      </c>
      <c r="AN116" s="177">
        <f t="shared" si="91"/>
        <v>0</v>
      </c>
      <c r="AO116" s="177">
        <f t="shared" si="92"/>
        <v>0</v>
      </c>
      <c r="AP116" s="177">
        <f t="shared" si="93"/>
        <v>0</v>
      </c>
      <c r="AQ116" s="177">
        <f t="shared" si="94"/>
        <v>0</v>
      </c>
    </row>
    <row r="117" spans="1:43" x14ac:dyDescent="0.2">
      <c r="A117" s="410" t="s">
        <v>316</v>
      </c>
      <c r="C117" s="666">
        <v>0</v>
      </c>
      <c r="D117" s="666">
        <v>0</v>
      </c>
      <c r="E117" s="666">
        <v>0</v>
      </c>
      <c r="F117" s="666">
        <v>0</v>
      </c>
      <c r="G117" s="666">
        <v>0</v>
      </c>
      <c r="H117" s="666">
        <v>0</v>
      </c>
      <c r="I117" s="666">
        <v>0</v>
      </c>
      <c r="J117" s="666">
        <v>0</v>
      </c>
      <c r="K117" s="666">
        <v>0</v>
      </c>
      <c r="L117" s="666">
        <v>0</v>
      </c>
      <c r="M117" s="666">
        <v>0</v>
      </c>
      <c r="N117" s="666">
        <v>0</v>
      </c>
      <c r="O117" s="177">
        <f t="shared" si="75"/>
        <v>0</v>
      </c>
      <c r="P117" s="178">
        <f t="shared" si="76"/>
        <v>0</v>
      </c>
      <c r="Q117" s="177">
        <f t="shared" si="77"/>
        <v>0</v>
      </c>
      <c r="R117" s="566"/>
      <c r="S117" s="170"/>
      <c r="T117" s="601" t="str">
        <f t="shared" si="73"/>
        <v xml:space="preserve">   Fuel Used in Operations</v>
      </c>
      <c r="U117" s="807"/>
      <c r="V117" s="584">
        <f t="shared" si="78"/>
        <v>0</v>
      </c>
      <c r="W117" s="584">
        <f t="shared" si="79"/>
        <v>0</v>
      </c>
      <c r="X117" s="584">
        <f t="shared" si="80"/>
        <v>0</v>
      </c>
      <c r="Y117" s="584">
        <f t="shared" si="81"/>
        <v>0</v>
      </c>
      <c r="Z117" s="584"/>
      <c r="AA117" s="584">
        <f t="shared" si="82"/>
        <v>0</v>
      </c>
      <c r="AB117" s="170"/>
      <c r="AC117" s="170"/>
      <c r="AD117" s="165" t="str">
        <f t="shared" si="74"/>
        <v xml:space="preserve">   Fuel Used in Operations</v>
      </c>
      <c r="AF117" s="177">
        <f t="shared" si="83"/>
        <v>0</v>
      </c>
      <c r="AG117" s="177">
        <f t="shared" si="84"/>
        <v>0</v>
      </c>
      <c r="AH117" s="177">
        <f t="shared" si="85"/>
        <v>0</v>
      </c>
      <c r="AI117" s="177">
        <f t="shared" si="86"/>
        <v>0</v>
      </c>
      <c r="AJ117" s="177">
        <f t="shared" si="87"/>
        <v>0</v>
      </c>
      <c r="AK117" s="177">
        <f t="shared" si="88"/>
        <v>0</v>
      </c>
      <c r="AL117" s="177">
        <f t="shared" si="89"/>
        <v>0</v>
      </c>
      <c r="AM117" s="177">
        <f t="shared" si="90"/>
        <v>0</v>
      </c>
      <c r="AN117" s="177">
        <f t="shared" si="91"/>
        <v>0</v>
      </c>
      <c r="AO117" s="177">
        <f t="shared" si="92"/>
        <v>0</v>
      </c>
      <c r="AP117" s="177">
        <f t="shared" si="93"/>
        <v>0</v>
      </c>
      <c r="AQ117" s="177">
        <f t="shared" si="94"/>
        <v>0</v>
      </c>
    </row>
    <row r="118" spans="1:43" x14ac:dyDescent="0.2">
      <c r="A118" s="411" t="s">
        <v>317</v>
      </c>
      <c r="B118" s="805"/>
      <c r="C118" s="666">
        <v>0</v>
      </c>
      <c r="D118" s="666">
        <v>0</v>
      </c>
      <c r="E118" s="666">
        <v>0</v>
      </c>
      <c r="F118" s="666">
        <v>0</v>
      </c>
      <c r="G118" s="666">
        <v>0</v>
      </c>
      <c r="H118" s="666">
        <v>0</v>
      </c>
      <c r="I118" s="666">
        <v>0</v>
      </c>
      <c r="J118" s="666">
        <v>0</v>
      </c>
      <c r="K118" s="666">
        <v>0</v>
      </c>
      <c r="L118" s="666">
        <v>0</v>
      </c>
      <c r="M118" s="666">
        <v>0</v>
      </c>
      <c r="N118" s="666">
        <v>0</v>
      </c>
      <c r="O118" s="177">
        <f t="shared" si="75"/>
        <v>0</v>
      </c>
      <c r="P118" s="178">
        <f t="shared" si="76"/>
        <v>0</v>
      </c>
      <c r="Q118" s="177">
        <f t="shared" si="77"/>
        <v>0</v>
      </c>
      <c r="R118" s="566"/>
      <c r="S118" s="170"/>
      <c r="T118" s="601" t="str">
        <f t="shared" si="73"/>
        <v xml:space="preserve">   Transmission, Compression &amp; Storage</v>
      </c>
      <c r="U118" s="810"/>
      <c r="V118" s="584">
        <f t="shared" si="78"/>
        <v>0</v>
      </c>
      <c r="W118" s="584">
        <f t="shared" si="79"/>
        <v>0</v>
      </c>
      <c r="X118" s="584">
        <f t="shared" si="80"/>
        <v>0</v>
      </c>
      <c r="Y118" s="584">
        <f t="shared" si="81"/>
        <v>0</v>
      </c>
      <c r="Z118" s="584"/>
      <c r="AA118" s="584">
        <f t="shared" si="82"/>
        <v>0</v>
      </c>
      <c r="AB118" s="170"/>
      <c r="AC118" s="170"/>
      <c r="AD118" s="165" t="str">
        <f t="shared" si="74"/>
        <v xml:space="preserve">   Transmission, Compression &amp; Storage</v>
      </c>
      <c r="AF118" s="177">
        <f t="shared" si="83"/>
        <v>0</v>
      </c>
      <c r="AG118" s="177">
        <f t="shared" si="84"/>
        <v>0</v>
      </c>
      <c r="AH118" s="177">
        <f t="shared" si="85"/>
        <v>0</v>
      </c>
      <c r="AI118" s="177">
        <f t="shared" si="86"/>
        <v>0</v>
      </c>
      <c r="AJ118" s="177">
        <f t="shared" si="87"/>
        <v>0</v>
      </c>
      <c r="AK118" s="177">
        <f t="shared" si="88"/>
        <v>0</v>
      </c>
      <c r="AL118" s="177">
        <f t="shared" si="89"/>
        <v>0</v>
      </c>
      <c r="AM118" s="177">
        <f t="shared" si="90"/>
        <v>0</v>
      </c>
      <c r="AN118" s="177">
        <f t="shared" si="91"/>
        <v>0</v>
      </c>
      <c r="AO118" s="177">
        <f t="shared" si="92"/>
        <v>0</v>
      </c>
      <c r="AP118" s="177">
        <f t="shared" si="93"/>
        <v>0</v>
      </c>
      <c r="AQ118" s="177">
        <f t="shared" si="94"/>
        <v>0</v>
      </c>
    </row>
    <row r="119" spans="1:43" x14ac:dyDescent="0.2">
      <c r="A119" s="408" t="s">
        <v>318</v>
      </c>
      <c r="C119" s="177">
        <f>'Fuel-Depr-OtherTax'!C24</f>
        <v>500</v>
      </c>
      <c r="D119" s="177">
        <f>'Fuel-Depr-OtherTax'!D24</f>
        <v>500</v>
      </c>
      <c r="E119" s="177">
        <f>'Fuel-Depr-OtherTax'!E24</f>
        <v>500</v>
      </c>
      <c r="F119" s="177">
        <f>'Fuel-Depr-OtherTax'!F24</f>
        <v>500</v>
      </c>
      <c r="G119" s="177">
        <f>'Fuel-Depr-OtherTax'!G24</f>
        <v>500</v>
      </c>
      <c r="H119" s="177">
        <f>'Fuel-Depr-OtherTax'!H24</f>
        <v>500</v>
      </c>
      <c r="I119" s="177">
        <f>'Fuel-Depr-OtherTax'!I24</f>
        <v>500</v>
      </c>
      <c r="J119" s="177">
        <f>'Fuel-Depr-OtherTax'!J24</f>
        <v>500</v>
      </c>
      <c r="K119" s="177">
        <f>'Fuel-Depr-OtherTax'!K24</f>
        <v>500</v>
      </c>
      <c r="L119" s="177">
        <f>'Fuel-Depr-OtherTax'!L24</f>
        <v>500</v>
      </c>
      <c r="M119" s="177">
        <f>'Fuel-Depr-OtherTax'!M24</f>
        <v>500</v>
      </c>
      <c r="N119" s="177">
        <f>'Fuel-Depr-OtherTax'!N24</f>
        <v>500</v>
      </c>
      <c r="O119" s="177">
        <f t="shared" si="75"/>
        <v>6000</v>
      </c>
      <c r="P119" s="178">
        <f t="shared" si="76"/>
        <v>1000</v>
      </c>
      <c r="Q119" s="177">
        <f t="shared" si="77"/>
        <v>5000</v>
      </c>
      <c r="R119" s="566"/>
      <c r="S119" s="170"/>
      <c r="T119" s="601" t="str">
        <f t="shared" si="73"/>
        <v xml:space="preserve">   Depreciation &amp; Amortization</v>
      </c>
      <c r="U119" s="807"/>
      <c r="V119" s="584">
        <f t="shared" si="78"/>
        <v>1500</v>
      </c>
      <c r="W119" s="584">
        <f t="shared" si="79"/>
        <v>1500</v>
      </c>
      <c r="X119" s="584">
        <f t="shared" si="80"/>
        <v>1500</v>
      </c>
      <c r="Y119" s="584">
        <f t="shared" si="81"/>
        <v>1500</v>
      </c>
      <c r="Z119" s="584"/>
      <c r="AA119" s="584">
        <f t="shared" si="82"/>
        <v>6000</v>
      </c>
      <c r="AB119" s="170"/>
      <c r="AC119" s="170"/>
      <c r="AD119" s="165" t="str">
        <f t="shared" si="74"/>
        <v xml:space="preserve">   Depreciation &amp; Amortization</v>
      </c>
      <c r="AE119" s="805"/>
      <c r="AF119" s="177">
        <f t="shared" si="83"/>
        <v>500</v>
      </c>
      <c r="AG119" s="177">
        <f t="shared" si="84"/>
        <v>1000</v>
      </c>
      <c r="AH119" s="177">
        <f t="shared" si="85"/>
        <v>1500</v>
      </c>
      <c r="AI119" s="177">
        <f t="shared" si="86"/>
        <v>2000</v>
      </c>
      <c r="AJ119" s="177">
        <f t="shared" si="87"/>
        <v>2500</v>
      </c>
      <c r="AK119" s="177">
        <f t="shared" si="88"/>
        <v>3000</v>
      </c>
      <c r="AL119" s="177">
        <f t="shared" si="89"/>
        <v>3500</v>
      </c>
      <c r="AM119" s="177">
        <f t="shared" si="90"/>
        <v>4000</v>
      </c>
      <c r="AN119" s="177">
        <f t="shared" si="91"/>
        <v>4500</v>
      </c>
      <c r="AO119" s="177">
        <f t="shared" si="92"/>
        <v>5000</v>
      </c>
      <c r="AP119" s="177">
        <f t="shared" si="93"/>
        <v>5500</v>
      </c>
      <c r="AQ119" s="177">
        <f t="shared" si="94"/>
        <v>6000</v>
      </c>
    </row>
    <row r="120" spans="1:43" x14ac:dyDescent="0.2">
      <c r="A120" s="408" t="s">
        <v>319</v>
      </c>
      <c r="C120" s="667">
        <v>0</v>
      </c>
      <c r="D120" s="667">
        <v>0</v>
      </c>
      <c r="E120" s="667">
        <v>0</v>
      </c>
      <c r="F120" s="667">
        <v>0</v>
      </c>
      <c r="G120" s="667">
        <v>0</v>
      </c>
      <c r="H120" s="667">
        <v>0</v>
      </c>
      <c r="I120" s="667">
        <v>0</v>
      </c>
      <c r="J120" s="667">
        <v>0</v>
      </c>
      <c r="K120" s="667">
        <v>0</v>
      </c>
      <c r="L120" s="667">
        <v>0</v>
      </c>
      <c r="M120" s="667">
        <v>0</v>
      </c>
      <c r="N120" s="667">
        <v>0</v>
      </c>
      <c r="O120" s="180">
        <f t="shared" si="75"/>
        <v>0</v>
      </c>
      <c r="P120" s="263">
        <f t="shared" si="76"/>
        <v>0</v>
      </c>
      <c r="Q120" s="180">
        <f t="shared" si="77"/>
        <v>0</v>
      </c>
      <c r="R120" s="567"/>
      <c r="S120" s="170"/>
      <c r="T120" s="601" t="str">
        <f t="shared" si="73"/>
        <v xml:space="preserve">   Taxes Other Than Income</v>
      </c>
      <c r="U120" s="807"/>
      <c r="V120" s="586">
        <f t="shared" si="78"/>
        <v>0</v>
      </c>
      <c r="W120" s="586">
        <f t="shared" si="79"/>
        <v>0</v>
      </c>
      <c r="X120" s="586">
        <f t="shared" si="80"/>
        <v>0</v>
      </c>
      <c r="Y120" s="586">
        <f t="shared" si="81"/>
        <v>0</v>
      </c>
      <c r="Z120" s="586"/>
      <c r="AA120" s="586">
        <f t="shared" si="82"/>
        <v>0</v>
      </c>
      <c r="AB120" s="170"/>
      <c r="AC120" s="170"/>
      <c r="AD120" s="165" t="str">
        <f t="shared" si="74"/>
        <v xml:space="preserve">   Taxes Other Than Income</v>
      </c>
      <c r="AF120" s="180">
        <f t="shared" si="83"/>
        <v>0</v>
      </c>
      <c r="AG120" s="180">
        <f t="shared" si="84"/>
        <v>0</v>
      </c>
      <c r="AH120" s="180">
        <f t="shared" si="85"/>
        <v>0</v>
      </c>
      <c r="AI120" s="180">
        <f t="shared" si="86"/>
        <v>0</v>
      </c>
      <c r="AJ120" s="180">
        <f t="shared" si="87"/>
        <v>0</v>
      </c>
      <c r="AK120" s="180">
        <f t="shared" si="88"/>
        <v>0</v>
      </c>
      <c r="AL120" s="180">
        <f t="shared" si="89"/>
        <v>0</v>
      </c>
      <c r="AM120" s="180">
        <f t="shared" si="90"/>
        <v>0</v>
      </c>
      <c r="AN120" s="180">
        <f t="shared" si="91"/>
        <v>0</v>
      </c>
      <c r="AO120" s="180">
        <f t="shared" si="92"/>
        <v>0</v>
      </c>
      <c r="AP120" s="180">
        <f t="shared" si="93"/>
        <v>0</v>
      </c>
      <c r="AQ120" s="180">
        <f t="shared" si="94"/>
        <v>0</v>
      </c>
    </row>
    <row r="121" spans="1:43" ht="3.95" customHeight="1" x14ac:dyDescent="0.2">
      <c r="A121" s="170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8"/>
      <c r="S121" s="170"/>
      <c r="T121" s="601"/>
      <c r="U121" s="807"/>
      <c r="V121" s="584"/>
      <c r="W121" s="584"/>
      <c r="X121" s="584"/>
      <c r="Y121" s="584"/>
      <c r="Z121" s="584"/>
      <c r="AA121" s="584"/>
      <c r="AB121" s="170"/>
      <c r="AC121" s="170"/>
      <c r="AD121" s="170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</row>
    <row r="122" spans="1:43" x14ac:dyDescent="0.2">
      <c r="A122" s="407" t="s">
        <v>320</v>
      </c>
      <c r="B122" s="804"/>
      <c r="C122" s="181">
        <f t="shared" ref="C122:Q122" si="95">SUM(C115:C120)</f>
        <v>500</v>
      </c>
      <c r="D122" s="181">
        <f t="shared" si="95"/>
        <v>500</v>
      </c>
      <c r="E122" s="181">
        <f t="shared" si="95"/>
        <v>500</v>
      </c>
      <c r="F122" s="181">
        <f t="shared" si="95"/>
        <v>500</v>
      </c>
      <c r="G122" s="181">
        <f t="shared" si="95"/>
        <v>500</v>
      </c>
      <c r="H122" s="181">
        <f t="shared" si="95"/>
        <v>500</v>
      </c>
      <c r="I122" s="181">
        <f t="shared" si="95"/>
        <v>500</v>
      </c>
      <c r="J122" s="181">
        <f t="shared" si="95"/>
        <v>500</v>
      </c>
      <c r="K122" s="181">
        <f t="shared" si="95"/>
        <v>500</v>
      </c>
      <c r="L122" s="181">
        <f t="shared" si="95"/>
        <v>500</v>
      </c>
      <c r="M122" s="181">
        <f t="shared" si="95"/>
        <v>500</v>
      </c>
      <c r="N122" s="181">
        <f t="shared" si="95"/>
        <v>500</v>
      </c>
      <c r="O122" s="181">
        <f t="shared" si="95"/>
        <v>6000</v>
      </c>
      <c r="P122" s="181">
        <f t="shared" si="95"/>
        <v>1000</v>
      </c>
      <c r="Q122" s="181">
        <f t="shared" si="95"/>
        <v>5000</v>
      </c>
      <c r="R122" s="543"/>
      <c r="S122" s="168"/>
      <c r="T122" s="600" t="str">
        <f>A122</f>
        <v xml:space="preserve">     Total Operating Expenses</v>
      </c>
      <c r="U122" s="595"/>
      <c r="V122" s="603">
        <f>SUM(V115:V120)</f>
        <v>1500</v>
      </c>
      <c r="W122" s="603">
        <f>SUM(W115:W120)</f>
        <v>1500</v>
      </c>
      <c r="X122" s="603">
        <f>SUM(X115:X120)</f>
        <v>1500</v>
      </c>
      <c r="Y122" s="603">
        <f>SUM(Y115:Y120)</f>
        <v>1500</v>
      </c>
      <c r="Z122" s="603"/>
      <c r="AA122" s="603">
        <f>SUM(AA115:AA120)</f>
        <v>6000</v>
      </c>
      <c r="AB122" s="168"/>
      <c r="AC122" s="168"/>
      <c r="AD122" s="166" t="str">
        <f>A122</f>
        <v xml:space="preserve">     Total Operating Expenses</v>
      </c>
      <c r="AF122" s="181">
        <f>C122</f>
        <v>500</v>
      </c>
      <c r="AG122" s="181">
        <f t="shared" ref="AG122:AQ122" si="96">D122+AF122</f>
        <v>1000</v>
      </c>
      <c r="AH122" s="181">
        <f t="shared" si="96"/>
        <v>1500</v>
      </c>
      <c r="AI122" s="181">
        <f t="shared" si="96"/>
        <v>2000</v>
      </c>
      <c r="AJ122" s="181">
        <f t="shared" si="96"/>
        <v>2500</v>
      </c>
      <c r="AK122" s="181">
        <f t="shared" si="96"/>
        <v>3000</v>
      </c>
      <c r="AL122" s="181">
        <f t="shared" si="96"/>
        <v>3500</v>
      </c>
      <c r="AM122" s="181">
        <f t="shared" si="96"/>
        <v>4000</v>
      </c>
      <c r="AN122" s="181">
        <f t="shared" si="96"/>
        <v>4500</v>
      </c>
      <c r="AO122" s="181">
        <f t="shared" si="96"/>
        <v>5000</v>
      </c>
      <c r="AP122" s="181">
        <f t="shared" si="96"/>
        <v>5500</v>
      </c>
      <c r="AQ122" s="181">
        <f t="shared" si="96"/>
        <v>6000</v>
      </c>
    </row>
    <row r="123" spans="1:43" x14ac:dyDescent="0.2">
      <c r="A123" s="170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8"/>
      <c r="S123" s="170"/>
      <c r="T123" s="573"/>
      <c r="U123" s="807"/>
      <c r="V123" s="584"/>
      <c r="W123" s="584"/>
      <c r="X123" s="584"/>
      <c r="Y123" s="584"/>
      <c r="Z123" s="584"/>
      <c r="AA123" s="584"/>
      <c r="AB123" s="170"/>
      <c r="AC123" s="170"/>
      <c r="AD123" s="170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</row>
    <row r="124" spans="1:43" x14ac:dyDescent="0.2">
      <c r="A124" s="407" t="s">
        <v>321</v>
      </c>
      <c r="B124" s="803"/>
      <c r="C124" s="181">
        <f t="shared" ref="C124:Q124" si="97">C112-C122</f>
        <v>-500</v>
      </c>
      <c r="D124" s="181">
        <f t="shared" si="97"/>
        <v>-500</v>
      </c>
      <c r="E124" s="181">
        <f t="shared" si="97"/>
        <v>-500</v>
      </c>
      <c r="F124" s="181">
        <f t="shared" si="97"/>
        <v>-500</v>
      </c>
      <c r="G124" s="181">
        <f t="shared" si="97"/>
        <v>-500</v>
      </c>
      <c r="H124" s="181">
        <f t="shared" si="97"/>
        <v>-500</v>
      </c>
      <c r="I124" s="181">
        <f t="shared" si="97"/>
        <v>-500</v>
      </c>
      <c r="J124" s="181">
        <f t="shared" si="97"/>
        <v>-500</v>
      </c>
      <c r="K124" s="181">
        <f t="shared" si="97"/>
        <v>-500</v>
      </c>
      <c r="L124" s="181">
        <f t="shared" si="97"/>
        <v>-500</v>
      </c>
      <c r="M124" s="181">
        <f t="shared" si="97"/>
        <v>-500</v>
      </c>
      <c r="N124" s="181">
        <f t="shared" si="97"/>
        <v>-500</v>
      </c>
      <c r="O124" s="181">
        <f t="shared" si="97"/>
        <v>-6000</v>
      </c>
      <c r="P124" s="181">
        <f t="shared" si="97"/>
        <v>-1000</v>
      </c>
      <c r="Q124" s="181">
        <f t="shared" si="97"/>
        <v>-5000</v>
      </c>
      <c r="R124" s="543"/>
      <c r="S124" s="168"/>
      <c r="T124" s="600" t="str">
        <f>A124</f>
        <v>OPERATING INCOME</v>
      </c>
      <c r="U124" s="595"/>
      <c r="V124" s="603">
        <f>V112-V122</f>
        <v>-1500</v>
      </c>
      <c r="W124" s="603">
        <f>W112-W122</f>
        <v>-1500</v>
      </c>
      <c r="X124" s="603">
        <f>X112-X122</f>
        <v>-1500</v>
      </c>
      <c r="Y124" s="603">
        <f>Y112-Y122</f>
        <v>-1500</v>
      </c>
      <c r="Z124" s="603"/>
      <c r="AA124" s="603">
        <f>AA112-AA122</f>
        <v>-6000</v>
      </c>
      <c r="AB124" s="168"/>
      <c r="AC124" s="168"/>
      <c r="AD124" s="166" t="str">
        <f>A124</f>
        <v>OPERATING INCOME</v>
      </c>
      <c r="AF124" s="181">
        <f>C124</f>
        <v>-500</v>
      </c>
      <c r="AG124" s="181">
        <f t="shared" ref="AG124:AQ124" si="98">D124+AF124</f>
        <v>-1000</v>
      </c>
      <c r="AH124" s="181">
        <f t="shared" si="98"/>
        <v>-1500</v>
      </c>
      <c r="AI124" s="181">
        <f t="shared" si="98"/>
        <v>-2000</v>
      </c>
      <c r="AJ124" s="181">
        <f t="shared" si="98"/>
        <v>-2500</v>
      </c>
      <c r="AK124" s="181">
        <f t="shared" si="98"/>
        <v>-3000</v>
      </c>
      <c r="AL124" s="181">
        <f t="shared" si="98"/>
        <v>-3500</v>
      </c>
      <c r="AM124" s="181">
        <f t="shared" si="98"/>
        <v>-4000</v>
      </c>
      <c r="AN124" s="181">
        <f t="shared" si="98"/>
        <v>-4500</v>
      </c>
      <c r="AO124" s="181">
        <f t="shared" si="98"/>
        <v>-5000</v>
      </c>
      <c r="AP124" s="181">
        <f t="shared" si="98"/>
        <v>-5500</v>
      </c>
      <c r="AQ124" s="181">
        <f t="shared" si="98"/>
        <v>-6000</v>
      </c>
    </row>
    <row r="125" spans="1:43" x14ac:dyDescent="0.2">
      <c r="A125" s="170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8"/>
      <c r="S125" s="170"/>
      <c r="T125" s="573"/>
      <c r="U125" s="807"/>
      <c r="V125" s="584"/>
      <c r="W125" s="584"/>
      <c r="X125" s="584"/>
      <c r="Y125" s="584"/>
      <c r="Z125" s="584"/>
      <c r="AA125" s="584"/>
      <c r="AB125" s="170"/>
      <c r="AC125" s="170"/>
      <c r="AD125" s="170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</row>
    <row r="126" spans="1:43" x14ac:dyDescent="0.2">
      <c r="A126" s="396" t="s">
        <v>322</v>
      </c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8"/>
      <c r="P126" s="178"/>
      <c r="Q126" s="177"/>
      <c r="R126" s="178"/>
      <c r="S126" s="170"/>
      <c r="T126" s="600" t="str">
        <f>A126</f>
        <v>OTHER INCOME</v>
      </c>
      <c r="U126" s="807"/>
      <c r="V126" s="584"/>
      <c r="W126" s="584"/>
      <c r="X126" s="584"/>
      <c r="Y126" s="584"/>
      <c r="Z126" s="584"/>
      <c r="AA126" s="584"/>
      <c r="AB126" s="170"/>
      <c r="AC126" s="170"/>
      <c r="AD126" s="166" t="str">
        <f>A126</f>
        <v>OTHER INCOME</v>
      </c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</row>
    <row r="127" spans="1:43" x14ac:dyDescent="0.2">
      <c r="A127" s="410" t="s">
        <v>323</v>
      </c>
      <c r="C127" s="666">
        <v>0</v>
      </c>
      <c r="D127" s="666">
        <v>0</v>
      </c>
      <c r="E127" s="666">
        <v>0</v>
      </c>
      <c r="F127" s="666">
        <v>0</v>
      </c>
      <c r="G127" s="666">
        <v>0</v>
      </c>
      <c r="H127" s="666">
        <v>0</v>
      </c>
      <c r="I127" s="666">
        <v>0</v>
      </c>
      <c r="J127" s="666">
        <v>0</v>
      </c>
      <c r="K127" s="666">
        <v>0</v>
      </c>
      <c r="L127" s="666">
        <v>0</v>
      </c>
      <c r="M127" s="666">
        <v>0</v>
      </c>
      <c r="N127" s="666">
        <v>0</v>
      </c>
      <c r="O127" s="177">
        <f>SUM(C127:N127)</f>
        <v>0</v>
      </c>
      <c r="P127" s="178">
        <f>SUM(C127:D127)</f>
        <v>0</v>
      </c>
      <c r="Q127" s="177">
        <f>O127-P127</f>
        <v>0</v>
      </c>
      <c r="R127" s="566"/>
      <c r="S127" s="170"/>
      <c r="T127" s="601" t="str">
        <f>A127</f>
        <v xml:space="preserve">   Partnership Income</v>
      </c>
      <c r="U127" s="807"/>
      <c r="V127" s="584">
        <f>C127+D127+E127</f>
        <v>0</v>
      </c>
      <c r="W127" s="584">
        <f>F127+G127+H127</f>
        <v>0</v>
      </c>
      <c r="X127" s="584">
        <f>I127+J127+K127</f>
        <v>0</v>
      </c>
      <c r="Y127" s="584">
        <f>L127+M127+N127</f>
        <v>0</v>
      </c>
      <c r="Z127" s="584"/>
      <c r="AA127" s="584">
        <f>SUM(V127:Y127)</f>
        <v>0</v>
      </c>
      <c r="AB127" s="170"/>
      <c r="AC127" s="170"/>
      <c r="AD127" s="165" t="str">
        <f>A127</f>
        <v xml:space="preserve">   Partnership Income</v>
      </c>
      <c r="AF127" s="177">
        <f>C127</f>
        <v>0</v>
      </c>
      <c r="AG127" s="177">
        <f t="shared" ref="AG127:AQ129" si="99">D127+AF127</f>
        <v>0</v>
      </c>
      <c r="AH127" s="177">
        <f t="shared" si="99"/>
        <v>0</v>
      </c>
      <c r="AI127" s="177">
        <f t="shared" si="99"/>
        <v>0</v>
      </c>
      <c r="AJ127" s="177">
        <f t="shared" si="99"/>
        <v>0</v>
      </c>
      <c r="AK127" s="177">
        <f t="shared" si="99"/>
        <v>0</v>
      </c>
      <c r="AL127" s="177">
        <f t="shared" si="99"/>
        <v>0</v>
      </c>
      <c r="AM127" s="177">
        <f t="shared" si="99"/>
        <v>0</v>
      </c>
      <c r="AN127" s="177">
        <f t="shared" si="99"/>
        <v>0</v>
      </c>
      <c r="AO127" s="177">
        <f t="shared" si="99"/>
        <v>0</v>
      </c>
      <c r="AP127" s="177">
        <f t="shared" si="99"/>
        <v>0</v>
      </c>
      <c r="AQ127" s="177">
        <f t="shared" si="99"/>
        <v>0</v>
      </c>
    </row>
    <row r="128" spans="1:43" x14ac:dyDescent="0.2">
      <c r="A128" s="410" t="s">
        <v>324</v>
      </c>
      <c r="C128" s="666">
        <v>0</v>
      </c>
      <c r="D128" s="666">
        <v>0</v>
      </c>
      <c r="E128" s="666">
        <v>0</v>
      </c>
      <c r="F128" s="666">
        <v>0</v>
      </c>
      <c r="G128" s="666">
        <v>0</v>
      </c>
      <c r="H128" s="666">
        <v>0</v>
      </c>
      <c r="I128" s="666">
        <v>0</v>
      </c>
      <c r="J128" s="666">
        <v>0</v>
      </c>
      <c r="K128" s="666">
        <v>0</v>
      </c>
      <c r="L128" s="666">
        <v>0</v>
      </c>
      <c r="M128" s="666">
        <v>0</v>
      </c>
      <c r="N128" s="666">
        <v>0</v>
      </c>
      <c r="O128" s="177">
        <f>SUM(C128:N128)</f>
        <v>0</v>
      </c>
      <c r="P128" s="178">
        <f>SUM(C128:D128)</f>
        <v>0</v>
      </c>
      <c r="Q128" s="177">
        <f>O128-P128</f>
        <v>0</v>
      </c>
      <c r="R128" s="566"/>
      <c r="T128" s="601" t="str">
        <f>A128</f>
        <v xml:space="preserve">   Interest Income</v>
      </c>
      <c r="U128" s="807"/>
      <c r="V128" s="584">
        <f>C128+D128+E128</f>
        <v>0</v>
      </c>
      <c r="W128" s="584">
        <f>F128+G128+H128</f>
        <v>0</v>
      </c>
      <c r="X128" s="584">
        <f>I128+J128+K128</f>
        <v>0</v>
      </c>
      <c r="Y128" s="584">
        <f>L128+M128+N128</f>
        <v>0</v>
      </c>
      <c r="Z128" s="584"/>
      <c r="AA128" s="584">
        <f>SUM(V128:Y128)</f>
        <v>0</v>
      </c>
      <c r="AD128" s="165" t="str">
        <f>A128</f>
        <v xml:space="preserve">   Interest Income</v>
      </c>
      <c r="AF128" s="177">
        <f>C128</f>
        <v>0</v>
      </c>
      <c r="AG128" s="177">
        <f t="shared" si="99"/>
        <v>0</v>
      </c>
      <c r="AH128" s="177">
        <f t="shared" si="99"/>
        <v>0</v>
      </c>
      <c r="AI128" s="177">
        <f t="shared" si="99"/>
        <v>0</v>
      </c>
      <c r="AJ128" s="177">
        <f t="shared" si="99"/>
        <v>0</v>
      </c>
      <c r="AK128" s="177">
        <f t="shared" si="99"/>
        <v>0</v>
      </c>
      <c r="AL128" s="177">
        <f t="shared" si="99"/>
        <v>0</v>
      </c>
      <c r="AM128" s="177">
        <f t="shared" si="99"/>
        <v>0</v>
      </c>
      <c r="AN128" s="177">
        <f t="shared" si="99"/>
        <v>0</v>
      </c>
      <c r="AO128" s="177">
        <f t="shared" si="99"/>
        <v>0</v>
      </c>
      <c r="AP128" s="177">
        <f t="shared" si="99"/>
        <v>0</v>
      </c>
      <c r="AQ128" s="177">
        <f t="shared" si="99"/>
        <v>0</v>
      </c>
    </row>
    <row r="129" spans="1:43" x14ac:dyDescent="0.2">
      <c r="A129" s="410" t="s">
        <v>325</v>
      </c>
      <c r="C129" s="667">
        <v>0</v>
      </c>
      <c r="D129" s="667">
        <v>0</v>
      </c>
      <c r="E129" s="667">
        <v>0</v>
      </c>
      <c r="F129" s="667">
        <v>0</v>
      </c>
      <c r="G129" s="667">
        <v>0</v>
      </c>
      <c r="H129" s="667">
        <v>0</v>
      </c>
      <c r="I129" s="667">
        <v>0</v>
      </c>
      <c r="J129" s="667">
        <v>0</v>
      </c>
      <c r="K129" s="667">
        <v>0</v>
      </c>
      <c r="L129" s="667">
        <v>0</v>
      </c>
      <c r="M129" s="667">
        <v>0</v>
      </c>
      <c r="N129" s="667">
        <v>0</v>
      </c>
      <c r="O129" s="180">
        <f>SUM(C129:N129)</f>
        <v>0</v>
      </c>
      <c r="P129" s="263">
        <f>SUM(C129:D129)</f>
        <v>0</v>
      </c>
      <c r="Q129" s="180">
        <f>O129-P129</f>
        <v>0</v>
      </c>
      <c r="R129" s="567"/>
      <c r="S129" s="170"/>
      <c r="T129" s="601" t="str">
        <f>A129</f>
        <v xml:space="preserve">   Other Income / (Deductions)</v>
      </c>
      <c r="U129" s="807"/>
      <c r="V129" s="586">
        <f>C129+D129+E129</f>
        <v>0</v>
      </c>
      <c r="W129" s="586">
        <f>F129+G129+H129</f>
        <v>0</v>
      </c>
      <c r="X129" s="586">
        <f>I129+J129+K129</f>
        <v>0</v>
      </c>
      <c r="Y129" s="586">
        <f>L129+M129+N129</f>
        <v>0</v>
      </c>
      <c r="Z129" s="586"/>
      <c r="AA129" s="586">
        <f>SUM(V129:Y129)</f>
        <v>0</v>
      </c>
      <c r="AB129" s="170"/>
      <c r="AC129" s="170"/>
      <c r="AD129" s="165" t="str">
        <f>A129</f>
        <v xml:space="preserve">   Other Income / (Deductions)</v>
      </c>
      <c r="AF129" s="180">
        <f>C129</f>
        <v>0</v>
      </c>
      <c r="AG129" s="180">
        <f t="shared" si="99"/>
        <v>0</v>
      </c>
      <c r="AH129" s="180">
        <f t="shared" si="99"/>
        <v>0</v>
      </c>
      <c r="AI129" s="180">
        <f t="shared" si="99"/>
        <v>0</v>
      </c>
      <c r="AJ129" s="180">
        <f t="shared" si="99"/>
        <v>0</v>
      </c>
      <c r="AK129" s="180">
        <f t="shared" si="99"/>
        <v>0</v>
      </c>
      <c r="AL129" s="180">
        <f t="shared" si="99"/>
        <v>0</v>
      </c>
      <c r="AM129" s="180">
        <f t="shared" si="99"/>
        <v>0</v>
      </c>
      <c r="AN129" s="180">
        <f t="shared" si="99"/>
        <v>0</v>
      </c>
      <c r="AO129" s="180">
        <f t="shared" si="99"/>
        <v>0</v>
      </c>
      <c r="AP129" s="180">
        <f t="shared" si="99"/>
        <v>0</v>
      </c>
      <c r="AQ129" s="180">
        <f t="shared" si="99"/>
        <v>0</v>
      </c>
    </row>
    <row r="130" spans="1:43" ht="3.95" customHeight="1" x14ac:dyDescent="0.2">
      <c r="A130" s="398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8"/>
      <c r="S130" s="170"/>
      <c r="T130" s="569"/>
      <c r="U130" s="807"/>
      <c r="V130" s="584"/>
      <c r="W130" s="584"/>
      <c r="X130" s="584"/>
      <c r="Y130" s="584"/>
      <c r="Z130" s="584"/>
      <c r="AA130" s="584"/>
      <c r="AB130" s="170"/>
      <c r="AC130" s="170"/>
      <c r="AD130" s="183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</row>
    <row r="131" spans="1:43" x14ac:dyDescent="0.2">
      <c r="A131" s="407" t="s">
        <v>326</v>
      </c>
      <c r="B131" s="803"/>
      <c r="C131" s="181">
        <f t="shared" ref="C131:Q131" si="100">SUM(C127:C129)</f>
        <v>0</v>
      </c>
      <c r="D131" s="181">
        <f t="shared" si="100"/>
        <v>0</v>
      </c>
      <c r="E131" s="181">
        <f t="shared" si="100"/>
        <v>0</v>
      </c>
      <c r="F131" s="181">
        <f t="shared" si="100"/>
        <v>0</v>
      </c>
      <c r="G131" s="181">
        <f t="shared" si="100"/>
        <v>0</v>
      </c>
      <c r="H131" s="181">
        <f t="shared" si="100"/>
        <v>0</v>
      </c>
      <c r="I131" s="181">
        <f t="shared" si="100"/>
        <v>0</v>
      </c>
      <c r="J131" s="181">
        <f t="shared" si="100"/>
        <v>0</v>
      </c>
      <c r="K131" s="181">
        <f t="shared" si="100"/>
        <v>0</v>
      </c>
      <c r="L131" s="181">
        <f t="shared" si="100"/>
        <v>0</v>
      </c>
      <c r="M131" s="181">
        <f t="shared" si="100"/>
        <v>0</v>
      </c>
      <c r="N131" s="181">
        <f t="shared" si="100"/>
        <v>0</v>
      </c>
      <c r="O131" s="181">
        <f t="shared" si="100"/>
        <v>0</v>
      </c>
      <c r="P131" s="181">
        <f t="shared" si="100"/>
        <v>0</v>
      </c>
      <c r="Q131" s="181">
        <f t="shared" si="100"/>
        <v>0</v>
      </c>
      <c r="R131" s="543"/>
      <c r="S131" s="168"/>
      <c r="T131" s="600" t="str">
        <f>A131</f>
        <v xml:space="preserve">     Total Other Income &amp; Other Deductions</v>
      </c>
      <c r="U131" s="595"/>
      <c r="V131" s="603">
        <f>V127+V128+V129</f>
        <v>0</v>
      </c>
      <c r="W131" s="603">
        <f>W127+W128+W129</f>
        <v>0</v>
      </c>
      <c r="X131" s="603">
        <f>X127+X128+X129</f>
        <v>0</v>
      </c>
      <c r="Y131" s="603">
        <f>Y127+Y128+Y129</f>
        <v>0</v>
      </c>
      <c r="Z131" s="603"/>
      <c r="AA131" s="603">
        <f>AA127+AA128+AA129</f>
        <v>0</v>
      </c>
      <c r="AB131" s="168"/>
      <c r="AC131" s="168"/>
      <c r="AD131" s="166" t="str">
        <f>A131</f>
        <v xml:space="preserve">     Total Other Income &amp; Other Deductions</v>
      </c>
      <c r="AF131" s="181">
        <f>C131</f>
        <v>0</v>
      </c>
      <c r="AG131" s="181">
        <f t="shared" ref="AG131:AQ131" si="101">D131+AF131</f>
        <v>0</v>
      </c>
      <c r="AH131" s="181">
        <f t="shared" si="101"/>
        <v>0</v>
      </c>
      <c r="AI131" s="181">
        <f t="shared" si="101"/>
        <v>0</v>
      </c>
      <c r="AJ131" s="181">
        <f t="shared" si="101"/>
        <v>0</v>
      </c>
      <c r="AK131" s="181">
        <f t="shared" si="101"/>
        <v>0</v>
      </c>
      <c r="AL131" s="181">
        <f t="shared" si="101"/>
        <v>0</v>
      </c>
      <c r="AM131" s="181">
        <f t="shared" si="101"/>
        <v>0</v>
      </c>
      <c r="AN131" s="181">
        <f t="shared" si="101"/>
        <v>0</v>
      </c>
      <c r="AO131" s="181">
        <f t="shared" si="101"/>
        <v>0</v>
      </c>
      <c r="AP131" s="181">
        <f t="shared" si="101"/>
        <v>0</v>
      </c>
      <c r="AQ131" s="181">
        <f t="shared" si="101"/>
        <v>0</v>
      </c>
    </row>
    <row r="132" spans="1:43" x14ac:dyDescent="0.2">
      <c r="A132" s="170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8"/>
      <c r="S132" s="170"/>
      <c r="T132" s="573"/>
      <c r="U132" s="807"/>
      <c r="V132" s="584"/>
      <c r="W132" s="584"/>
      <c r="X132" s="584"/>
      <c r="Y132" s="584"/>
      <c r="Z132" s="584"/>
      <c r="AA132" s="584"/>
      <c r="AB132" s="170"/>
      <c r="AC132" s="170"/>
      <c r="AD132" s="170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</row>
    <row r="133" spans="1:43" x14ac:dyDescent="0.2">
      <c r="A133" s="397" t="s">
        <v>330</v>
      </c>
      <c r="B133" s="806"/>
      <c r="C133" s="181">
        <f t="shared" ref="C133:Q133" si="102">C124+C131</f>
        <v>-500</v>
      </c>
      <c r="D133" s="181">
        <f t="shared" si="102"/>
        <v>-500</v>
      </c>
      <c r="E133" s="181">
        <f t="shared" si="102"/>
        <v>-500</v>
      </c>
      <c r="F133" s="181">
        <f t="shared" si="102"/>
        <v>-500</v>
      </c>
      <c r="G133" s="181">
        <f t="shared" si="102"/>
        <v>-500</v>
      </c>
      <c r="H133" s="181">
        <f t="shared" si="102"/>
        <v>-500</v>
      </c>
      <c r="I133" s="181">
        <f t="shared" si="102"/>
        <v>-500</v>
      </c>
      <c r="J133" s="181">
        <f t="shared" si="102"/>
        <v>-500</v>
      </c>
      <c r="K133" s="181">
        <f t="shared" si="102"/>
        <v>-500</v>
      </c>
      <c r="L133" s="181">
        <f t="shared" si="102"/>
        <v>-500</v>
      </c>
      <c r="M133" s="181">
        <f t="shared" si="102"/>
        <v>-500</v>
      </c>
      <c r="N133" s="181">
        <f t="shared" si="102"/>
        <v>-500</v>
      </c>
      <c r="O133" s="181">
        <f t="shared" si="102"/>
        <v>-6000</v>
      </c>
      <c r="P133" s="181">
        <f t="shared" si="102"/>
        <v>-1000</v>
      </c>
      <c r="Q133" s="181">
        <f t="shared" si="102"/>
        <v>-5000</v>
      </c>
      <c r="R133" s="543"/>
      <c r="S133" s="168"/>
      <c r="T133" s="600" t="str">
        <f>A133</f>
        <v>INCOME BEFORE INTEREST &amp; TAXES</v>
      </c>
      <c r="U133" s="809"/>
      <c r="V133" s="603">
        <f>C133+D133+E133</f>
        <v>-1500</v>
      </c>
      <c r="W133" s="603">
        <f>F133+G133+H133</f>
        <v>-1500</v>
      </c>
      <c r="X133" s="603">
        <f>I133+J133+K133</f>
        <v>-1500</v>
      </c>
      <c r="Y133" s="603">
        <f>L133+M133+N133</f>
        <v>-1500</v>
      </c>
      <c r="Z133" s="603"/>
      <c r="AA133" s="603">
        <f>SUM(V133:Y133)</f>
        <v>-6000</v>
      </c>
      <c r="AB133" s="168"/>
      <c r="AC133" s="168"/>
      <c r="AD133" s="166" t="str">
        <f>A133</f>
        <v>INCOME BEFORE INTEREST &amp; TAXES</v>
      </c>
      <c r="AF133" s="181">
        <f>C133</f>
        <v>-500</v>
      </c>
      <c r="AG133" s="181">
        <f t="shared" ref="AG133:AQ133" si="103">D133+AF133</f>
        <v>-1000</v>
      </c>
      <c r="AH133" s="181">
        <f t="shared" si="103"/>
        <v>-1500</v>
      </c>
      <c r="AI133" s="181">
        <f t="shared" si="103"/>
        <v>-2000</v>
      </c>
      <c r="AJ133" s="181">
        <f t="shared" si="103"/>
        <v>-2500</v>
      </c>
      <c r="AK133" s="181">
        <f t="shared" si="103"/>
        <v>-3000</v>
      </c>
      <c r="AL133" s="181">
        <f t="shared" si="103"/>
        <v>-3500</v>
      </c>
      <c r="AM133" s="181">
        <f t="shared" si="103"/>
        <v>-4000</v>
      </c>
      <c r="AN133" s="181">
        <f t="shared" si="103"/>
        <v>-4500</v>
      </c>
      <c r="AO133" s="181">
        <f t="shared" si="103"/>
        <v>-5000</v>
      </c>
      <c r="AP133" s="181">
        <f t="shared" si="103"/>
        <v>-5500</v>
      </c>
      <c r="AQ133" s="181">
        <f t="shared" si="103"/>
        <v>-6000</v>
      </c>
    </row>
    <row r="134" spans="1:43" x14ac:dyDescent="0.2">
      <c r="A134" s="170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8"/>
      <c r="S134" s="170"/>
      <c r="T134" s="573"/>
      <c r="U134" s="807"/>
      <c r="V134" s="584"/>
      <c r="W134" s="584"/>
      <c r="X134" s="584"/>
      <c r="Y134" s="584"/>
      <c r="Z134" s="584"/>
      <c r="AA134" s="584"/>
      <c r="AB134" s="170"/>
      <c r="AC134" s="170"/>
      <c r="AD134" s="170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</row>
    <row r="135" spans="1:43" x14ac:dyDescent="0.2">
      <c r="A135" s="407" t="s">
        <v>31</v>
      </c>
      <c r="C135" s="666"/>
      <c r="D135" s="666"/>
      <c r="E135" s="666"/>
      <c r="F135" s="666"/>
      <c r="G135" s="666"/>
      <c r="H135" s="666"/>
      <c r="I135" s="666"/>
      <c r="J135" s="666"/>
      <c r="K135" s="666"/>
      <c r="L135" s="666"/>
      <c r="M135" s="666"/>
      <c r="N135" s="666"/>
      <c r="O135" s="177"/>
      <c r="P135" s="178"/>
      <c r="Q135" s="177"/>
      <c r="R135" s="178"/>
      <c r="S135" s="170"/>
      <c r="T135" s="600" t="str">
        <f t="shared" ref="T135:T140" si="104">A135</f>
        <v xml:space="preserve">INTEREST AND OTHER </v>
      </c>
      <c r="U135" s="807"/>
      <c r="V135" s="584"/>
      <c r="W135" s="604"/>
      <c r="X135" s="584"/>
      <c r="Y135" s="584"/>
      <c r="Z135" s="584"/>
      <c r="AA135" s="584"/>
      <c r="AB135" s="170"/>
      <c r="AC135" s="170"/>
      <c r="AD135" s="166" t="str">
        <f t="shared" ref="AD135:AD140" si="105">A135</f>
        <v xml:space="preserve">INTEREST AND OTHER </v>
      </c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</row>
    <row r="136" spans="1:43" x14ac:dyDescent="0.2">
      <c r="A136" s="408" t="s">
        <v>327</v>
      </c>
      <c r="C136" s="666">
        <v>0</v>
      </c>
      <c r="D136" s="666">
        <v>0</v>
      </c>
      <c r="E136" s="666">
        <v>0</v>
      </c>
      <c r="F136" s="666">
        <v>0</v>
      </c>
      <c r="G136" s="666">
        <v>0</v>
      </c>
      <c r="H136" s="666">
        <v>0</v>
      </c>
      <c r="I136" s="666">
        <v>0</v>
      </c>
      <c r="J136" s="666">
        <v>0</v>
      </c>
      <c r="K136" s="666">
        <v>0</v>
      </c>
      <c r="L136" s="666">
        <v>0</v>
      </c>
      <c r="M136" s="666">
        <v>0</v>
      </c>
      <c r="N136" s="666">
        <v>0</v>
      </c>
      <c r="O136" s="177">
        <f>SUM(C136:N136)</f>
        <v>0</v>
      </c>
      <c r="P136" s="178">
        <f>SUM(C136:D136)</f>
        <v>0</v>
      </c>
      <c r="Q136" s="177">
        <f>O136-P136</f>
        <v>0</v>
      </c>
      <c r="R136" s="566"/>
      <c r="S136" s="170"/>
      <c r="T136" s="601" t="str">
        <f t="shared" si="104"/>
        <v xml:space="preserve">   Direct Interest</v>
      </c>
      <c r="U136" s="807"/>
      <c r="V136" s="584">
        <f>C136+D136+E136</f>
        <v>0</v>
      </c>
      <c r="W136" s="584">
        <f>F136+G136+H136</f>
        <v>0</v>
      </c>
      <c r="X136" s="584">
        <f>I136+J136+K136</f>
        <v>0</v>
      </c>
      <c r="Y136" s="584">
        <f>L136+M136+N136</f>
        <v>0</v>
      </c>
      <c r="Z136" s="584"/>
      <c r="AA136" s="584">
        <f>SUM(V136:Y136)</f>
        <v>0</v>
      </c>
      <c r="AB136" s="170"/>
      <c r="AC136" s="170"/>
      <c r="AD136" s="165" t="str">
        <f t="shared" si="105"/>
        <v xml:space="preserve">   Direct Interest</v>
      </c>
      <c r="AF136" s="177">
        <f>C136</f>
        <v>0</v>
      </c>
      <c r="AG136" s="177">
        <f t="shared" ref="AG136:AQ140" si="106">D136+AF136</f>
        <v>0</v>
      </c>
      <c r="AH136" s="177">
        <f t="shared" si="106"/>
        <v>0</v>
      </c>
      <c r="AI136" s="177">
        <f t="shared" si="106"/>
        <v>0</v>
      </c>
      <c r="AJ136" s="177">
        <f t="shared" si="106"/>
        <v>0</v>
      </c>
      <c r="AK136" s="177">
        <f t="shared" si="106"/>
        <v>0</v>
      </c>
      <c r="AL136" s="177">
        <f t="shared" si="106"/>
        <v>0</v>
      </c>
      <c r="AM136" s="177">
        <f t="shared" si="106"/>
        <v>0</v>
      </c>
      <c r="AN136" s="177">
        <f t="shared" si="106"/>
        <v>0</v>
      </c>
      <c r="AO136" s="177">
        <f t="shared" si="106"/>
        <v>0</v>
      </c>
      <c r="AP136" s="177">
        <f t="shared" si="106"/>
        <v>0</v>
      </c>
      <c r="AQ136" s="177">
        <f t="shared" si="106"/>
        <v>0</v>
      </c>
    </row>
    <row r="137" spans="1:43" x14ac:dyDescent="0.2">
      <c r="A137" s="408" t="s">
        <v>28</v>
      </c>
      <c r="C137" s="666">
        <v>0</v>
      </c>
      <c r="D137" s="666">
        <v>0</v>
      </c>
      <c r="E137" s="666">
        <v>0</v>
      </c>
      <c r="F137" s="666">
        <v>0</v>
      </c>
      <c r="G137" s="666">
        <v>0</v>
      </c>
      <c r="H137" s="666">
        <v>0</v>
      </c>
      <c r="I137" s="666">
        <v>0</v>
      </c>
      <c r="J137" s="666">
        <v>0</v>
      </c>
      <c r="K137" s="666">
        <v>0</v>
      </c>
      <c r="L137" s="666">
        <v>0</v>
      </c>
      <c r="M137" s="666">
        <v>0</v>
      </c>
      <c r="N137" s="666">
        <v>0</v>
      </c>
      <c r="O137" s="177">
        <f>SUM(C137:N137)</f>
        <v>0</v>
      </c>
      <c r="P137" s="178">
        <f>SUM(C137:D137)</f>
        <v>0</v>
      </c>
      <c r="Q137" s="177">
        <f>O137-P137</f>
        <v>0</v>
      </c>
      <c r="R137" s="566"/>
      <c r="S137" s="170"/>
      <c r="T137" s="601" t="str">
        <f t="shared" si="104"/>
        <v xml:space="preserve">   Interest on Long Term Debt (Pre 1/1/98 - Third Party)</v>
      </c>
      <c r="U137" s="807"/>
      <c r="V137" s="584">
        <f>C137+D137+E137</f>
        <v>0</v>
      </c>
      <c r="W137" s="584">
        <f>F137+G137+H137</f>
        <v>0</v>
      </c>
      <c r="X137" s="584">
        <f>I137+J137+K137</f>
        <v>0</v>
      </c>
      <c r="Y137" s="584">
        <f>L137+M137+N137</f>
        <v>0</v>
      </c>
      <c r="Z137" s="584"/>
      <c r="AA137" s="584">
        <f>SUM(V137:Y137)</f>
        <v>0</v>
      </c>
      <c r="AB137" s="170"/>
      <c r="AC137" s="170"/>
      <c r="AD137" s="165" t="str">
        <f t="shared" si="105"/>
        <v xml:space="preserve">   Interest on Long Term Debt (Pre 1/1/98 - Third Party)</v>
      </c>
      <c r="AF137" s="177">
        <f>C137</f>
        <v>0</v>
      </c>
      <c r="AG137" s="177">
        <f t="shared" ref="AG137:AQ138" si="107">D137+AF137</f>
        <v>0</v>
      </c>
      <c r="AH137" s="177">
        <f t="shared" si="107"/>
        <v>0</v>
      </c>
      <c r="AI137" s="177">
        <f t="shared" si="107"/>
        <v>0</v>
      </c>
      <c r="AJ137" s="177">
        <f t="shared" si="107"/>
        <v>0</v>
      </c>
      <c r="AK137" s="177">
        <f t="shared" si="107"/>
        <v>0</v>
      </c>
      <c r="AL137" s="177">
        <f t="shared" si="107"/>
        <v>0</v>
      </c>
      <c r="AM137" s="177">
        <f t="shared" si="107"/>
        <v>0</v>
      </c>
      <c r="AN137" s="177">
        <f t="shared" si="107"/>
        <v>0</v>
      </c>
      <c r="AO137" s="177">
        <f t="shared" si="107"/>
        <v>0</v>
      </c>
      <c r="AP137" s="177">
        <f t="shared" si="107"/>
        <v>0</v>
      </c>
      <c r="AQ137" s="177">
        <f t="shared" si="107"/>
        <v>0</v>
      </c>
    </row>
    <row r="138" spans="1:43" x14ac:dyDescent="0.2">
      <c r="A138" s="408" t="s">
        <v>29</v>
      </c>
      <c r="C138" s="666">
        <v>0</v>
      </c>
      <c r="D138" s="666">
        <v>0</v>
      </c>
      <c r="E138" s="666">
        <v>0</v>
      </c>
      <c r="F138" s="666">
        <v>0</v>
      </c>
      <c r="G138" s="666">
        <v>0</v>
      </c>
      <c r="H138" s="666">
        <v>0</v>
      </c>
      <c r="I138" s="666">
        <v>0</v>
      </c>
      <c r="J138" s="666">
        <v>0</v>
      </c>
      <c r="K138" s="666">
        <v>0</v>
      </c>
      <c r="L138" s="666">
        <v>0</v>
      </c>
      <c r="M138" s="666">
        <v>0</v>
      </c>
      <c r="N138" s="666">
        <v>0</v>
      </c>
      <c r="O138" s="177">
        <f>SUM(C138:N138)</f>
        <v>0</v>
      </c>
      <c r="P138" s="178">
        <f>SUM(C138:D138)</f>
        <v>0</v>
      </c>
      <c r="Q138" s="177">
        <f>O138-P138</f>
        <v>0</v>
      </c>
      <c r="R138" s="566"/>
      <c r="S138" s="170"/>
      <c r="T138" s="601" t="str">
        <f t="shared" si="104"/>
        <v xml:space="preserve">   Interest on Long Term Debt (Post 1/1/98 - Internal)</v>
      </c>
      <c r="U138" s="807"/>
      <c r="V138" s="584">
        <f>C138+D138+E138</f>
        <v>0</v>
      </c>
      <c r="W138" s="584">
        <f>F138+G138+H138</f>
        <v>0</v>
      </c>
      <c r="X138" s="584">
        <f>I138+J138+K138</f>
        <v>0</v>
      </c>
      <c r="Y138" s="584">
        <f>L138+M138+N138</f>
        <v>0</v>
      </c>
      <c r="Z138" s="584"/>
      <c r="AA138" s="584">
        <f>SUM(V138:Y138)</f>
        <v>0</v>
      </c>
      <c r="AB138" s="170"/>
      <c r="AC138" s="170"/>
      <c r="AD138" s="165" t="str">
        <f t="shared" si="105"/>
        <v xml:space="preserve">   Interest on Long Term Debt (Post 1/1/98 - Internal)</v>
      </c>
      <c r="AF138" s="177">
        <f>C138</f>
        <v>0</v>
      </c>
      <c r="AG138" s="177">
        <f t="shared" si="107"/>
        <v>0</v>
      </c>
      <c r="AH138" s="177">
        <f t="shared" si="107"/>
        <v>0</v>
      </c>
      <c r="AI138" s="177">
        <f t="shared" si="107"/>
        <v>0</v>
      </c>
      <c r="AJ138" s="177">
        <f t="shared" si="107"/>
        <v>0</v>
      </c>
      <c r="AK138" s="177">
        <f t="shared" si="107"/>
        <v>0</v>
      </c>
      <c r="AL138" s="177">
        <f t="shared" si="107"/>
        <v>0</v>
      </c>
      <c r="AM138" s="177">
        <f t="shared" si="107"/>
        <v>0</v>
      </c>
      <c r="AN138" s="177">
        <f t="shared" si="107"/>
        <v>0</v>
      </c>
      <c r="AO138" s="177">
        <f t="shared" si="107"/>
        <v>0</v>
      </c>
      <c r="AP138" s="177">
        <f t="shared" si="107"/>
        <v>0</v>
      </c>
      <c r="AQ138" s="177">
        <f t="shared" si="107"/>
        <v>0</v>
      </c>
    </row>
    <row r="139" spans="1:43" x14ac:dyDescent="0.2">
      <c r="A139" s="408" t="s">
        <v>328</v>
      </c>
      <c r="C139" s="666">
        <v>0</v>
      </c>
      <c r="D139" s="666">
        <v>0</v>
      </c>
      <c r="E139" s="666">
        <v>0</v>
      </c>
      <c r="F139" s="666">
        <v>0</v>
      </c>
      <c r="G139" s="666">
        <v>0</v>
      </c>
      <c r="H139" s="666">
        <v>0</v>
      </c>
      <c r="I139" s="666">
        <v>0</v>
      </c>
      <c r="J139" s="666">
        <v>0</v>
      </c>
      <c r="K139" s="666">
        <v>0</v>
      </c>
      <c r="L139" s="666">
        <v>0</v>
      </c>
      <c r="M139" s="666">
        <v>0</v>
      </c>
      <c r="N139" s="666">
        <v>0</v>
      </c>
      <c r="O139" s="177">
        <f>SUM(C139:N139)</f>
        <v>0</v>
      </c>
      <c r="P139" s="178">
        <f>SUM(C139:D139)</f>
        <v>0</v>
      </c>
      <c r="Q139" s="177">
        <f>O139-P139</f>
        <v>0</v>
      </c>
      <c r="R139" s="566"/>
      <c r="S139" s="170"/>
      <c r="T139" s="601" t="str">
        <f t="shared" si="104"/>
        <v xml:space="preserve">   Intercompany Interest Expense / (Income)</v>
      </c>
      <c r="U139" s="807"/>
      <c r="V139" s="584">
        <f>C139+D139+E139</f>
        <v>0</v>
      </c>
      <c r="W139" s="584">
        <f>F139+G139+H139</f>
        <v>0</v>
      </c>
      <c r="X139" s="584">
        <f>I139+J139+K139</f>
        <v>0</v>
      </c>
      <c r="Y139" s="584">
        <f>L139+M139+N139</f>
        <v>0</v>
      </c>
      <c r="Z139" s="584"/>
      <c r="AA139" s="584">
        <f>SUM(V139:Y139)</f>
        <v>0</v>
      </c>
      <c r="AB139" s="170"/>
      <c r="AC139" s="170"/>
      <c r="AD139" s="165" t="str">
        <f t="shared" si="105"/>
        <v xml:space="preserve">   Intercompany Interest Expense / (Income)</v>
      </c>
      <c r="AF139" s="177">
        <f>C139</f>
        <v>0</v>
      </c>
      <c r="AG139" s="177">
        <f t="shared" si="106"/>
        <v>0</v>
      </c>
      <c r="AH139" s="177">
        <f t="shared" si="106"/>
        <v>0</v>
      </c>
      <c r="AI139" s="177">
        <f t="shared" si="106"/>
        <v>0</v>
      </c>
      <c r="AJ139" s="177">
        <f t="shared" si="106"/>
        <v>0</v>
      </c>
      <c r="AK139" s="177">
        <f t="shared" si="106"/>
        <v>0</v>
      </c>
      <c r="AL139" s="177">
        <f t="shared" si="106"/>
        <v>0</v>
      </c>
      <c r="AM139" s="177">
        <f t="shared" si="106"/>
        <v>0</v>
      </c>
      <c r="AN139" s="177">
        <f t="shared" si="106"/>
        <v>0</v>
      </c>
      <c r="AO139" s="177">
        <f t="shared" si="106"/>
        <v>0</v>
      </c>
      <c r="AP139" s="177">
        <f t="shared" si="106"/>
        <v>0</v>
      </c>
      <c r="AQ139" s="177">
        <f t="shared" si="106"/>
        <v>0</v>
      </c>
    </row>
    <row r="140" spans="1:43" x14ac:dyDescent="0.2">
      <c r="A140" s="176" t="s">
        <v>329</v>
      </c>
      <c r="C140" s="667">
        <v>0</v>
      </c>
      <c r="D140" s="667">
        <v>0</v>
      </c>
      <c r="E140" s="667">
        <v>0</v>
      </c>
      <c r="F140" s="667">
        <v>0</v>
      </c>
      <c r="G140" s="667">
        <v>0</v>
      </c>
      <c r="H140" s="667">
        <v>0</v>
      </c>
      <c r="I140" s="667">
        <v>0</v>
      </c>
      <c r="J140" s="667">
        <v>0</v>
      </c>
      <c r="K140" s="667">
        <v>0</v>
      </c>
      <c r="L140" s="667">
        <v>0</v>
      </c>
      <c r="M140" s="667">
        <v>0</v>
      </c>
      <c r="N140" s="667">
        <v>0</v>
      </c>
      <c r="O140" s="180">
        <f>SUM(C140:N140)</f>
        <v>0</v>
      </c>
      <c r="P140" s="263">
        <f>SUM(C140:D140)</f>
        <v>0</v>
      </c>
      <c r="Q140" s="180">
        <f>O140-P140</f>
        <v>0</v>
      </c>
      <c r="R140" s="567"/>
      <c r="S140" s="655"/>
      <c r="T140" s="601" t="str">
        <f t="shared" si="104"/>
        <v xml:space="preserve">   AFUDC</v>
      </c>
      <c r="U140" s="811"/>
      <c r="V140" s="586">
        <f>C140+D140+E140</f>
        <v>0</v>
      </c>
      <c r="W140" s="586">
        <f>F140+G140+H140</f>
        <v>0</v>
      </c>
      <c r="X140" s="586">
        <f>I140+J140+K140</f>
        <v>0</v>
      </c>
      <c r="Y140" s="586">
        <f>L140+M140+N140</f>
        <v>0</v>
      </c>
      <c r="Z140" s="586"/>
      <c r="AA140" s="586">
        <f>SUM(V140:Y140)</f>
        <v>0</v>
      </c>
      <c r="AB140" s="170"/>
      <c r="AC140" s="170"/>
      <c r="AD140" s="165" t="str">
        <f t="shared" si="105"/>
        <v xml:space="preserve">   AFUDC</v>
      </c>
      <c r="AF140" s="180">
        <f>C140</f>
        <v>0</v>
      </c>
      <c r="AG140" s="180">
        <f t="shared" si="106"/>
        <v>0</v>
      </c>
      <c r="AH140" s="180">
        <f t="shared" si="106"/>
        <v>0</v>
      </c>
      <c r="AI140" s="180">
        <f t="shared" si="106"/>
        <v>0</v>
      </c>
      <c r="AJ140" s="180">
        <f t="shared" si="106"/>
        <v>0</v>
      </c>
      <c r="AK140" s="180">
        <f t="shared" si="106"/>
        <v>0</v>
      </c>
      <c r="AL140" s="180">
        <f t="shared" si="106"/>
        <v>0</v>
      </c>
      <c r="AM140" s="180">
        <f t="shared" si="106"/>
        <v>0</v>
      </c>
      <c r="AN140" s="180">
        <f t="shared" si="106"/>
        <v>0</v>
      </c>
      <c r="AO140" s="180">
        <f t="shared" si="106"/>
        <v>0</v>
      </c>
      <c r="AP140" s="180">
        <f t="shared" si="106"/>
        <v>0</v>
      </c>
      <c r="AQ140" s="180">
        <f t="shared" si="106"/>
        <v>0</v>
      </c>
    </row>
    <row r="141" spans="1:43" ht="3.95" customHeight="1" x14ac:dyDescent="0.2">
      <c r="A141" s="170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8"/>
      <c r="S141" s="170"/>
      <c r="T141" s="573"/>
      <c r="U141" s="807"/>
      <c r="V141" s="584"/>
      <c r="W141" s="584"/>
      <c r="X141" s="584"/>
      <c r="Y141" s="584"/>
      <c r="Z141" s="584"/>
      <c r="AA141" s="584"/>
      <c r="AB141" s="170"/>
      <c r="AC141" s="170"/>
      <c r="AD141" s="170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</row>
    <row r="142" spans="1:43" x14ac:dyDescent="0.2">
      <c r="A142" s="412" t="s">
        <v>32</v>
      </c>
      <c r="B142" s="806"/>
      <c r="C142" s="181">
        <f>SUM(C136:C140)</f>
        <v>0</v>
      </c>
      <c r="D142" s="181">
        <f t="shared" ref="D142:Q142" si="108">SUM(D136:D140)</f>
        <v>0</v>
      </c>
      <c r="E142" s="181">
        <f t="shared" si="108"/>
        <v>0</v>
      </c>
      <c r="F142" s="181">
        <f t="shared" si="108"/>
        <v>0</v>
      </c>
      <c r="G142" s="181">
        <f t="shared" si="108"/>
        <v>0</v>
      </c>
      <c r="H142" s="181">
        <f t="shared" si="108"/>
        <v>0</v>
      </c>
      <c r="I142" s="181">
        <f t="shared" si="108"/>
        <v>0</v>
      </c>
      <c r="J142" s="181">
        <f t="shared" si="108"/>
        <v>0</v>
      </c>
      <c r="K142" s="181">
        <f t="shared" si="108"/>
        <v>0</v>
      </c>
      <c r="L142" s="181">
        <f t="shared" si="108"/>
        <v>0</v>
      </c>
      <c r="M142" s="181">
        <f t="shared" si="108"/>
        <v>0</v>
      </c>
      <c r="N142" s="181">
        <f t="shared" si="108"/>
        <v>0</v>
      </c>
      <c r="O142" s="181">
        <f t="shared" si="108"/>
        <v>0</v>
      </c>
      <c r="P142" s="181">
        <f t="shared" si="108"/>
        <v>0</v>
      </c>
      <c r="Q142" s="181">
        <f t="shared" si="108"/>
        <v>0</v>
      </c>
      <c r="R142" s="543"/>
      <c r="S142" s="168"/>
      <c r="T142" s="600" t="str">
        <f>A142</f>
        <v xml:space="preserve">     Total Interest and Other</v>
      </c>
      <c r="U142" s="809"/>
      <c r="V142" s="603">
        <f>SUM(V136:V140)</f>
        <v>0</v>
      </c>
      <c r="W142" s="603">
        <f>SUM(W136:W140)</f>
        <v>0</v>
      </c>
      <c r="X142" s="603">
        <f>SUM(X136:X140)</f>
        <v>0</v>
      </c>
      <c r="Y142" s="603">
        <f>SUM(Y136:Y140)</f>
        <v>0</v>
      </c>
      <c r="Z142" s="603"/>
      <c r="AA142" s="603">
        <f>SUM(AA136:AA140)</f>
        <v>0</v>
      </c>
      <c r="AB142" s="168"/>
      <c r="AC142" s="168"/>
      <c r="AD142" s="166" t="str">
        <f>A142</f>
        <v xml:space="preserve">     Total Interest and Other</v>
      </c>
      <c r="AF142" s="181">
        <f>C142</f>
        <v>0</v>
      </c>
      <c r="AG142" s="181">
        <f t="shared" ref="AG142:AQ142" si="109">D142+AF142</f>
        <v>0</v>
      </c>
      <c r="AH142" s="181">
        <f t="shared" si="109"/>
        <v>0</v>
      </c>
      <c r="AI142" s="181">
        <f t="shared" si="109"/>
        <v>0</v>
      </c>
      <c r="AJ142" s="181">
        <f t="shared" si="109"/>
        <v>0</v>
      </c>
      <c r="AK142" s="181">
        <f t="shared" si="109"/>
        <v>0</v>
      </c>
      <c r="AL142" s="181">
        <f t="shared" si="109"/>
        <v>0</v>
      </c>
      <c r="AM142" s="181">
        <f t="shared" si="109"/>
        <v>0</v>
      </c>
      <c r="AN142" s="181">
        <f t="shared" si="109"/>
        <v>0</v>
      </c>
      <c r="AO142" s="181">
        <f t="shared" si="109"/>
        <v>0</v>
      </c>
      <c r="AP142" s="181">
        <f t="shared" si="109"/>
        <v>0</v>
      </c>
      <c r="AQ142" s="181">
        <f t="shared" si="109"/>
        <v>0</v>
      </c>
    </row>
    <row r="143" spans="1:43" x14ac:dyDescent="0.2">
      <c r="A143" s="412"/>
      <c r="B143" s="806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415"/>
      <c r="S143" s="168"/>
      <c r="T143" s="600"/>
      <c r="U143" s="809"/>
      <c r="V143" s="603"/>
      <c r="W143" s="603"/>
      <c r="X143" s="603"/>
      <c r="Y143" s="603"/>
      <c r="Z143" s="603"/>
      <c r="AA143" s="603"/>
      <c r="AB143" s="168"/>
      <c r="AC143" s="168"/>
      <c r="AD143" s="166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</row>
    <row r="144" spans="1:43" x14ac:dyDescent="0.2">
      <c r="A144" s="397" t="s">
        <v>331</v>
      </c>
      <c r="B144" s="803"/>
      <c r="C144" s="181">
        <f t="shared" ref="C144:Q144" si="110">C124+C131-C142</f>
        <v>-500</v>
      </c>
      <c r="D144" s="181">
        <f t="shared" si="110"/>
        <v>-500</v>
      </c>
      <c r="E144" s="181">
        <f t="shared" si="110"/>
        <v>-500</v>
      </c>
      <c r="F144" s="181">
        <f t="shared" si="110"/>
        <v>-500</v>
      </c>
      <c r="G144" s="181">
        <f t="shared" si="110"/>
        <v>-500</v>
      </c>
      <c r="H144" s="181">
        <f t="shared" si="110"/>
        <v>-500</v>
      </c>
      <c r="I144" s="181">
        <f t="shared" si="110"/>
        <v>-500</v>
      </c>
      <c r="J144" s="181">
        <f t="shared" si="110"/>
        <v>-500</v>
      </c>
      <c r="K144" s="181">
        <f t="shared" si="110"/>
        <v>-500</v>
      </c>
      <c r="L144" s="181">
        <f t="shared" si="110"/>
        <v>-500</v>
      </c>
      <c r="M144" s="181">
        <f t="shared" si="110"/>
        <v>-500</v>
      </c>
      <c r="N144" s="181">
        <f t="shared" si="110"/>
        <v>-500</v>
      </c>
      <c r="O144" s="181">
        <f t="shared" si="110"/>
        <v>-6000</v>
      </c>
      <c r="P144" s="181">
        <f t="shared" si="110"/>
        <v>-1000</v>
      </c>
      <c r="Q144" s="181">
        <f t="shared" si="110"/>
        <v>-5000</v>
      </c>
      <c r="R144" s="543"/>
      <c r="S144" s="168"/>
      <c r="T144" s="600" t="str">
        <f>A144</f>
        <v>INCOME BEFORE INCOME TAXES</v>
      </c>
      <c r="U144" s="595"/>
      <c r="V144" s="603">
        <f>V124+V131-V142</f>
        <v>-1500</v>
      </c>
      <c r="W144" s="603">
        <f>W124+W131-W142</f>
        <v>-1500</v>
      </c>
      <c r="X144" s="603">
        <f>X124+X131-X142</f>
        <v>-1500</v>
      </c>
      <c r="Y144" s="603">
        <f>Y124+Y131-Y142</f>
        <v>-1500</v>
      </c>
      <c r="Z144" s="603"/>
      <c r="AA144" s="603">
        <f>AA124+AA131-AA142</f>
        <v>-6000</v>
      </c>
      <c r="AB144" s="168"/>
      <c r="AC144" s="170"/>
      <c r="AD144" s="166" t="str">
        <f>A144</f>
        <v>INCOME BEFORE INCOME TAXES</v>
      </c>
      <c r="AF144" s="181">
        <f>C144</f>
        <v>-500</v>
      </c>
      <c r="AG144" s="181">
        <f t="shared" ref="AG144:AQ144" si="111">D144+AF144</f>
        <v>-1000</v>
      </c>
      <c r="AH144" s="181">
        <f t="shared" si="111"/>
        <v>-1500</v>
      </c>
      <c r="AI144" s="181">
        <f t="shared" si="111"/>
        <v>-2000</v>
      </c>
      <c r="AJ144" s="181">
        <f t="shared" si="111"/>
        <v>-2500</v>
      </c>
      <c r="AK144" s="181">
        <f t="shared" si="111"/>
        <v>-3000</v>
      </c>
      <c r="AL144" s="181">
        <f t="shared" si="111"/>
        <v>-3500</v>
      </c>
      <c r="AM144" s="181">
        <f t="shared" si="111"/>
        <v>-4000</v>
      </c>
      <c r="AN144" s="181">
        <f t="shared" si="111"/>
        <v>-4500</v>
      </c>
      <c r="AO144" s="181">
        <f t="shared" si="111"/>
        <v>-5000</v>
      </c>
      <c r="AP144" s="181">
        <f t="shared" si="111"/>
        <v>-5500</v>
      </c>
      <c r="AQ144" s="181">
        <f t="shared" si="111"/>
        <v>-6000</v>
      </c>
    </row>
    <row r="145" spans="1:43" x14ac:dyDescent="0.2">
      <c r="A145" s="170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8"/>
      <c r="S145" s="170"/>
      <c r="T145" s="573"/>
      <c r="U145" s="807"/>
      <c r="V145" s="584"/>
      <c r="W145" s="584"/>
      <c r="X145" s="584"/>
      <c r="Y145" s="584"/>
      <c r="Z145" s="584"/>
      <c r="AA145" s="584"/>
      <c r="AB145" s="170"/>
      <c r="AC145" s="170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</row>
    <row r="146" spans="1:43" x14ac:dyDescent="0.2">
      <c r="A146" s="176" t="s">
        <v>1059</v>
      </c>
      <c r="C146" s="177">
        <f>C149-C147</f>
        <v>0</v>
      </c>
      <c r="D146" s="177">
        <f t="shared" ref="D146:N146" si="112">D149-D147</f>
        <v>0</v>
      </c>
      <c r="E146" s="177">
        <f t="shared" si="112"/>
        <v>0</v>
      </c>
      <c r="F146" s="177">
        <f t="shared" si="112"/>
        <v>0</v>
      </c>
      <c r="G146" s="177">
        <f t="shared" si="112"/>
        <v>0</v>
      </c>
      <c r="H146" s="177">
        <f t="shared" si="112"/>
        <v>0</v>
      </c>
      <c r="I146" s="177">
        <f t="shared" si="112"/>
        <v>0</v>
      </c>
      <c r="J146" s="177">
        <f t="shared" si="112"/>
        <v>0</v>
      </c>
      <c r="K146" s="177">
        <f t="shared" si="112"/>
        <v>0</v>
      </c>
      <c r="L146" s="177">
        <f t="shared" si="112"/>
        <v>0</v>
      </c>
      <c r="M146" s="177">
        <f t="shared" si="112"/>
        <v>0</v>
      </c>
      <c r="N146" s="177">
        <f t="shared" si="112"/>
        <v>0</v>
      </c>
      <c r="O146" s="177">
        <f>SUM(C146:N146)</f>
        <v>0</v>
      </c>
      <c r="P146" s="178">
        <f>SUM(C146:D146)</f>
        <v>0</v>
      </c>
      <c r="Q146" s="177">
        <f>O146-P146</f>
        <v>0</v>
      </c>
      <c r="R146" s="566"/>
      <c r="S146" s="170"/>
      <c r="T146" s="601" t="str">
        <f>A146</f>
        <v xml:space="preserve">   Payable Currently</v>
      </c>
      <c r="U146" s="807"/>
      <c r="V146" s="584">
        <f>C146+D146+E146</f>
        <v>0</v>
      </c>
      <c r="W146" s="584">
        <f>F146+G146+H146</f>
        <v>0</v>
      </c>
      <c r="X146" s="584">
        <f>I146+J146+K146</f>
        <v>0</v>
      </c>
      <c r="Y146" s="584">
        <f>L146+M146+N146</f>
        <v>0</v>
      </c>
      <c r="Z146" s="584"/>
      <c r="AA146" s="584">
        <f>SUM(V146:Y146)</f>
        <v>0</v>
      </c>
      <c r="AB146" s="170"/>
      <c r="AC146" s="170"/>
      <c r="AD146" s="165" t="str">
        <f>A146</f>
        <v xml:space="preserve">   Payable Currently</v>
      </c>
      <c r="AF146" s="177">
        <f>C146</f>
        <v>0</v>
      </c>
      <c r="AG146" s="177">
        <f t="shared" ref="AG146:AQ147" si="113">D146+AF146</f>
        <v>0</v>
      </c>
      <c r="AH146" s="177">
        <f t="shared" si="113"/>
        <v>0</v>
      </c>
      <c r="AI146" s="177">
        <f t="shared" si="113"/>
        <v>0</v>
      </c>
      <c r="AJ146" s="177">
        <f t="shared" si="113"/>
        <v>0</v>
      </c>
      <c r="AK146" s="177">
        <f t="shared" si="113"/>
        <v>0</v>
      </c>
      <c r="AL146" s="177">
        <f t="shared" si="113"/>
        <v>0</v>
      </c>
      <c r="AM146" s="177">
        <f t="shared" si="113"/>
        <v>0</v>
      </c>
      <c r="AN146" s="177">
        <f t="shared" si="113"/>
        <v>0</v>
      </c>
      <c r="AO146" s="177">
        <f t="shared" si="113"/>
        <v>0</v>
      </c>
      <c r="AP146" s="177">
        <f t="shared" si="113"/>
        <v>0</v>
      </c>
      <c r="AQ146" s="177">
        <f t="shared" si="113"/>
        <v>0</v>
      </c>
    </row>
    <row r="147" spans="1:43" x14ac:dyDescent="0.2">
      <c r="A147" s="410" t="s">
        <v>1060</v>
      </c>
      <c r="C147" s="842">
        <f>DeferredTax!R73</f>
        <v>-175</v>
      </c>
      <c r="D147" s="842">
        <f>DeferredTax!S73</f>
        <v>-175</v>
      </c>
      <c r="E147" s="842">
        <f>DeferredTax!T73</f>
        <v>-175</v>
      </c>
      <c r="F147" s="842">
        <f>DeferredTax!U73</f>
        <v>-175</v>
      </c>
      <c r="G147" s="842">
        <f>DeferredTax!V73</f>
        <v>-175</v>
      </c>
      <c r="H147" s="842">
        <f>DeferredTax!W73</f>
        <v>-175</v>
      </c>
      <c r="I147" s="842">
        <f>DeferredTax!X73</f>
        <v>-175</v>
      </c>
      <c r="J147" s="842">
        <f>DeferredTax!Y73</f>
        <v>-175</v>
      </c>
      <c r="K147" s="842">
        <f>DeferredTax!Z73</f>
        <v>-175</v>
      </c>
      <c r="L147" s="842">
        <f>DeferredTax!AA73</f>
        <v>-175</v>
      </c>
      <c r="M147" s="842">
        <f>DeferredTax!AB73</f>
        <v>-175</v>
      </c>
      <c r="N147" s="842">
        <f>DeferredTax!AC73</f>
        <v>-175</v>
      </c>
      <c r="O147" s="180">
        <f>SUM(C147:N147)</f>
        <v>-2100</v>
      </c>
      <c r="P147" s="263">
        <f>SUM(C147:D147)</f>
        <v>-350</v>
      </c>
      <c r="Q147" s="180">
        <f>O147-P147</f>
        <v>-1750</v>
      </c>
      <c r="R147" s="567"/>
      <c r="S147" s="170"/>
      <c r="T147" s="601" t="str">
        <f>A147</f>
        <v xml:space="preserve">   Deferred</v>
      </c>
      <c r="U147" s="807"/>
      <c r="V147" s="586">
        <f>C147+D147+E147</f>
        <v>-525</v>
      </c>
      <c r="W147" s="586">
        <f>F147+G147+H147</f>
        <v>-525</v>
      </c>
      <c r="X147" s="586">
        <f>I147+J147+K147</f>
        <v>-525</v>
      </c>
      <c r="Y147" s="586">
        <f>L147+M147+N147</f>
        <v>-525</v>
      </c>
      <c r="Z147" s="586"/>
      <c r="AA147" s="586">
        <f>SUM(V147:Y147)</f>
        <v>-2100</v>
      </c>
      <c r="AB147" s="186"/>
      <c r="AC147" s="170"/>
      <c r="AD147" s="165" t="str">
        <f>A147</f>
        <v xml:space="preserve">   Deferred</v>
      </c>
      <c r="AF147" s="180">
        <f>C147</f>
        <v>-175</v>
      </c>
      <c r="AG147" s="180">
        <f t="shared" si="113"/>
        <v>-350</v>
      </c>
      <c r="AH147" s="180">
        <f t="shared" si="113"/>
        <v>-525</v>
      </c>
      <c r="AI147" s="180">
        <f t="shared" si="113"/>
        <v>-700</v>
      </c>
      <c r="AJ147" s="180">
        <f t="shared" si="113"/>
        <v>-875</v>
      </c>
      <c r="AK147" s="180">
        <f t="shared" si="113"/>
        <v>-1050</v>
      </c>
      <c r="AL147" s="180">
        <f t="shared" si="113"/>
        <v>-1225</v>
      </c>
      <c r="AM147" s="180">
        <f t="shared" si="113"/>
        <v>-1400</v>
      </c>
      <c r="AN147" s="180">
        <f t="shared" si="113"/>
        <v>-1575</v>
      </c>
      <c r="AO147" s="180">
        <f t="shared" si="113"/>
        <v>-1750</v>
      </c>
      <c r="AP147" s="180">
        <f t="shared" si="113"/>
        <v>-1925</v>
      </c>
      <c r="AQ147" s="180">
        <f t="shared" si="113"/>
        <v>-2100</v>
      </c>
    </row>
    <row r="148" spans="1:43" ht="3.95" customHeight="1" x14ac:dyDescent="0.2">
      <c r="A148" s="398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8"/>
      <c r="S148" s="170"/>
      <c r="T148" s="569"/>
      <c r="U148" s="807"/>
      <c r="V148" s="584"/>
      <c r="W148" s="584"/>
      <c r="X148" s="584"/>
      <c r="Y148" s="584"/>
      <c r="Z148" s="584"/>
      <c r="AA148" s="584"/>
      <c r="AB148" s="170"/>
      <c r="AC148" s="170"/>
      <c r="AD148" s="170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177"/>
    </row>
    <row r="149" spans="1:43" x14ac:dyDescent="0.2">
      <c r="A149" s="409" t="s">
        <v>1061</v>
      </c>
      <c r="B149" s="803"/>
      <c r="C149" s="181">
        <f>ROUND(C144*0.35,0)</f>
        <v>-175</v>
      </c>
      <c r="D149" s="181">
        <f t="shared" ref="D149:N149" si="114">ROUND(D144*0.35,0)</f>
        <v>-175</v>
      </c>
      <c r="E149" s="181">
        <f t="shared" si="114"/>
        <v>-175</v>
      </c>
      <c r="F149" s="181">
        <f t="shared" si="114"/>
        <v>-175</v>
      </c>
      <c r="G149" s="181">
        <f t="shared" si="114"/>
        <v>-175</v>
      </c>
      <c r="H149" s="181">
        <f t="shared" si="114"/>
        <v>-175</v>
      </c>
      <c r="I149" s="181">
        <f t="shared" si="114"/>
        <v>-175</v>
      </c>
      <c r="J149" s="181">
        <f t="shared" si="114"/>
        <v>-175</v>
      </c>
      <c r="K149" s="181">
        <f t="shared" si="114"/>
        <v>-175</v>
      </c>
      <c r="L149" s="181">
        <f t="shared" si="114"/>
        <v>-175</v>
      </c>
      <c r="M149" s="181">
        <f t="shared" si="114"/>
        <v>-175</v>
      </c>
      <c r="N149" s="181">
        <f t="shared" si="114"/>
        <v>-175</v>
      </c>
      <c r="O149" s="181">
        <f>ROUND((SUM(O146:O147)),0)</f>
        <v>-2100</v>
      </c>
      <c r="P149" s="181">
        <f>ROUND((SUM(P146:P147)),0)</f>
        <v>-350</v>
      </c>
      <c r="Q149" s="181">
        <f>ROUND((SUM(Q146:Q147)),0)</f>
        <v>-1750</v>
      </c>
      <c r="R149" s="543"/>
      <c r="S149" s="168"/>
      <c r="T149" s="600" t="str">
        <f>A149</f>
        <v xml:space="preserve">     Total Income Taxes (Composite Rate - 35.00 %)</v>
      </c>
      <c r="U149" s="595"/>
      <c r="V149" s="603">
        <f>V146+V147</f>
        <v>-525</v>
      </c>
      <c r="W149" s="603">
        <f>W146+W147</f>
        <v>-525</v>
      </c>
      <c r="X149" s="603">
        <f>X146+X147</f>
        <v>-525</v>
      </c>
      <c r="Y149" s="603">
        <f>Y146+Y147</f>
        <v>-525</v>
      </c>
      <c r="Z149" s="603"/>
      <c r="AA149" s="603">
        <f>AA146+AA147</f>
        <v>-2100</v>
      </c>
      <c r="AB149" s="168"/>
      <c r="AC149" s="168"/>
      <c r="AD149" s="166" t="str">
        <f>A149</f>
        <v xml:space="preserve">     Total Income Taxes (Composite Rate - 35.00 %)</v>
      </c>
      <c r="AF149" s="181">
        <f>C149</f>
        <v>-175</v>
      </c>
      <c r="AG149" s="181">
        <f t="shared" ref="AG149:AQ149" si="115">D149+AF149</f>
        <v>-350</v>
      </c>
      <c r="AH149" s="181">
        <f t="shared" si="115"/>
        <v>-525</v>
      </c>
      <c r="AI149" s="181">
        <f t="shared" si="115"/>
        <v>-700</v>
      </c>
      <c r="AJ149" s="181">
        <f t="shared" si="115"/>
        <v>-875</v>
      </c>
      <c r="AK149" s="181">
        <f t="shared" si="115"/>
        <v>-1050</v>
      </c>
      <c r="AL149" s="181">
        <f t="shared" si="115"/>
        <v>-1225</v>
      </c>
      <c r="AM149" s="181">
        <f t="shared" si="115"/>
        <v>-1400</v>
      </c>
      <c r="AN149" s="181">
        <f t="shared" si="115"/>
        <v>-1575</v>
      </c>
      <c r="AO149" s="181">
        <f t="shared" si="115"/>
        <v>-1750</v>
      </c>
      <c r="AP149" s="181">
        <f t="shared" si="115"/>
        <v>-1925</v>
      </c>
      <c r="AQ149" s="181">
        <f t="shared" si="115"/>
        <v>-2100</v>
      </c>
    </row>
    <row r="150" spans="1:43" x14ac:dyDescent="0.2">
      <c r="A150" s="399"/>
      <c r="B150" s="803"/>
      <c r="C150" s="182"/>
      <c r="D150" s="187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7"/>
      <c r="P150" s="182"/>
      <c r="Q150" s="182"/>
      <c r="R150" s="415"/>
      <c r="S150" s="168"/>
      <c r="T150" s="578"/>
      <c r="U150" s="595"/>
      <c r="V150" s="602"/>
      <c r="W150" s="602"/>
      <c r="X150" s="602"/>
      <c r="Y150" s="605"/>
      <c r="Z150" s="602"/>
      <c r="AA150" s="602"/>
      <c r="AB150" s="168"/>
      <c r="AC150" s="168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</row>
    <row r="151" spans="1:43" x14ac:dyDescent="0.2">
      <c r="A151" s="407" t="s">
        <v>30</v>
      </c>
      <c r="B151" s="803"/>
      <c r="C151" s="181">
        <f t="shared" ref="C151:P151" si="116">ROUND(+C144-C149,0)</f>
        <v>-325</v>
      </c>
      <c r="D151" s="181">
        <f t="shared" si="116"/>
        <v>-325</v>
      </c>
      <c r="E151" s="181">
        <f t="shared" si="116"/>
        <v>-325</v>
      </c>
      <c r="F151" s="181">
        <f t="shared" si="116"/>
        <v>-325</v>
      </c>
      <c r="G151" s="181">
        <f t="shared" si="116"/>
        <v>-325</v>
      </c>
      <c r="H151" s="181">
        <f t="shared" si="116"/>
        <v>-325</v>
      </c>
      <c r="I151" s="181">
        <f t="shared" si="116"/>
        <v>-325</v>
      </c>
      <c r="J151" s="181">
        <f t="shared" si="116"/>
        <v>-325</v>
      </c>
      <c r="K151" s="181">
        <f t="shared" si="116"/>
        <v>-325</v>
      </c>
      <c r="L151" s="181">
        <f t="shared" si="116"/>
        <v>-325</v>
      </c>
      <c r="M151" s="181">
        <f t="shared" si="116"/>
        <v>-325</v>
      </c>
      <c r="N151" s="181">
        <f t="shared" si="116"/>
        <v>-325</v>
      </c>
      <c r="O151" s="181">
        <f t="shared" si="116"/>
        <v>-3900</v>
      </c>
      <c r="P151" s="181">
        <f t="shared" si="116"/>
        <v>-650</v>
      </c>
      <c r="Q151" s="181">
        <f>Q144-Q149</f>
        <v>-3250</v>
      </c>
      <c r="R151" s="543"/>
      <c r="S151" s="168"/>
      <c r="T151" s="600" t="str">
        <f>A151</f>
        <v xml:space="preserve">NET INCOME </v>
      </c>
      <c r="U151" s="595"/>
      <c r="V151" s="603">
        <f>V144-V149</f>
        <v>-975</v>
      </c>
      <c r="W151" s="603">
        <f>W144-W149</f>
        <v>-975</v>
      </c>
      <c r="X151" s="603">
        <f>X144-X149</f>
        <v>-975</v>
      </c>
      <c r="Y151" s="603">
        <f>Y144-Y149</f>
        <v>-975</v>
      </c>
      <c r="Z151" s="603"/>
      <c r="AA151" s="603">
        <f>AA144-AA149</f>
        <v>-3900</v>
      </c>
      <c r="AB151" s="188"/>
      <c r="AC151" s="188"/>
      <c r="AD151" s="166" t="str">
        <f>A151</f>
        <v xml:space="preserve">NET INCOME </v>
      </c>
      <c r="AF151" s="181">
        <f>C151</f>
        <v>-325</v>
      </c>
      <c r="AG151" s="181">
        <f t="shared" ref="AG151:AQ151" si="117">D151+AF151</f>
        <v>-650</v>
      </c>
      <c r="AH151" s="181">
        <f t="shared" si="117"/>
        <v>-975</v>
      </c>
      <c r="AI151" s="181">
        <f t="shared" si="117"/>
        <v>-1300</v>
      </c>
      <c r="AJ151" s="181">
        <f t="shared" si="117"/>
        <v>-1625</v>
      </c>
      <c r="AK151" s="181">
        <f t="shared" si="117"/>
        <v>-1950</v>
      </c>
      <c r="AL151" s="181">
        <f t="shared" si="117"/>
        <v>-2275</v>
      </c>
      <c r="AM151" s="181">
        <f t="shared" si="117"/>
        <v>-2600</v>
      </c>
      <c r="AN151" s="181">
        <f t="shared" si="117"/>
        <v>-2925</v>
      </c>
      <c r="AO151" s="181">
        <f t="shared" si="117"/>
        <v>-3250</v>
      </c>
      <c r="AP151" s="181">
        <f t="shared" si="117"/>
        <v>-3575</v>
      </c>
      <c r="AQ151" s="181">
        <f t="shared" si="117"/>
        <v>-3900</v>
      </c>
    </row>
    <row r="152" spans="1:43" x14ac:dyDescent="0.2">
      <c r="A152" s="170"/>
      <c r="C152" s="184"/>
      <c r="D152" s="177"/>
      <c r="E152" s="184"/>
      <c r="F152" s="184"/>
      <c r="G152" s="177"/>
      <c r="H152" s="184"/>
      <c r="I152" s="177"/>
      <c r="J152" s="177"/>
      <c r="K152" s="177"/>
      <c r="L152" s="177"/>
      <c r="M152" s="177"/>
      <c r="N152" s="177"/>
      <c r="O152" s="184"/>
      <c r="P152" s="177"/>
      <c r="Q152" s="177"/>
      <c r="R152" s="170"/>
      <c r="S152" s="170"/>
      <c r="T152" s="573"/>
      <c r="U152" s="807"/>
      <c r="V152" s="604"/>
      <c r="W152" s="604"/>
      <c r="X152" s="584"/>
      <c r="Y152" s="584"/>
      <c r="Z152" s="584"/>
      <c r="AA152" s="604"/>
      <c r="AB152" s="170"/>
      <c r="AC152" s="170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</row>
    <row r="153" spans="1:43" ht="6" customHeight="1" x14ac:dyDescent="0.2"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</row>
    <row r="154" spans="1:43" x14ac:dyDescent="0.2">
      <c r="A154" s="546" t="str">
        <f ca="1">CELL("FILENAME")</f>
        <v>P:\Finance\2002 Plan\[EMTW02PL.XLS]IncomeState</v>
      </c>
      <c r="C154" s="166"/>
      <c r="D154" s="166"/>
      <c r="E154" s="166"/>
      <c r="F154" s="166"/>
      <c r="G154" s="660" t="s">
        <v>588</v>
      </c>
      <c r="H154" s="522"/>
      <c r="I154" s="522"/>
      <c r="J154" s="522"/>
      <c r="K154" s="166"/>
      <c r="L154" s="166"/>
      <c r="M154" s="166"/>
      <c r="N154" s="166"/>
      <c r="O154" s="166"/>
      <c r="P154" s="166"/>
      <c r="Q154" s="166"/>
      <c r="R154" s="166"/>
      <c r="S154" s="167"/>
      <c r="T154" s="576" t="str">
        <f ca="1">A154</f>
        <v>P:\Finance\2002 Plan\[EMTW02PL.XLS]IncomeState</v>
      </c>
      <c r="U154" s="813" t="str">
        <f>G154</f>
        <v>TRANSWESTERN PIPELINE COMPANY (Co. 60 Only)</v>
      </c>
      <c r="V154" s="523"/>
      <c r="W154" s="571"/>
      <c r="X154" s="571"/>
      <c r="Y154" s="571"/>
      <c r="Z154" s="571"/>
      <c r="AA154" s="570"/>
      <c r="AB154" s="167"/>
      <c r="AC154" s="166"/>
      <c r="AD154" s="413" t="str">
        <f ca="1">A154</f>
        <v>P:\Finance\2002 Plan\[EMTW02PL.XLS]IncomeState</v>
      </c>
      <c r="AH154" s="522" t="str">
        <f>G154</f>
        <v>TRANSWESTERN PIPELINE COMPANY (Co. 60 Only)</v>
      </c>
      <c r="AI154" s="523"/>
      <c r="AJ154" s="522"/>
      <c r="AK154" s="522"/>
      <c r="AL154" s="526"/>
      <c r="AM154" s="523"/>
    </row>
    <row r="155" spans="1:43" x14ac:dyDescent="0.2">
      <c r="A155" s="401" t="s">
        <v>587</v>
      </c>
      <c r="C155" s="168"/>
      <c r="D155" s="169"/>
      <c r="E155" s="168"/>
      <c r="F155" s="167"/>
      <c r="G155" s="571" t="str">
        <f>G2</f>
        <v>2002 OPERATING PLAN</v>
      </c>
      <c r="H155" s="522"/>
      <c r="I155" s="522"/>
      <c r="J155" s="522"/>
      <c r="K155" s="168"/>
      <c r="L155" s="168"/>
      <c r="M155" s="168"/>
      <c r="N155" s="168"/>
      <c r="O155" s="166"/>
      <c r="P155" s="166"/>
      <c r="Q155" s="166"/>
      <c r="R155" s="166"/>
      <c r="S155" s="167"/>
      <c r="T155" s="669" t="s">
        <v>590</v>
      </c>
      <c r="U155" s="595"/>
      <c r="V155" s="592" t="str">
        <f>G155</f>
        <v>2002 OPERATING PLAN</v>
      </c>
      <c r="W155" s="571"/>
      <c r="X155" s="571"/>
      <c r="Y155" s="571"/>
      <c r="Z155" s="570"/>
      <c r="AA155" s="570"/>
      <c r="AB155" s="166"/>
      <c r="AC155" s="166"/>
      <c r="AD155" s="668" t="s">
        <v>591</v>
      </c>
      <c r="AF155" s="170"/>
      <c r="AG155" s="170"/>
      <c r="AH155" s="170"/>
      <c r="AI155" s="522" t="str">
        <f>G155</f>
        <v>2002 OPERATING PLAN</v>
      </c>
      <c r="AJ155" s="522"/>
      <c r="AK155" s="522"/>
      <c r="AL155" s="526"/>
      <c r="AN155" s="170"/>
      <c r="AO155" s="170"/>
      <c r="AP155" s="170"/>
      <c r="AQ155" s="170"/>
    </row>
    <row r="156" spans="1:43" x14ac:dyDescent="0.2">
      <c r="A156" s="671" t="str">
        <f>A3</f>
        <v>2002 OPERATING PLAN</v>
      </c>
      <c r="C156" s="168"/>
      <c r="D156" s="168"/>
      <c r="E156" s="168"/>
      <c r="F156" s="168"/>
      <c r="G156" s="571" t="str">
        <f>G3</f>
        <v xml:space="preserve">RESULTS OF OPERATIONS </v>
      </c>
      <c r="H156" s="522"/>
      <c r="I156" s="522"/>
      <c r="J156" s="414"/>
      <c r="K156" s="168"/>
      <c r="L156" s="168"/>
      <c r="M156" s="168"/>
      <c r="N156" s="168"/>
      <c r="O156" s="166"/>
      <c r="P156" s="166"/>
      <c r="Q156" s="166"/>
      <c r="R156" s="166"/>
      <c r="S156" s="167"/>
      <c r="T156" s="594" t="str">
        <f>A156</f>
        <v>2002 OPERATING PLAN</v>
      </c>
      <c r="U156" s="595"/>
      <c r="V156" s="592" t="str">
        <f>G156</f>
        <v xml:space="preserve">RESULTS OF OPERATIONS </v>
      </c>
      <c r="W156" s="571"/>
      <c r="X156" s="571"/>
      <c r="Y156" s="571"/>
      <c r="Z156" s="570"/>
      <c r="AA156" s="570"/>
      <c r="AB156" s="166"/>
      <c r="AC156" s="166"/>
      <c r="AD156" s="413" t="str">
        <f>A156</f>
        <v>2002 OPERATING PLAN</v>
      </c>
      <c r="AF156" s="170"/>
      <c r="AG156" s="170"/>
      <c r="AH156" s="170"/>
      <c r="AI156" s="521" t="s">
        <v>928</v>
      </c>
      <c r="AJ156" s="522"/>
      <c r="AK156" s="522"/>
      <c r="AL156" s="526"/>
      <c r="AN156" s="170"/>
      <c r="AO156" s="170"/>
      <c r="AP156" s="170"/>
      <c r="AQ156" s="170"/>
    </row>
    <row r="157" spans="1:43" x14ac:dyDescent="0.2">
      <c r="A157" s="398"/>
      <c r="B157" s="801">
        <f ca="1">NOW()</f>
        <v>37189.614922337962</v>
      </c>
      <c r="C157" s="168"/>
      <c r="D157" s="168"/>
      <c r="E157" s="168"/>
      <c r="F157" s="168"/>
      <c r="G157" s="571" t="str">
        <f>G4</f>
        <v>(Thousands of Dollars)</v>
      </c>
      <c r="H157" s="522"/>
      <c r="I157" s="522"/>
      <c r="J157" s="414"/>
      <c r="K157" s="168"/>
      <c r="L157" s="168"/>
      <c r="M157" s="168"/>
      <c r="N157" s="168"/>
      <c r="O157" s="166"/>
      <c r="P157" s="166"/>
      <c r="Q157" s="166"/>
      <c r="R157" s="166"/>
      <c r="S157" s="167"/>
      <c r="T157" s="569"/>
      <c r="U157" s="801">
        <f ca="1">NOW()</f>
        <v>37189.614922337962</v>
      </c>
      <c r="V157" s="592" t="str">
        <f>G157</f>
        <v>(Thousands of Dollars)</v>
      </c>
      <c r="W157" s="571"/>
      <c r="X157" s="571"/>
      <c r="Y157" s="571"/>
      <c r="Z157" s="570"/>
      <c r="AA157" s="570"/>
      <c r="AB157" s="166"/>
      <c r="AC157" s="166"/>
      <c r="AD157" s="166"/>
      <c r="AE157" s="801">
        <f ca="1">NOW()</f>
        <v>37189.614922337962</v>
      </c>
      <c r="AF157" s="170"/>
      <c r="AG157" s="170"/>
      <c r="AH157" s="170"/>
      <c r="AI157" s="522" t="str">
        <f>G157</f>
        <v>(Thousands of Dollars)</v>
      </c>
      <c r="AJ157" s="522"/>
      <c r="AK157" s="522"/>
      <c r="AL157" s="527"/>
      <c r="AN157" s="170"/>
      <c r="AO157" s="170"/>
      <c r="AP157" s="170"/>
      <c r="AQ157" s="170"/>
    </row>
    <row r="158" spans="1:43" x14ac:dyDescent="0.2">
      <c r="A158" s="409" t="s">
        <v>586</v>
      </c>
      <c r="B158" s="802">
        <f ca="1">NOW()</f>
        <v>37189.614922337962</v>
      </c>
      <c r="C158" s="168"/>
      <c r="D158" s="507"/>
      <c r="E158" s="168"/>
      <c r="F158" s="168"/>
      <c r="G158" s="406"/>
      <c r="H158" s="168"/>
      <c r="I158" s="171"/>
      <c r="J158" s="168"/>
      <c r="K158" s="168"/>
      <c r="L158" s="168"/>
      <c r="M158" s="168"/>
      <c r="N158" s="168"/>
      <c r="O158" s="166"/>
      <c r="P158" s="166"/>
      <c r="Q158" s="166"/>
      <c r="R158" s="166"/>
      <c r="S158" s="166"/>
      <c r="T158" s="665" t="s">
        <v>589</v>
      </c>
      <c r="U158" s="802">
        <f ca="1">NOW()</f>
        <v>37189.614922337962</v>
      </c>
      <c r="V158" s="570"/>
      <c r="W158" s="578"/>
      <c r="X158" s="578"/>
      <c r="Y158" s="578"/>
      <c r="Z158" s="578"/>
      <c r="AA158" s="578"/>
      <c r="AB158" s="166"/>
      <c r="AC158" s="166"/>
      <c r="AD158" s="409" t="s">
        <v>592</v>
      </c>
      <c r="AE158" s="802">
        <f ca="1">NOW()</f>
        <v>37189.614922337962</v>
      </c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</row>
    <row r="159" spans="1:43" x14ac:dyDescent="0.2">
      <c r="A159" s="170"/>
      <c r="C159" s="171" t="str">
        <f>DataBase!C2</f>
        <v>PLAN</v>
      </c>
      <c r="D159" s="171" t="str">
        <f>DataBase!D2</f>
        <v>PLAN</v>
      </c>
      <c r="E159" s="171" t="str">
        <f>DataBase!E2</f>
        <v>PLAN</v>
      </c>
      <c r="F159" s="171" t="str">
        <f>DataBase!F2</f>
        <v>PLAN</v>
      </c>
      <c r="G159" s="171" t="str">
        <f>DataBase!G2</f>
        <v>PLAN</v>
      </c>
      <c r="H159" s="171" t="str">
        <f>DataBase!H2</f>
        <v>PLAN</v>
      </c>
      <c r="I159" s="171" t="str">
        <f>DataBase!I2</f>
        <v>PLAN</v>
      </c>
      <c r="J159" s="171" t="str">
        <f>DataBase!J2</f>
        <v>PLAN</v>
      </c>
      <c r="K159" s="171" t="str">
        <f>DataBase!K2</f>
        <v>PLAN</v>
      </c>
      <c r="L159" s="171" t="str">
        <f>DataBase!L2</f>
        <v>PLAN</v>
      </c>
      <c r="M159" s="171" t="str">
        <f>DataBase!M2</f>
        <v>PLAN</v>
      </c>
      <c r="N159" s="171" t="str">
        <f>DataBase!N2</f>
        <v>PLAN</v>
      </c>
      <c r="O159" s="171" t="str">
        <f>DataBase!O2</f>
        <v>TOTAL</v>
      </c>
      <c r="P159" s="171" t="str">
        <f>P6</f>
        <v>FEB.</v>
      </c>
      <c r="Q159" s="171" t="str">
        <f>Q6</f>
        <v>ESTIMATE</v>
      </c>
      <c r="R159" s="166"/>
      <c r="S159" s="167"/>
      <c r="T159" s="570"/>
      <c r="U159" s="595"/>
      <c r="V159" s="595" t="s">
        <v>932</v>
      </c>
      <c r="W159" s="595" t="s">
        <v>933</v>
      </c>
      <c r="X159" s="595" t="s">
        <v>934</v>
      </c>
      <c r="Y159" s="595" t="s">
        <v>935</v>
      </c>
      <c r="Z159" s="578"/>
      <c r="AA159" s="596" t="str">
        <f>O159</f>
        <v>TOTAL</v>
      </c>
      <c r="AB159" s="166"/>
      <c r="AC159" s="166"/>
      <c r="AD159" s="170"/>
      <c r="AF159" s="171" t="str">
        <f t="shared" ref="AF159:AQ160" si="118">C159</f>
        <v>PLAN</v>
      </c>
      <c r="AG159" s="171" t="str">
        <f t="shared" si="118"/>
        <v>PLAN</v>
      </c>
      <c r="AH159" s="171" t="str">
        <f t="shared" si="118"/>
        <v>PLAN</v>
      </c>
      <c r="AI159" s="171" t="str">
        <f t="shared" si="118"/>
        <v>PLAN</v>
      </c>
      <c r="AJ159" s="171" t="str">
        <f t="shared" si="118"/>
        <v>PLAN</v>
      </c>
      <c r="AK159" s="171" t="str">
        <f t="shared" si="118"/>
        <v>PLAN</v>
      </c>
      <c r="AL159" s="171" t="str">
        <f t="shared" si="118"/>
        <v>PLAN</v>
      </c>
      <c r="AM159" s="171" t="str">
        <f t="shared" si="118"/>
        <v>PLAN</v>
      </c>
      <c r="AN159" s="171" t="str">
        <f t="shared" si="118"/>
        <v>PLAN</v>
      </c>
      <c r="AO159" s="171" t="str">
        <f t="shared" si="118"/>
        <v>PLAN</v>
      </c>
      <c r="AP159" s="171" t="str">
        <f t="shared" si="118"/>
        <v>PLAN</v>
      </c>
      <c r="AQ159" s="171" t="str">
        <f t="shared" si="118"/>
        <v>PLAN</v>
      </c>
    </row>
    <row r="160" spans="1:43" x14ac:dyDescent="0.2">
      <c r="A160" s="170"/>
      <c r="C160" s="173" t="str">
        <f>C7</f>
        <v>JAN</v>
      </c>
      <c r="D160" s="173" t="str">
        <f t="shared" ref="D160:Q160" si="119">D7</f>
        <v>FEB</v>
      </c>
      <c r="E160" s="173" t="str">
        <f t="shared" si="119"/>
        <v>MAR</v>
      </c>
      <c r="F160" s="173" t="str">
        <f t="shared" si="119"/>
        <v>APR</v>
      </c>
      <c r="G160" s="173" t="str">
        <f t="shared" si="119"/>
        <v>MAY</v>
      </c>
      <c r="H160" s="173" t="str">
        <f t="shared" si="119"/>
        <v>JUN</v>
      </c>
      <c r="I160" s="173" t="str">
        <f t="shared" si="119"/>
        <v>JUL</v>
      </c>
      <c r="J160" s="173" t="str">
        <f t="shared" si="119"/>
        <v>AUG</v>
      </c>
      <c r="K160" s="173" t="str">
        <f t="shared" si="119"/>
        <v>SEP</v>
      </c>
      <c r="L160" s="173" t="str">
        <f t="shared" si="119"/>
        <v>OCT</v>
      </c>
      <c r="M160" s="173" t="str">
        <f t="shared" si="119"/>
        <v>NOV</v>
      </c>
      <c r="N160" s="173" t="str">
        <f t="shared" si="119"/>
        <v>DEC</v>
      </c>
      <c r="O160" s="173">
        <f t="shared" si="119"/>
        <v>2002</v>
      </c>
      <c r="P160" s="173" t="str">
        <f t="shared" si="119"/>
        <v>Y-T-D</v>
      </c>
      <c r="Q160" s="173" t="str">
        <f t="shared" si="119"/>
        <v>R.M.</v>
      </c>
      <c r="R160" s="168"/>
      <c r="S160" s="167"/>
      <c r="T160" s="570"/>
      <c r="U160" s="595"/>
      <c r="V160" s="582" t="s">
        <v>938</v>
      </c>
      <c r="W160" s="597" t="str">
        <f>V$7</f>
        <v>Quarter</v>
      </c>
      <c r="X160" s="597" t="str">
        <f>W$7</f>
        <v>Quarter</v>
      </c>
      <c r="Y160" s="597" t="str">
        <f>X$7</f>
        <v>Quarter</v>
      </c>
      <c r="Z160" s="598"/>
      <c r="AA160" s="599">
        <f>O160</f>
        <v>2002</v>
      </c>
      <c r="AB160" s="166"/>
      <c r="AC160" s="166"/>
      <c r="AD160" s="170"/>
      <c r="AF160" s="173" t="str">
        <f t="shared" si="118"/>
        <v>JAN</v>
      </c>
      <c r="AG160" s="173" t="str">
        <f t="shared" si="118"/>
        <v>FEB</v>
      </c>
      <c r="AH160" s="173" t="str">
        <f t="shared" si="118"/>
        <v>MAR</v>
      </c>
      <c r="AI160" s="173" t="str">
        <f t="shared" si="118"/>
        <v>APR</v>
      </c>
      <c r="AJ160" s="173" t="str">
        <f t="shared" si="118"/>
        <v>MAY</v>
      </c>
      <c r="AK160" s="173" t="str">
        <f t="shared" si="118"/>
        <v>JUN</v>
      </c>
      <c r="AL160" s="173" t="str">
        <f t="shared" si="118"/>
        <v>JUL</v>
      </c>
      <c r="AM160" s="173" t="str">
        <f t="shared" si="118"/>
        <v>AUG</v>
      </c>
      <c r="AN160" s="173" t="str">
        <f t="shared" si="118"/>
        <v>SEP</v>
      </c>
      <c r="AO160" s="173" t="str">
        <f t="shared" si="118"/>
        <v>OCT</v>
      </c>
      <c r="AP160" s="173" t="str">
        <f t="shared" si="118"/>
        <v>NOV</v>
      </c>
      <c r="AQ160" s="173" t="str">
        <f t="shared" si="118"/>
        <v>DEC</v>
      </c>
    </row>
    <row r="161" spans="1:43" x14ac:dyDescent="0.2">
      <c r="A161" s="407" t="s">
        <v>939</v>
      </c>
      <c r="T161" s="600" t="str">
        <f>A161</f>
        <v>OPERATING REVENUES</v>
      </c>
      <c r="U161" s="807"/>
      <c r="V161" s="569"/>
      <c r="W161" s="569"/>
      <c r="X161" s="569"/>
      <c r="Y161" s="569"/>
      <c r="Z161" s="569"/>
      <c r="AA161" s="569"/>
      <c r="AD161" s="166" t="str">
        <f>A161</f>
        <v>OPERATING REVENUES</v>
      </c>
    </row>
    <row r="162" spans="1:43" x14ac:dyDescent="0.2">
      <c r="A162" s="408" t="s">
        <v>940</v>
      </c>
      <c r="C162" s="177">
        <f t="shared" ref="C162:N162" si="120">C9-C104</f>
        <v>0</v>
      </c>
      <c r="D162" s="177">
        <f t="shared" si="120"/>
        <v>0</v>
      </c>
      <c r="E162" s="177">
        <f t="shared" si="120"/>
        <v>0</v>
      </c>
      <c r="F162" s="177">
        <f t="shared" si="120"/>
        <v>0</v>
      </c>
      <c r="G162" s="177">
        <f t="shared" si="120"/>
        <v>0</v>
      </c>
      <c r="H162" s="177">
        <f t="shared" si="120"/>
        <v>0</v>
      </c>
      <c r="I162" s="177">
        <f t="shared" si="120"/>
        <v>0</v>
      </c>
      <c r="J162" s="177">
        <f t="shared" si="120"/>
        <v>0</v>
      </c>
      <c r="K162" s="177">
        <f t="shared" si="120"/>
        <v>0</v>
      </c>
      <c r="L162" s="177">
        <f t="shared" si="120"/>
        <v>0</v>
      </c>
      <c r="M162" s="177">
        <f t="shared" si="120"/>
        <v>0</v>
      </c>
      <c r="N162" s="177">
        <f t="shared" si="120"/>
        <v>0</v>
      </c>
      <c r="O162" s="177">
        <f>SUM(C162:N162)</f>
        <v>0</v>
      </c>
      <c r="P162" s="178">
        <f>SUM(C162:D162)</f>
        <v>0</v>
      </c>
      <c r="Q162" s="177">
        <f>O162-P162</f>
        <v>0</v>
      </c>
      <c r="R162" s="566"/>
      <c r="S162" s="170"/>
      <c r="T162" s="601" t="str">
        <f>A162</f>
        <v xml:space="preserve">   Gas Sales &amp; Liquids Revenue</v>
      </c>
      <c r="U162" s="807"/>
      <c r="V162" s="584">
        <f>C162+D162+E162</f>
        <v>0</v>
      </c>
      <c r="W162" s="584">
        <f>F162+G162+H162</f>
        <v>0</v>
      </c>
      <c r="X162" s="584">
        <f>I162+J162+K162</f>
        <v>0</v>
      </c>
      <c r="Y162" s="584">
        <f>L162+M162+N162</f>
        <v>0</v>
      </c>
      <c r="Z162" s="584"/>
      <c r="AA162" s="584">
        <f>SUM(V162:Y162)</f>
        <v>0</v>
      </c>
      <c r="AB162" s="170"/>
      <c r="AC162" s="170"/>
      <c r="AD162" s="165" t="str">
        <f>A162</f>
        <v xml:space="preserve">   Gas Sales &amp; Liquids Revenue</v>
      </c>
      <c r="AF162" s="177">
        <f>C162</f>
        <v>0</v>
      </c>
      <c r="AG162" s="177">
        <f t="shared" ref="AG162:AQ163" si="121">D162+AF162</f>
        <v>0</v>
      </c>
      <c r="AH162" s="177">
        <f t="shared" si="121"/>
        <v>0</v>
      </c>
      <c r="AI162" s="177">
        <f t="shared" si="121"/>
        <v>0</v>
      </c>
      <c r="AJ162" s="177">
        <f t="shared" si="121"/>
        <v>0</v>
      </c>
      <c r="AK162" s="177">
        <f t="shared" si="121"/>
        <v>0</v>
      </c>
      <c r="AL162" s="177">
        <f t="shared" si="121"/>
        <v>0</v>
      </c>
      <c r="AM162" s="177">
        <f t="shared" si="121"/>
        <v>0</v>
      </c>
      <c r="AN162" s="177">
        <f t="shared" si="121"/>
        <v>0</v>
      </c>
      <c r="AO162" s="177">
        <f t="shared" si="121"/>
        <v>0</v>
      </c>
      <c r="AP162" s="177">
        <f t="shared" si="121"/>
        <v>0</v>
      </c>
      <c r="AQ162" s="177">
        <f t="shared" si="121"/>
        <v>0</v>
      </c>
    </row>
    <row r="163" spans="1:43" x14ac:dyDescent="0.2">
      <c r="A163" s="408" t="s">
        <v>941</v>
      </c>
      <c r="C163" s="180">
        <f t="shared" ref="C163:N163" si="122">C10-C105</f>
        <v>0</v>
      </c>
      <c r="D163" s="180">
        <f t="shared" si="122"/>
        <v>0</v>
      </c>
      <c r="E163" s="180">
        <f t="shared" si="122"/>
        <v>0</v>
      </c>
      <c r="F163" s="180">
        <f t="shared" si="122"/>
        <v>0</v>
      </c>
      <c r="G163" s="180">
        <f t="shared" si="122"/>
        <v>0</v>
      </c>
      <c r="H163" s="180">
        <f t="shared" si="122"/>
        <v>0</v>
      </c>
      <c r="I163" s="180">
        <f t="shared" si="122"/>
        <v>0</v>
      </c>
      <c r="J163" s="180">
        <f t="shared" si="122"/>
        <v>0</v>
      </c>
      <c r="K163" s="180">
        <f t="shared" si="122"/>
        <v>0</v>
      </c>
      <c r="L163" s="180">
        <f t="shared" si="122"/>
        <v>0</v>
      </c>
      <c r="M163" s="180">
        <f t="shared" si="122"/>
        <v>0</v>
      </c>
      <c r="N163" s="180">
        <f t="shared" si="122"/>
        <v>0</v>
      </c>
      <c r="O163" s="180">
        <f>SUM(C163:N163)</f>
        <v>0</v>
      </c>
      <c r="P163" s="263">
        <f>SUM(C163:D163)</f>
        <v>0</v>
      </c>
      <c r="Q163" s="180">
        <f>O163-P163</f>
        <v>0</v>
      </c>
      <c r="R163" s="567"/>
      <c r="S163" s="170"/>
      <c r="T163" s="601" t="str">
        <f>A163</f>
        <v xml:space="preserve">     Less:  Cost of Sales</v>
      </c>
      <c r="U163" s="807"/>
      <c r="V163" s="586">
        <f>C163+D163+E163</f>
        <v>0</v>
      </c>
      <c r="W163" s="586">
        <f>F163+G163+H163</f>
        <v>0</v>
      </c>
      <c r="X163" s="586">
        <f>I163+J163+K163</f>
        <v>0</v>
      </c>
      <c r="Y163" s="586">
        <f>L163+M163+N163</f>
        <v>0</v>
      </c>
      <c r="Z163" s="586"/>
      <c r="AA163" s="586">
        <f>SUM(V163:Y163)</f>
        <v>0</v>
      </c>
      <c r="AB163" s="170"/>
      <c r="AC163" s="170"/>
      <c r="AD163" s="165" t="str">
        <f>A163</f>
        <v xml:space="preserve">     Less:  Cost of Sales</v>
      </c>
      <c r="AF163" s="180">
        <f>C163</f>
        <v>0</v>
      </c>
      <c r="AG163" s="180">
        <f t="shared" si="121"/>
        <v>0</v>
      </c>
      <c r="AH163" s="180">
        <f t="shared" si="121"/>
        <v>0</v>
      </c>
      <c r="AI163" s="180">
        <f t="shared" si="121"/>
        <v>0</v>
      </c>
      <c r="AJ163" s="180">
        <f t="shared" si="121"/>
        <v>0</v>
      </c>
      <c r="AK163" s="180">
        <f t="shared" si="121"/>
        <v>0</v>
      </c>
      <c r="AL163" s="180">
        <f t="shared" si="121"/>
        <v>0</v>
      </c>
      <c r="AM163" s="180">
        <f t="shared" si="121"/>
        <v>0</v>
      </c>
      <c r="AN163" s="180">
        <f t="shared" si="121"/>
        <v>0</v>
      </c>
      <c r="AO163" s="180">
        <f t="shared" si="121"/>
        <v>0</v>
      </c>
      <c r="AP163" s="180">
        <f t="shared" si="121"/>
        <v>0</v>
      </c>
      <c r="AQ163" s="180">
        <f t="shared" si="121"/>
        <v>0</v>
      </c>
    </row>
    <row r="164" spans="1:43" ht="6" customHeight="1" x14ac:dyDescent="0.2">
      <c r="A164" s="398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8"/>
      <c r="S164" s="170"/>
      <c r="T164" s="569"/>
      <c r="U164" s="807"/>
      <c r="V164" s="584"/>
      <c r="W164" s="584"/>
      <c r="X164" s="584"/>
      <c r="Y164" s="584"/>
      <c r="Z164" s="584"/>
      <c r="AA164" s="584"/>
      <c r="AB164" s="170"/>
      <c r="AC164" s="170"/>
      <c r="AD164" s="170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</row>
    <row r="165" spans="1:43" x14ac:dyDescent="0.2">
      <c r="A165" s="409" t="s">
        <v>942</v>
      </c>
      <c r="B165" s="803"/>
      <c r="C165" s="181">
        <f t="shared" ref="C165:Q165" si="123">C162-C163</f>
        <v>0</v>
      </c>
      <c r="D165" s="181">
        <f t="shared" si="123"/>
        <v>0</v>
      </c>
      <c r="E165" s="181">
        <f t="shared" si="123"/>
        <v>0</v>
      </c>
      <c r="F165" s="181">
        <f t="shared" si="123"/>
        <v>0</v>
      </c>
      <c r="G165" s="181">
        <f t="shared" si="123"/>
        <v>0</v>
      </c>
      <c r="H165" s="181">
        <f t="shared" si="123"/>
        <v>0</v>
      </c>
      <c r="I165" s="181">
        <f t="shared" si="123"/>
        <v>0</v>
      </c>
      <c r="J165" s="181">
        <f t="shared" si="123"/>
        <v>0</v>
      </c>
      <c r="K165" s="181">
        <f t="shared" si="123"/>
        <v>0</v>
      </c>
      <c r="L165" s="181">
        <f t="shared" si="123"/>
        <v>0</v>
      </c>
      <c r="M165" s="181">
        <f t="shared" si="123"/>
        <v>0</v>
      </c>
      <c r="N165" s="181">
        <f t="shared" si="123"/>
        <v>0</v>
      </c>
      <c r="O165" s="181">
        <f t="shared" si="123"/>
        <v>0</v>
      </c>
      <c r="P165" s="181">
        <f t="shared" si="123"/>
        <v>0</v>
      </c>
      <c r="Q165" s="181">
        <f t="shared" si="123"/>
        <v>0</v>
      </c>
      <c r="R165" s="543"/>
      <c r="S165" s="168"/>
      <c r="T165" s="600" t="str">
        <f>A165</f>
        <v xml:space="preserve">      Sales Margin</v>
      </c>
      <c r="U165" s="595"/>
      <c r="V165" s="602">
        <f>V162-V163</f>
        <v>0</v>
      </c>
      <c r="W165" s="602">
        <f>W162-W163</f>
        <v>0</v>
      </c>
      <c r="X165" s="602">
        <f>X162-X163</f>
        <v>0</v>
      </c>
      <c r="Y165" s="602">
        <f>Y162-Y163</f>
        <v>0</v>
      </c>
      <c r="Z165" s="602"/>
      <c r="AA165" s="602">
        <f>AA162-AA163</f>
        <v>0</v>
      </c>
      <c r="AB165" s="168"/>
      <c r="AC165" s="168"/>
      <c r="AD165" s="166" t="str">
        <f>A165</f>
        <v xml:space="preserve">      Sales Margin</v>
      </c>
      <c r="AF165" s="182">
        <f>C165</f>
        <v>0</v>
      </c>
      <c r="AG165" s="182">
        <f t="shared" ref="AG165:AQ165" si="124">D165+AF165</f>
        <v>0</v>
      </c>
      <c r="AH165" s="182">
        <f t="shared" si="124"/>
        <v>0</v>
      </c>
      <c r="AI165" s="182">
        <f t="shared" si="124"/>
        <v>0</v>
      </c>
      <c r="AJ165" s="182">
        <f t="shared" si="124"/>
        <v>0</v>
      </c>
      <c r="AK165" s="182">
        <f t="shared" si="124"/>
        <v>0</v>
      </c>
      <c r="AL165" s="182">
        <f t="shared" si="124"/>
        <v>0</v>
      </c>
      <c r="AM165" s="182">
        <f t="shared" si="124"/>
        <v>0</v>
      </c>
      <c r="AN165" s="182">
        <f t="shared" si="124"/>
        <v>0</v>
      </c>
      <c r="AO165" s="182">
        <f t="shared" si="124"/>
        <v>0</v>
      </c>
      <c r="AP165" s="182">
        <f t="shared" si="124"/>
        <v>0</v>
      </c>
      <c r="AQ165" s="182">
        <f t="shared" si="124"/>
        <v>0</v>
      </c>
    </row>
    <row r="166" spans="1:43" ht="6" customHeight="1" x14ac:dyDescent="0.2">
      <c r="A166" s="398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8"/>
      <c r="S166" s="170"/>
      <c r="T166" s="569"/>
      <c r="U166" s="807"/>
      <c r="V166" s="584"/>
      <c r="W166" s="584"/>
      <c r="X166" s="584"/>
      <c r="Y166" s="584"/>
      <c r="Z166" s="584"/>
      <c r="AA166" s="584"/>
      <c r="AB166" s="170"/>
      <c r="AC166" s="170"/>
      <c r="AD166" s="183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</row>
    <row r="167" spans="1:43" x14ac:dyDescent="0.2">
      <c r="A167" s="408" t="s">
        <v>943</v>
      </c>
      <c r="C167" s="177">
        <f t="shared" ref="C167:N167" si="125">C14-C109</f>
        <v>13565</v>
      </c>
      <c r="D167" s="177">
        <f t="shared" si="125"/>
        <v>12079</v>
      </c>
      <c r="E167" s="177">
        <f t="shared" si="125"/>
        <v>13229</v>
      </c>
      <c r="F167" s="177">
        <f t="shared" si="125"/>
        <v>12985</v>
      </c>
      <c r="G167" s="177">
        <f t="shared" si="125"/>
        <v>13446</v>
      </c>
      <c r="H167" s="177">
        <f t="shared" si="125"/>
        <v>14152</v>
      </c>
      <c r="I167" s="177">
        <f t="shared" si="125"/>
        <v>15196</v>
      </c>
      <c r="J167" s="177">
        <f t="shared" si="125"/>
        <v>15187</v>
      </c>
      <c r="K167" s="177">
        <f t="shared" si="125"/>
        <v>14659</v>
      </c>
      <c r="L167" s="177">
        <f t="shared" si="125"/>
        <v>15005</v>
      </c>
      <c r="M167" s="177">
        <f t="shared" si="125"/>
        <v>15160</v>
      </c>
      <c r="N167" s="177">
        <f t="shared" si="125"/>
        <v>15579</v>
      </c>
      <c r="O167" s="177">
        <f>SUM(C167:N167)</f>
        <v>170242</v>
      </c>
      <c r="P167" s="178">
        <f>SUM(C167:D167)</f>
        <v>25644</v>
      </c>
      <c r="Q167" s="177">
        <f>O167-P167</f>
        <v>144598</v>
      </c>
      <c r="R167" s="566"/>
      <c r="S167" s="170"/>
      <c r="T167" s="601" t="str">
        <f>A167</f>
        <v xml:space="preserve">   Transportation &amp; Storage Revenue</v>
      </c>
      <c r="U167" s="807"/>
      <c r="V167" s="584">
        <f>C167+D167+E167</f>
        <v>38873</v>
      </c>
      <c r="W167" s="584">
        <f>F167+G167+H167</f>
        <v>40583</v>
      </c>
      <c r="X167" s="584">
        <f>I167+J167+K167</f>
        <v>45042</v>
      </c>
      <c r="Y167" s="584">
        <f>L167+M167+N167</f>
        <v>45744</v>
      </c>
      <c r="Z167" s="584"/>
      <c r="AA167" s="584">
        <f>SUM(V167:Y167)</f>
        <v>170242</v>
      </c>
      <c r="AB167" s="170"/>
      <c r="AC167" s="170"/>
      <c r="AD167" s="165" t="str">
        <f>A167</f>
        <v xml:space="preserve">   Transportation &amp; Storage Revenue</v>
      </c>
      <c r="AF167" s="177">
        <f>C167</f>
        <v>13565</v>
      </c>
      <c r="AG167" s="177">
        <f t="shared" ref="AG167:AQ168" si="126">D167+AF167</f>
        <v>25644</v>
      </c>
      <c r="AH167" s="177">
        <f t="shared" si="126"/>
        <v>38873</v>
      </c>
      <c r="AI167" s="177">
        <f t="shared" si="126"/>
        <v>51858</v>
      </c>
      <c r="AJ167" s="177">
        <f t="shared" si="126"/>
        <v>65304</v>
      </c>
      <c r="AK167" s="177">
        <f t="shared" si="126"/>
        <v>79456</v>
      </c>
      <c r="AL167" s="177">
        <f t="shared" si="126"/>
        <v>94652</v>
      </c>
      <c r="AM167" s="177">
        <f t="shared" si="126"/>
        <v>109839</v>
      </c>
      <c r="AN167" s="177">
        <f t="shared" si="126"/>
        <v>124498</v>
      </c>
      <c r="AO167" s="177">
        <f t="shared" si="126"/>
        <v>139503</v>
      </c>
      <c r="AP167" s="177">
        <f t="shared" si="126"/>
        <v>154663</v>
      </c>
      <c r="AQ167" s="177">
        <f t="shared" si="126"/>
        <v>170242</v>
      </c>
    </row>
    <row r="168" spans="1:43" x14ac:dyDescent="0.2">
      <c r="A168" s="408" t="s">
        <v>311</v>
      </c>
      <c r="C168" s="180">
        <f t="shared" ref="C168:N168" si="127">C15-C110</f>
        <v>24</v>
      </c>
      <c r="D168" s="180">
        <f t="shared" si="127"/>
        <v>24</v>
      </c>
      <c r="E168" s="180">
        <f t="shared" si="127"/>
        <v>23</v>
      </c>
      <c r="F168" s="180">
        <f t="shared" si="127"/>
        <v>24</v>
      </c>
      <c r="G168" s="180">
        <f t="shared" si="127"/>
        <v>24</v>
      </c>
      <c r="H168" s="180">
        <f t="shared" si="127"/>
        <v>23</v>
      </c>
      <c r="I168" s="180">
        <f t="shared" si="127"/>
        <v>24</v>
      </c>
      <c r="J168" s="180">
        <f t="shared" si="127"/>
        <v>24</v>
      </c>
      <c r="K168" s="180">
        <f t="shared" si="127"/>
        <v>23</v>
      </c>
      <c r="L168" s="180">
        <f t="shared" si="127"/>
        <v>24</v>
      </c>
      <c r="M168" s="180">
        <f t="shared" si="127"/>
        <v>24</v>
      </c>
      <c r="N168" s="180">
        <f t="shared" si="127"/>
        <v>24</v>
      </c>
      <c r="O168" s="180">
        <f>SUM(C168:N168)</f>
        <v>285</v>
      </c>
      <c r="P168" s="263">
        <f>SUM(C168:D168)</f>
        <v>48</v>
      </c>
      <c r="Q168" s="180">
        <f>O168-P168</f>
        <v>237</v>
      </c>
      <c r="R168" s="567"/>
      <c r="S168" s="170"/>
      <c r="T168" s="601" t="str">
        <f>A168</f>
        <v xml:space="preserve">   Other Revenue</v>
      </c>
      <c r="U168" s="807"/>
      <c r="V168" s="586">
        <f>C168+D168+E168</f>
        <v>71</v>
      </c>
      <c r="W168" s="586">
        <f>F168+G168+H168</f>
        <v>71</v>
      </c>
      <c r="X168" s="586">
        <f>I168+J168+K168</f>
        <v>71</v>
      </c>
      <c r="Y168" s="586">
        <f>L168+M168+N168</f>
        <v>72</v>
      </c>
      <c r="Z168" s="586"/>
      <c r="AA168" s="586">
        <f>SUM(V168:Y168)</f>
        <v>285</v>
      </c>
      <c r="AB168" s="170"/>
      <c r="AC168" s="170"/>
      <c r="AD168" s="165" t="str">
        <f>A168</f>
        <v xml:space="preserve">   Other Revenue</v>
      </c>
      <c r="AF168" s="180">
        <f>C168</f>
        <v>24</v>
      </c>
      <c r="AG168" s="180">
        <f t="shared" si="126"/>
        <v>48</v>
      </c>
      <c r="AH168" s="180">
        <f t="shared" si="126"/>
        <v>71</v>
      </c>
      <c r="AI168" s="180">
        <f t="shared" si="126"/>
        <v>95</v>
      </c>
      <c r="AJ168" s="180">
        <f t="shared" si="126"/>
        <v>119</v>
      </c>
      <c r="AK168" s="180">
        <f t="shared" si="126"/>
        <v>142</v>
      </c>
      <c r="AL168" s="180">
        <f t="shared" si="126"/>
        <v>166</v>
      </c>
      <c r="AM168" s="180">
        <f t="shared" si="126"/>
        <v>190</v>
      </c>
      <c r="AN168" s="180">
        <f t="shared" si="126"/>
        <v>213</v>
      </c>
      <c r="AO168" s="180">
        <f t="shared" si="126"/>
        <v>237</v>
      </c>
      <c r="AP168" s="180">
        <f t="shared" si="126"/>
        <v>261</v>
      </c>
      <c r="AQ168" s="180">
        <f t="shared" si="126"/>
        <v>285</v>
      </c>
    </row>
    <row r="169" spans="1:43" ht="3.95" customHeight="1" x14ac:dyDescent="0.2">
      <c r="A169" s="170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8"/>
      <c r="S169" s="170"/>
      <c r="T169" s="601"/>
      <c r="U169" s="807"/>
      <c r="V169" s="584"/>
      <c r="W169" s="584"/>
      <c r="X169" s="584"/>
      <c r="Y169" s="584"/>
      <c r="Z169" s="584"/>
      <c r="AA169" s="584"/>
      <c r="AB169" s="170"/>
      <c r="AC169" s="170"/>
      <c r="AD169" s="170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77"/>
      <c r="AP169" s="177"/>
      <c r="AQ169" s="177"/>
    </row>
    <row r="170" spans="1:43" x14ac:dyDescent="0.2">
      <c r="A170" s="407" t="s">
        <v>312</v>
      </c>
      <c r="B170" s="804"/>
      <c r="C170" s="181">
        <f>C165+C167+C168</f>
        <v>13589</v>
      </c>
      <c r="D170" s="181">
        <f t="shared" ref="D170:Q170" si="128">D165+D167+D168</f>
        <v>12103</v>
      </c>
      <c r="E170" s="181">
        <f t="shared" si="128"/>
        <v>13252</v>
      </c>
      <c r="F170" s="181">
        <f t="shared" si="128"/>
        <v>13009</v>
      </c>
      <c r="G170" s="181">
        <f t="shared" si="128"/>
        <v>13470</v>
      </c>
      <c r="H170" s="181">
        <f t="shared" si="128"/>
        <v>14175</v>
      </c>
      <c r="I170" s="181">
        <f t="shared" si="128"/>
        <v>15220</v>
      </c>
      <c r="J170" s="181">
        <f t="shared" si="128"/>
        <v>15211</v>
      </c>
      <c r="K170" s="181">
        <f t="shared" si="128"/>
        <v>14682</v>
      </c>
      <c r="L170" s="181">
        <f t="shared" si="128"/>
        <v>15029</v>
      </c>
      <c r="M170" s="181">
        <f t="shared" si="128"/>
        <v>15184</v>
      </c>
      <c r="N170" s="181">
        <f t="shared" si="128"/>
        <v>15603</v>
      </c>
      <c r="O170" s="181">
        <f t="shared" si="128"/>
        <v>170527</v>
      </c>
      <c r="P170" s="181">
        <f t="shared" si="128"/>
        <v>25692</v>
      </c>
      <c r="Q170" s="181">
        <f t="shared" si="128"/>
        <v>144835</v>
      </c>
      <c r="R170" s="543"/>
      <c r="S170" s="168"/>
      <c r="T170" s="600" t="str">
        <f>A170</f>
        <v xml:space="preserve">      Net Operating Income</v>
      </c>
      <c r="U170" s="595"/>
      <c r="V170" s="603">
        <f>SUM(V165:V168)</f>
        <v>38944</v>
      </c>
      <c r="W170" s="603">
        <f>SUM(W165:W168)</f>
        <v>40654</v>
      </c>
      <c r="X170" s="603">
        <f>SUM(X165:X168)</f>
        <v>45113</v>
      </c>
      <c r="Y170" s="603">
        <f>SUM(Y165:Y168)</f>
        <v>45816</v>
      </c>
      <c r="Z170" s="603"/>
      <c r="AA170" s="603">
        <f>SUM(AA165:AA168)</f>
        <v>170527</v>
      </c>
      <c r="AB170" s="168"/>
      <c r="AC170" s="168"/>
      <c r="AD170" s="166" t="str">
        <f>A170</f>
        <v xml:space="preserve">      Net Operating Income</v>
      </c>
      <c r="AF170" s="181">
        <f>C170</f>
        <v>13589</v>
      </c>
      <c r="AG170" s="181">
        <f t="shared" ref="AG170:AQ170" si="129">D170+AF170</f>
        <v>25692</v>
      </c>
      <c r="AH170" s="181">
        <f t="shared" si="129"/>
        <v>38944</v>
      </c>
      <c r="AI170" s="181">
        <f t="shared" si="129"/>
        <v>51953</v>
      </c>
      <c r="AJ170" s="181">
        <f t="shared" si="129"/>
        <v>65423</v>
      </c>
      <c r="AK170" s="181">
        <f t="shared" si="129"/>
        <v>79598</v>
      </c>
      <c r="AL170" s="181">
        <f t="shared" si="129"/>
        <v>94818</v>
      </c>
      <c r="AM170" s="181">
        <f t="shared" si="129"/>
        <v>110029</v>
      </c>
      <c r="AN170" s="181">
        <f t="shared" si="129"/>
        <v>124711</v>
      </c>
      <c r="AO170" s="181">
        <f t="shared" si="129"/>
        <v>139740</v>
      </c>
      <c r="AP170" s="181">
        <f t="shared" si="129"/>
        <v>154924</v>
      </c>
      <c r="AQ170" s="181">
        <f t="shared" si="129"/>
        <v>170527</v>
      </c>
    </row>
    <row r="171" spans="1:43" x14ac:dyDescent="0.2">
      <c r="A171" s="170"/>
      <c r="C171" s="177"/>
      <c r="D171" s="177"/>
      <c r="E171" s="177"/>
      <c r="F171" s="184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8"/>
      <c r="S171" s="170"/>
      <c r="T171" s="601"/>
      <c r="U171" s="807"/>
      <c r="V171" s="584"/>
      <c r="W171" s="584"/>
      <c r="X171" s="584"/>
      <c r="Y171" s="584"/>
      <c r="Z171" s="584"/>
      <c r="AA171" s="584"/>
      <c r="AB171" s="170"/>
      <c r="AC171" s="170"/>
      <c r="AD171" s="170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</row>
    <row r="172" spans="1:43" x14ac:dyDescent="0.2">
      <c r="A172" s="407" t="s">
        <v>313</v>
      </c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7"/>
      <c r="R172" s="178"/>
      <c r="S172" s="170"/>
      <c r="T172" s="600" t="str">
        <f t="shared" ref="T172:T178" si="130">A172</f>
        <v>OPERATING EXPENSES</v>
      </c>
      <c r="U172" s="807"/>
      <c r="V172" s="584"/>
      <c r="W172" s="584"/>
      <c r="X172" s="584"/>
      <c r="Y172" s="584"/>
      <c r="Z172" s="584"/>
      <c r="AA172" s="584"/>
      <c r="AB172" s="170"/>
      <c r="AC172" s="170"/>
      <c r="AD172" s="166" t="str">
        <f t="shared" ref="AD172:AD178" si="131">A172</f>
        <v>OPERATING EXPENSES</v>
      </c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</row>
    <row r="173" spans="1:43" x14ac:dyDescent="0.2">
      <c r="A173" s="408" t="s">
        <v>314</v>
      </c>
      <c r="C173" s="177">
        <f t="shared" ref="C173:N173" si="132">C20-C115</f>
        <v>4078</v>
      </c>
      <c r="D173" s="177">
        <f t="shared" si="132"/>
        <v>4138</v>
      </c>
      <c r="E173" s="177">
        <f t="shared" si="132"/>
        <v>4049</v>
      </c>
      <c r="F173" s="177">
        <f t="shared" si="132"/>
        <v>4041</v>
      </c>
      <c r="G173" s="177">
        <f t="shared" si="132"/>
        <v>4077</v>
      </c>
      <c r="H173" s="177">
        <f t="shared" si="132"/>
        <v>4146</v>
      </c>
      <c r="I173" s="177">
        <f t="shared" si="132"/>
        <v>4729</v>
      </c>
      <c r="J173" s="177">
        <f t="shared" si="132"/>
        <v>4750</v>
      </c>
      <c r="K173" s="177">
        <f t="shared" si="132"/>
        <v>4780</v>
      </c>
      <c r="L173" s="177">
        <f t="shared" si="132"/>
        <v>4732</v>
      </c>
      <c r="M173" s="177">
        <f t="shared" si="132"/>
        <v>4702</v>
      </c>
      <c r="N173" s="177">
        <f t="shared" si="132"/>
        <v>4815</v>
      </c>
      <c r="O173" s="177">
        <f t="shared" ref="O173:O178" si="133">SUM(C173:N173)</f>
        <v>53037</v>
      </c>
      <c r="P173" s="178">
        <f t="shared" ref="P173:P178" si="134">SUM(C173:D173)</f>
        <v>8216</v>
      </c>
      <c r="Q173" s="177">
        <f t="shared" ref="Q173:Q178" si="135">O173-P173</f>
        <v>44821</v>
      </c>
      <c r="R173" s="566"/>
      <c r="S173" s="170"/>
      <c r="T173" s="601" t="str">
        <f t="shared" si="130"/>
        <v xml:space="preserve">   Operations and Maintenance</v>
      </c>
      <c r="U173" s="807"/>
      <c r="V173" s="584">
        <f t="shared" ref="V173:V178" si="136">C173+D173+E173</f>
        <v>12265</v>
      </c>
      <c r="W173" s="584">
        <f t="shared" ref="W173:W178" si="137">F173+G173+H173</f>
        <v>12264</v>
      </c>
      <c r="X173" s="584">
        <f t="shared" ref="X173:X178" si="138">I173+J173+K173</f>
        <v>14259</v>
      </c>
      <c r="Y173" s="584">
        <f t="shared" ref="Y173:Y178" si="139">L173+M173+N173</f>
        <v>14249</v>
      </c>
      <c r="Z173" s="584"/>
      <c r="AA173" s="584">
        <f t="shared" ref="AA173:AA178" si="140">SUM(V173:Y173)</f>
        <v>53037</v>
      </c>
      <c r="AB173" s="170"/>
      <c r="AD173" s="165" t="str">
        <f t="shared" si="131"/>
        <v xml:space="preserve">   Operations and Maintenance</v>
      </c>
      <c r="AF173" s="177">
        <f t="shared" ref="AF173:AF178" si="141">C173</f>
        <v>4078</v>
      </c>
      <c r="AG173" s="177">
        <f t="shared" ref="AG173:AG178" si="142">D173+AF173</f>
        <v>8216</v>
      </c>
      <c r="AH173" s="177">
        <f t="shared" ref="AH173:AH178" si="143">E173+AG173</f>
        <v>12265</v>
      </c>
      <c r="AI173" s="177">
        <f t="shared" ref="AI173:AI178" si="144">F173+AH173</f>
        <v>16306</v>
      </c>
      <c r="AJ173" s="177">
        <f t="shared" ref="AJ173:AJ178" si="145">G173+AI173</f>
        <v>20383</v>
      </c>
      <c r="AK173" s="177">
        <f t="shared" ref="AK173:AK178" si="146">H173+AJ173</f>
        <v>24529</v>
      </c>
      <c r="AL173" s="177">
        <f t="shared" ref="AL173:AL178" si="147">I173+AK173</f>
        <v>29258</v>
      </c>
      <c r="AM173" s="177">
        <f t="shared" ref="AM173:AM178" si="148">J173+AL173</f>
        <v>34008</v>
      </c>
      <c r="AN173" s="177">
        <f t="shared" ref="AN173:AN178" si="149">K173+AM173</f>
        <v>38788</v>
      </c>
      <c r="AO173" s="177">
        <f t="shared" ref="AO173:AO178" si="150">L173+AN173</f>
        <v>43520</v>
      </c>
      <c r="AP173" s="177">
        <f t="shared" ref="AP173:AP178" si="151">M173+AO173</f>
        <v>48222</v>
      </c>
      <c r="AQ173" s="177">
        <f t="shared" ref="AQ173:AQ178" si="152">N173+AP173</f>
        <v>53037</v>
      </c>
    </row>
    <row r="174" spans="1:43" x14ac:dyDescent="0.2">
      <c r="A174" s="408" t="s">
        <v>315</v>
      </c>
      <c r="C174" s="177">
        <f t="shared" ref="C174:N174" si="153">C21-C116</f>
        <v>640</v>
      </c>
      <c r="D174" s="177">
        <f t="shared" si="153"/>
        <v>625</v>
      </c>
      <c r="E174" s="177">
        <f t="shared" si="153"/>
        <v>638</v>
      </c>
      <c r="F174" s="177">
        <f t="shared" si="153"/>
        <v>633</v>
      </c>
      <c r="G174" s="177">
        <f t="shared" si="153"/>
        <v>636</v>
      </c>
      <c r="H174" s="177">
        <f t="shared" si="153"/>
        <v>634</v>
      </c>
      <c r="I174" s="177">
        <f t="shared" si="153"/>
        <v>633</v>
      </c>
      <c r="J174" s="177">
        <f t="shared" si="153"/>
        <v>642</v>
      </c>
      <c r="K174" s="177">
        <f t="shared" si="153"/>
        <v>641</v>
      </c>
      <c r="L174" s="177">
        <f t="shared" si="153"/>
        <v>644</v>
      </c>
      <c r="M174" s="177">
        <f t="shared" si="153"/>
        <v>628</v>
      </c>
      <c r="N174" s="177">
        <f t="shared" si="153"/>
        <v>639</v>
      </c>
      <c r="O174" s="177">
        <f t="shared" si="133"/>
        <v>7633</v>
      </c>
      <c r="P174" s="178">
        <f t="shared" si="134"/>
        <v>1265</v>
      </c>
      <c r="Q174" s="177">
        <f t="shared" si="135"/>
        <v>6368</v>
      </c>
      <c r="R174" s="566"/>
      <c r="S174" s="170"/>
      <c r="T174" s="601" t="str">
        <f t="shared" si="130"/>
        <v xml:space="preserve">   Regulatory Amortization</v>
      </c>
      <c r="U174" s="807"/>
      <c r="V174" s="584">
        <f t="shared" si="136"/>
        <v>1903</v>
      </c>
      <c r="W174" s="584">
        <f t="shared" si="137"/>
        <v>1903</v>
      </c>
      <c r="X174" s="584">
        <f t="shared" si="138"/>
        <v>1916</v>
      </c>
      <c r="Y174" s="584">
        <f t="shared" si="139"/>
        <v>1911</v>
      </c>
      <c r="Z174" s="584"/>
      <c r="AA174" s="584">
        <f t="shared" si="140"/>
        <v>7633</v>
      </c>
      <c r="AB174" s="170"/>
      <c r="AC174" s="170"/>
      <c r="AD174" s="165" t="str">
        <f t="shared" si="131"/>
        <v xml:space="preserve">   Regulatory Amortization</v>
      </c>
      <c r="AF174" s="177">
        <f t="shared" si="141"/>
        <v>640</v>
      </c>
      <c r="AG174" s="177">
        <f t="shared" si="142"/>
        <v>1265</v>
      </c>
      <c r="AH174" s="177">
        <f t="shared" si="143"/>
        <v>1903</v>
      </c>
      <c r="AI174" s="177">
        <f t="shared" si="144"/>
        <v>2536</v>
      </c>
      <c r="AJ174" s="177">
        <f t="shared" si="145"/>
        <v>3172</v>
      </c>
      <c r="AK174" s="177">
        <f t="shared" si="146"/>
        <v>3806</v>
      </c>
      <c r="AL174" s="177">
        <f t="shared" si="147"/>
        <v>4439</v>
      </c>
      <c r="AM174" s="177">
        <f t="shared" si="148"/>
        <v>5081</v>
      </c>
      <c r="AN174" s="177">
        <f t="shared" si="149"/>
        <v>5722</v>
      </c>
      <c r="AO174" s="177">
        <f t="shared" si="150"/>
        <v>6366</v>
      </c>
      <c r="AP174" s="177">
        <f t="shared" si="151"/>
        <v>6994</v>
      </c>
      <c r="AQ174" s="177">
        <f t="shared" si="152"/>
        <v>7633</v>
      </c>
    </row>
    <row r="175" spans="1:43" x14ac:dyDescent="0.2">
      <c r="A175" s="410" t="s">
        <v>316</v>
      </c>
      <c r="C175" s="177">
        <f t="shared" ref="C175:N175" si="154">C22-C117</f>
        <v>-2786</v>
      </c>
      <c r="D175" s="177">
        <f t="shared" si="154"/>
        <v>-2481</v>
      </c>
      <c r="E175" s="177">
        <f t="shared" si="154"/>
        <v>-2652</v>
      </c>
      <c r="F175" s="177">
        <f t="shared" si="154"/>
        <v>-2393</v>
      </c>
      <c r="G175" s="177">
        <f t="shared" si="154"/>
        <v>-2465</v>
      </c>
      <c r="H175" s="177">
        <f t="shared" si="154"/>
        <v>-2312</v>
      </c>
      <c r="I175" s="177">
        <f t="shared" si="154"/>
        <v>-2639</v>
      </c>
      <c r="J175" s="177">
        <f t="shared" si="154"/>
        <v>-2486</v>
      </c>
      <c r="K175" s="177">
        <f t="shared" si="154"/>
        <v>-2559</v>
      </c>
      <c r="L175" s="177">
        <f t="shared" si="154"/>
        <v>-2678</v>
      </c>
      <c r="M175" s="177">
        <f t="shared" si="154"/>
        <v>-2376</v>
      </c>
      <c r="N175" s="177">
        <f t="shared" si="154"/>
        <v>-2280</v>
      </c>
      <c r="O175" s="177">
        <f t="shared" si="133"/>
        <v>-30107</v>
      </c>
      <c r="P175" s="178">
        <f t="shared" si="134"/>
        <v>-5267</v>
      </c>
      <c r="Q175" s="177">
        <f t="shared" si="135"/>
        <v>-24840</v>
      </c>
      <c r="R175" s="566"/>
      <c r="S175" s="170"/>
      <c r="T175" s="601" t="str">
        <f t="shared" si="130"/>
        <v xml:space="preserve">   Fuel Used in Operations</v>
      </c>
      <c r="U175" s="807"/>
      <c r="V175" s="584">
        <f t="shared" si="136"/>
        <v>-7919</v>
      </c>
      <c r="W175" s="584">
        <f t="shared" si="137"/>
        <v>-7170</v>
      </c>
      <c r="X175" s="584">
        <f t="shared" si="138"/>
        <v>-7684</v>
      </c>
      <c r="Y175" s="584">
        <f t="shared" si="139"/>
        <v>-7334</v>
      </c>
      <c r="Z175" s="584"/>
      <c r="AA175" s="584">
        <f t="shared" si="140"/>
        <v>-30107</v>
      </c>
      <c r="AB175" s="170"/>
      <c r="AC175" s="170"/>
      <c r="AD175" s="165" t="str">
        <f t="shared" si="131"/>
        <v xml:space="preserve">   Fuel Used in Operations</v>
      </c>
      <c r="AF175" s="177">
        <f t="shared" si="141"/>
        <v>-2786</v>
      </c>
      <c r="AG175" s="177">
        <f t="shared" si="142"/>
        <v>-5267</v>
      </c>
      <c r="AH175" s="177">
        <f t="shared" si="143"/>
        <v>-7919</v>
      </c>
      <c r="AI175" s="177">
        <f t="shared" si="144"/>
        <v>-10312</v>
      </c>
      <c r="AJ175" s="177">
        <f t="shared" si="145"/>
        <v>-12777</v>
      </c>
      <c r="AK175" s="177">
        <f t="shared" si="146"/>
        <v>-15089</v>
      </c>
      <c r="AL175" s="177">
        <f t="shared" si="147"/>
        <v>-17728</v>
      </c>
      <c r="AM175" s="177">
        <f t="shared" si="148"/>
        <v>-20214</v>
      </c>
      <c r="AN175" s="177">
        <f t="shared" si="149"/>
        <v>-22773</v>
      </c>
      <c r="AO175" s="177">
        <f t="shared" si="150"/>
        <v>-25451</v>
      </c>
      <c r="AP175" s="177">
        <f t="shared" si="151"/>
        <v>-27827</v>
      </c>
      <c r="AQ175" s="177">
        <f t="shared" si="152"/>
        <v>-30107</v>
      </c>
    </row>
    <row r="176" spans="1:43" x14ac:dyDescent="0.2">
      <c r="A176" s="411" t="s">
        <v>317</v>
      </c>
      <c r="B176" s="805"/>
      <c r="C176" s="177">
        <f t="shared" ref="C176:N176" si="155">C23-C118</f>
        <v>0</v>
      </c>
      <c r="D176" s="177">
        <f t="shared" si="155"/>
        <v>0</v>
      </c>
      <c r="E176" s="177">
        <f t="shared" si="155"/>
        <v>0</v>
      </c>
      <c r="F176" s="177">
        <f t="shared" si="155"/>
        <v>0</v>
      </c>
      <c r="G176" s="177">
        <f t="shared" si="155"/>
        <v>0</v>
      </c>
      <c r="H176" s="177">
        <f t="shared" si="155"/>
        <v>0</v>
      </c>
      <c r="I176" s="177">
        <f t="shared" si="155"/>
        <v>0</v>
      </c>
      <c r="J176" s="177">
        <f t="shared" si="155"/>
        <v>0</v>
      </c>
      <c r="K176" s="177">
        <f t="shared" si="155"/>
        <v>0</v>
      </c>
      <c r="L176" s="177">
        <f t="shared" si="155"/>
        <v>0</v>
      </c>
      <c r="M176" s="177">
        <f t="shared" si="155"/>
        <v>0</v>
      </c>
      <c r="N176" s="177">
        <f t="shared" si="155"/>
        <v>0</v>
      </c>
      <c r="O176" s="177">
        <f t="shared" si="133"/>
        <v>0</v>
      </c>
      <c r="P176" s="178">
        <f t="shared" si="134"/>
        <v>0</v>
      </c>
      <c r="Q176" s="177">
        <f t="shared" si="135"/>
        <v>0</v>
      </c>
      <c r="R176" s="566"/>
      <c r="S176" s="170"/>
      <c r="T176" s="601" t="str">
        <f t="shared" si="130"/>
        <v xml:space="preserve">   Transmission, Compression &amp; Storage</v>
      </c>
      <c r="U176" s="810"/>
      <c r="V176" s="584">
        <f t="shared" si="136"/>
        <v>0</v>
      </c>
      <c r="W176" s="584">
        <f t="shared" si="137"/>
        <v>0</v>
      </c>
      <c r="X176" s="584">
        <f t="shared" si="138"/>
        <v>0</v>
      </c>
      <c r="Y176" s="584">
        <f t="shared" si="139"/>
        <v>0</v>
      </c>
      <c r="Z176" s="584"/>
      <c r="AA176" s="584">
        <f t="shared" si="140"/>
        <v>0</v>
      </c>
      <c r="AB176" s="170"/>
      <c r="AC176" s="170"/>
      <c r="AD176" s="165" t="str">
        <f t="shared" si="131"/>
        <v xml:space="preserve">   Transmission, Compression &amp; Storage</v>
      </c>
      <c r="AF176" s="177">
        <f t="shared" si="141"/>
        <v>0</v>
      </c>
      <c r="AG176" s="177">
        <f t="shared" si="142"/>
        <v>0</v>
      </c>
      <c r="AH176" s="177">
        <f t="shared" si="143"/>
        <v>0</v>
      </c>
      <c r="AI176" s="177">
        <f t="shared" si="144"/>
        <v>0</v>
      </c>
      <c r="AJ176" s="177">
        <f t="shared" si="145"/>
        <v>0</v>
      </c>
      <c r="AK176" s="177">
        <f t="shared" si="146"/>
        <v>0</v>
      </c>
      <c r="AL176" s="177">
        <f t="shared" si="147"/>
        <v>0</v>
      </c>
      <c r="AM176" s="177">
        <f t="shared" si="148"/>
        <v>0</v>
      </c>
      <c r="AN176" s="177">
        <f t="shared" si="149"/>
        <v>0</v>
      </c>
      <c r="AO176" s="177">
        <f t="shared" si="150"/>
        <v>0</v>
      </c>
      <c r="AP176" s="177">
        <f t="shared" si="151"/>
        <v>0</v>
      </c>
      <c r="AQ176" s="177">
        <f t="shared" si="152"/>
        <v>0</v>
      </c>
    </row>
    <row r="177" spans="1:43" x14ac:dyDescent="0.2">
      <c r="A177" s="408" t="s">
        <v>318</v>
      </c>
      <c r="C177" s="177">
        <f t="shared" ref="C177:N177" si="156">C24-C119</f>
        <v>1300</v>
      </c>
      <c r="D177" s="177">
        <f t="shared" si="156"/>
        <v>1303</v>
      </c>
      <c r="E177" s="177">
        <f t="shared" si="156"/>
        <v>1303</v>
      </c>
      <c r="F177" s="177">
        <f t="shared" si="156"/>
        <v>1303</v>
      </c>
      <c r="G177" s="177">
        <f t="shared" si="156"/>
        <v>1303</v>
      </c>
      <c r="H177" s="177">
        <f t="shared" si="156"/>
        <v>1305</v>
      </c>
      <c r="I177" s="177">
        <f t="shared" si="156"/>
        <v>1309</v>
      </c>
      <c r="J177" s="177">
        <f t="shared" si="156"/>
        <v>1309</v>
      </c>
      <c r="K177" s="177">
        <f t="shared" si="156"/>
        <v>1328</v>
      </c>
      <c r="L177" s="177">
        <f t="shared" si="156"/>
        <v>1328</v>
      </c>
      <c r="M177" s="177">
        <f t="shared" si="156"/>
        <v>1331</v>
      </c>
      <c r="N177" s="177">
        <f t="shared" si="156"/>
        <v>1335</v>
      </c>
      <c r="O177" s="177">
        <f t="shared" si="133"/>
        <v>15757</v>
      </c>
      <c r="P177" s="178">
        <f t="shared" si="134"/>
        <v>2603</v>
      </c>
      <c r="Q177" s="177">
        <f t="shared" si="135"/>
        <v>13154</v>
      </c>
      <c r="R177" s="566"/>
      <c r="S177" s="170"/>
      <c r="T177" s="601" t="str">
        <f t="shared" si="130"/>
        <v xml:space="preserve">   Depreciation &amp; Amortization</v>
      </c>
      <c r="U177" s="807"/>
      <c r="V177" s="584">
        <f t="shared" si="136"/>
        <v>3906</v>
      </c>
      <c r="W177" s="584">
        <f t="shared" si="137"/>
        <v>3911</v>
      </c>
      <c r="X177" s="584">
        <f t="shared" si="138"/>
        <v>3946</v>
      </c>
      <c r="Y177" s="584">
        <f t="shared" si="139"/>
        <v>3994</v>
      </c>
      <c r="Z177" s="584"/>
      <c r="AA177" s="584">
        <f t="shared" si="140"/>
        <v>15757</v>
      </c>
      <c r="AB177" s="170"/>
      <c r="AC177" s="170"/>
      <c r="AD177" s="165" t="str">
        <f t="shared" si="131"/>
        <v xml:space="preserve">   Depreciation &amp; Amortization</v>
      </c>
      <c r="AE177" s="805"/>
      <c r="AF177" s="177">
        <f t="shared" si="141"/>
        <v>1300</v>
      </c>
      <c r="AG177" s="177">
        <f t="shared" si="142"/>
        <v>2603</v>
      </c>
      <c r="AH177" s="177">
        <f t="shared" si="143"/>
        <v>3906</v>
      </c>
      <c r="AI177" s="177">
        <f t="shared" si="144"/>
        <v>5209</v>
      </c>
      <c r="AJ177" s="177">
        <f t="shared" si="145"/>
        <v>6512</v>
      </c>
      <c r="AK177" s="177">
        <f t="shared" si="146"/>
        <v>7817</v>
      </c>
      <c r="AL177" s="177">
        <f t="shared" si="147"/>
        <v>9126</v>
      </c>
      <c r="AM177" s="177">
        <f t="shared" si="148"/>
        <v>10435</v>
      </c>
      <c r="AN177" s="177">
        <f t="shared" si="149"/>
        <v>11763</v>
      </c>
      <c r="AO177" s="177">
        <f t="shared" si="150"/>
        <v>13091</v>
      </c>
      <c r="AP177" s="177">
        <f t="shared" si="151"/>
        <v>14422</v>
      </c>
      <c r="AQ177" s="177">
        <f t="shared" si="152"/>
        <v>15757</v>
      </c>
    </row>
    <row r="178" spans="1:43" x14ac:dyDescent="0.2">
      <c r="A178" s="408" t="s">
        <v>319</v>
      </c>
      <c r="C178" s="180">
        <f t="shared" ref="C178:N178" si="157">C25-C120</f>
        <v>900</v>
      </c>
      <c r="D178" s="180">
        <f t="shared" si="157"/>
        <v>940</v>
      </c>
      <c r="E178" s="180">
        <f t="shared" si="157"/>
        <v>900</v>
      </c>
      <c r="F178" s="180">
        <f t="shared" si="157"/>
        <v>897</v>
      </c>
      <c r="G178" s="180">
        <f t="shared" si="157"/>
        <v>901</v>
      </c>
      <c r="H178" s="180">
        <f t="shared" si="157"/>
        <v>897</v>
      </c>
      <c r="I178" s="180">
        <f t="shared" si="157"/>
        <v>899</v>
      </c>
      <c r="J178" s="180">
        <f t="shared" si="157"/>
        <v>899</v>
      </c>
      <c r="K178" s="180">
        <f t="shared" si="157"/>
        <v>900</v>
      </c>
      <c r="L178" s="180">
        <f t="shared" si="157"/>
        <v>898</v>
      </c>
      <c r="M178" s="180">
        <f t="shared" si="157"/>
        <v>901</v>
      </c>
      <c r="N178" s="180">
        <f t="shared" si="157"/>
        <v>897</v>
      </c>
      <c r="O178" s="180">
        <f t="shared" si="133"/>
        <v>10829</v>
      </c>
      <c r="P178" s="263">
        <f t="shared" si="134"/>
        <v>1840</v>
      </c>
      <c r="Q178" s="180">
        <f t="shared" si="135"/>
        <v>8989</v>
      </c>
      <c r="R178" s="567"/>
      <c r="S178" s="170"/>
      <c r="T178" s="601" t="str">
        <f t="shared" si="130"/>
        <v xml:space="preserve">   Taxes Other Than Income</v>
      </c>
      <c r="U178" s="807"/>
      <c r="V178" s="586">
        <f t="shared" si="136"/>
        <v>2740</v>
      </c>
      <c r="W178" s="586">
        <f t="shared" si="137"/>
        <v>2695</v>
      </c>
      <c r="X178" s="586">
        <f t="shared" si="138"/>
        <v>2698</v>
      </c>
      <c r="Y178" s="586">
        <f t="shared" si="139"/>
        <v>2696</v>
      </c>
      <c r="Z178" s="586"/>
      <c r="AA178" s="586">
        <f t="shared" si="140"/>
        <v>10829</v>
      </c>
      <c r="AB178" s="170"/>
      <c r="AC178" s="170"/>
      <c r="AD178" s="165" t="str">
        <f t="shared" si="131"/>
        <v xml:space="preserve">   Taxes Other Than Income</v>
      </c>
      <c r="AF178" s="180">
        <f t="shared" si="141"/>
        <v>900</v>
      </c>
      <c r="AG178" s="180">
        <f t="shared" si="142"/>
        <v>1840</v>
      </c>
      <c r="AH178" s="180">
        <f t="shared" si="143"/>
        <v>2740</v>
      </c>
      <c r="AI178" s="180">
        <f t="shared" si="144"/>
        <v>3637</v>
      </c>
      <c r="AJ178" s="180">
        <f t="shared" si="145"/>
        <v>4538</v>
      </c>
      <c r="AK178" s="180">
        <f t="shared" si="146"/>
        <v>5435</v>
      </c>
      <c r="AL178" s="180">
        <f t="shared" si="147"/>
        <v>6334</v>
      </c>
      <c r="AM178" s="180">
        <f t="shared" si="148"/>
        <v>7233</v>
      </c>
      <c r="AN178" s="180">
        <f t="shared" si="149"/>
        <v>8133</v>
      </c>
      <c r="AO178" s="180">
        <f t="shared" si="150"/>
        <v>9031</v>
      </c>
      <c r="AP178" s="180">
        <f t="shared" si="151"/>
        <v>9932</v>
      </c>
      <c r="AQ178" s="180">
        <f t="shared" si="152"/>
        <v>10829</v>
      </c>
    </row>
    <row r="179" spans="1:43" ht="3.95" customHeight="1" x14ac:dyDescent="0.2">
      <c r="A179" s="170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8"/>
      <c r="S179" s="170"/>
      <c r="T179" s="601"/>
      <c r="U179" s="807"/>
      <c r="V179" s="584"/>
      <c r="W179" s="584"/>
      <c r="X179" s="584"/>
      <c r="Y179" s="584"/>
      <c r="Z179" s="584"/>
      <c r="AA179" s="584"/>
      <c r="AB179" s="170"/>
      <c r="AC179" s="170"/>
      <c r="AD179" s="170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</row>
    <row r="180" spans="1:43" x14ac:dyDescent="0.2">
      <c r="A180" s="407" t="s">
        <v>320</v>
      </c>
      <c r="B180" s="804"/>
      <c r="C180" s="181">
        <f t="shared" ref="C180:Q180" si="158">SUM(C173:C178)</f>
        <v>4132</v>
      </c>
      <c r="D180" s="181">
        <f t="shared" si="158"/>
        <v>4525</v>
      </c>
      <c r="E180" s="181">
        <f t="shared" si="158"/>
        <v>4238</v>
      </c>
      <c r="F180" s="181">
        <f t="shared" si="158"/>
        <v>4481</v>
      </c>
      <c r="G180" s="181">
        <f t="shared" si="158"/>
        <v>4452</v>
      </c>
      <c r="H180" s="181">
        <f t="shared" si="158"/>
        <v>4670</v>
      </c>
      <c r="I180" s="181">
        <f t="shared" si="158"/>
        <v>4931</v>
      </c>
      <c r="J180" s="181">
        <f t="shared" si="158"/>
        <v>5114</v>
      </c>
      <c r="K180" s="181">
        <f t="shared" si="158"/>
        <v>5090</v>
      </c>
      <c r="L180" s="181">
        <f t="shared" si="158"/>
        <v>4924</v>
      </c>
      <c r="M180" s="181">
        <f t="shared" si="158"/>
        <v>5186</v>
      </c>
      <c r="N180" s="181">
        <f t="shared" si="158"/>
        <v>5406</v>
      </c>
      <c r="O180" s="181">
        <f t="shared" si="158"/>
        <v>57149</v>
      </c>
      <c r="P180" s="181">
        <f t="shared" si="158"/>
        <v>8657</v>
      </c>
      <c r="Q180" s="181">
        <f t="shared" si="158"/>
        <v>48492</v>
      </c>
      <c r="R180" s="543"/>
      <c r="S180" s="168"/>
      <c r="T180" s="600" t="str">
        <f>A180</f>
        <v xml:space="preserve">     Total Operating Expenses</v>
      </c>
      <c r="U180" s="595"/>
      <c r="V180" s="603">
        <f>SUM(V173:V178)</f>
        <v>12895</v>
      </c>
      <c r="W180" s="603">
        <f>SUM(W173:W178)</f>
        <v>13603</v>
      </c>
      <c r="X180" s="603">
        <f>SUM(X173:X178)</f>
        <v>15135</v>
      </c>
      <c r="Y180" s="603">
        <f>SUM(Y173:Y178)</f>
        <v>15516</v>
      </c>
      <c r="Z180" s="603"/>
      <c r="AA180" s="603">
        <f>SUM(AA173:AA178)</f>
        <v>57149</v>
      </c>
      <c r="AB180" s="168"/>
      <c r="AC180" s="168"/>
      <c r="AD180" s="166" t="str">
        <f>A180</f>
        <v xml:space="preserve">     Total Operating Expenses</v>
      </c>
      <c r="AF180" s="181">
        <f>C180</f>
        <v>4132</v>
      </c>
      <c r="AG180" s="181">
        <f t="shared" ref="AG180:AQ180" si="159">D180+AF180</f>
        <v>8657</v>
      </c>
      <c r="AH180" s="181">
        <f t="shared" si="159"/>
        <v>12895</v>
      </c>
      <c r="AI180" s="181">
        <f t="shared" si="159"/>
        <v>17376</v>
      </c>
      <c r="AJ180" s="181">
        <f t="shared" si="159"/>
        <v>21828</v>
      </c>
      <c r="AK180" s="181">
        <f t="shared" si="159"/>
        <v>26498</v>
      </c>
      <c r="AL180" s="181">
        <f t="shared" si="159"/>
        <v>31429</v>
      </c>
      <c r="AM180" s="181">
        <f t="shared" si="159"/>
        <v>36543</v>
      </c>
      <c r="AN180" s="181">
        <f t="shared" si="159"/>
        <v>41633</v>
      </c>
      <c r="AO180" s="181">
        <f t="shared" si="159"/>
        <v>46557</v>
      </c>
      <c r="AP180" s="181">
        <f t="shared" si="159"/>
        <v>51743</v>
      </c>
      <c r="AQ180" s="181">
        <f t="shared" si="159"/>
        <v>57149</v>
      </c>
    </row>
    <row r="181" spans="1:43" x14ac:dyDescent="0.2">
      <c r="A181" s="170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8"/>
      <c r="S181" s="170"/>
      <c r="T181" s="573"/>
      <c r="U181" s="807"/>
      <c r="V181" s="584"/>
      <c r="W181" s="584"/>
      <c r="X181" s="584"/>
      <c r="Y181" s="584"/>
      <c r="Z181" s="584"/>
      <c r="AA181" s="584"/>
      <c r="AB181" s="170"/>
      <c r="AC181" s="170"/>
      <c r="AD181" s="170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77"/>
      <c r="AP181" s="177"/>
      <c r="AQ181" s="177"/>
    </row>
    <row r="182" spans="1:43" x14ac:dyDescent="0.2">
      <c r="A182" s="407" t="s">
        <v>321</v>
      </c>
      <c r="B182" s="803"/>
      <c r="C182" s="181">
        <f t="shared" ref="C182:Q182" si="160">C170-C180</f>
        <v>9457</v>
      </c>
      <c r="D182" s="181">
        <f t="shared" si="160"/>
        <v>7578</v>
      </c>
      <c r="E182" s="181">
        <f t="shared" si="160"/>
        <v>9014</v>
      </c>
      <c r="F182" s="181">
        <f t="shared" si="160"/>
        <v>8528</v>
      </c>
      <c r="G182" s="181">
        <f t="shared" si="160"/>
        <v>9018</v>
      </c>
      <c r="H182" s="181">
        <f t="shared" si="160"/>
        <v>9505</v>
      </c>
      <c r="I182" s="181">
        <f t="shared" si="160"/>
        <v>10289</v>
      </c>
      <c r="J182" s="181">
        <f t="shared" si="160"/>
        <v>10097</v>
      </c>
      <c r="K182" s="181">
        <f t="shared" si="160"/>
        <v>9592</v>
      </c>
      <c r="L182" s="181">
        <f t="shared" si="160"/>
        <v>10105</v>
      </c>
      <c r="M182" s="181">
        <f t="shared" si="160"/>
        <v>9998</v>
      </c>
      <c r="N182" s="181">
        <f t="shared" si="160"/>
        <v>10197</v>
      </c>
      <c r="O182" s="181">
        <f t="shared" si="160"/>
        <v>113378</v>
      </c>
      <c r="P182" s="181">
        <f t="shared" si="160"/>
        <v>17035</v>
      </c>
      <c r="Q182" s="181">
        <f t="shared" si="160"/>
        <v>96343</v>
      </c>
      <c r="R182" s="543"/>
      <c r="S182" s="168"/>
      <c r="T182" s="600" t="str">
        <f>A182</f>
        <v>OPERATING INCOME</v>
      </c>
      <c r="U182" s="595"/>
      <c r="V182" s="603">
        <f>V170-V180</f>
        <v>26049</v>
      </c>
      <c r="W182" s="603">
        <f>W170-W180</f>
        <v>27051</v>
      </c>
      <c r="X182" s="603">
        <f>X170-X180</f>
        <v>29978</v>
      </c>
      <c r="Y182" s="603">
        <f>Y170-Y180</f>
        <v>30300</v>
      </c>
      <c r="Z182" s="603"/>
      <c r="AA182" s="603">
        <f>AA170-AA180</f>
        <v>113378</v>
      </c>
      <c r="AB182" s="168"/>
      <c r="AC182" s="168"/>
      <c r="AD182" s="166" t="str">
        <f>A182</f>
        <v>OPERATING INCOME</v>
      </c>
      <c r="AF182" s="181">
        <f>C182</f>
        <v>9457</v>
      </c>
      <c r="AG182" s="181">
        <f t="shared" ref="AG182:AQ182" si="161">D182+AF182</f>
        <v>17035</v>
      </c>
      <c r="AH182" s="181">
        <f t="shared" si="161"/>
        <v>26049</v>
      </c>
      <c r="AI182" s="181">
        <f t="shared" si="161"/>
        <v>34577</v>
      </c>
      <c r="AJ182" s="181">
        <f t="shared" si="161"/>
        <v>43595</v>
      </c>
      <c r="AK182" s="181">
        <f t="shared" si="161"/>
        <v>53100</v>
      </c>
      <c r="AL182" s="181">
        <f t="shared" si="161"/>
        <v>63389</v>
      </c>
      <c r="AM182" s="181">
        <f t="shared" si="161"/>
        <v>73486</v>
      </c>
      <c r="AN182" s="181">
        <f t="shared" si="161"/>
        <v>83078</v>
      </c>
      <c r="AO182" s="181">
        <f t="shared" si="161"/>
        <v>93183</v>
      </c>
      <c r="AP182" s="181">
        <f t="shared" si="161"/>
        <v>103181</v>
      </c>
      <c r="AQ182" s="181">
        <f t="shared" si="161"/>
        <v>113378</v>
      </c>
    </row>
    <row r="183" spans="1:43" x14ac:dyDescent="0.2">
      <c r="A183" s="170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8"/>
      <c r="S183" s="170"/>
      <c r="T183" s="573"/>
      <c r="U183" s="807"/>
      <c r="V183" s="584"/>
      <c r="W183" s="584"/>
      <c r="X183" s="584"/>
      <c r="Y183" s="584"/>
      <c r="Z183" s="584"/>
      <c r="AA183" s="584"/>
      <c r="AB183" s="170"/>
      <c r="AC183" s="170"/>
      <c r="AD183" s="170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</row>
    <row r="184" spans="1:43" x14ac:dyDescent="0.2">
      <c r="A184" s="396" t="s">
        <v>322</v>
      </c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8"/>
      <c r="P184" s="178"/>
      <c r="Q184" s="177"/>
      <c r="R184" s="178"/>
      <c r="S184" s="170"/>
      <c r="T184" s="600" t="str">
        <f>A184</f>
        <v>OTHER INCOME</v>
      </c>
      <c r="U184" s="807"/>
      <c r="V184" s="584"/>
      <c r="W184" s="584"/>
      <c r="X184" s="584"/>
      <c r="Y184" s="584"/>
      <c r="Z184" s="584"/>
      <c r="AA184" s="584"/>
      <c r="AB184" s="170"/>
      <c r="AC184" s="170"/>
      <c r="AD184" s="166" t="str">
        <f>A184</f>
        <v>OTHER INCOME</v>
      </c>
      <c r="AF184" s="177"/>
      <c r="AG184" s="177"/>
      <c r="AH184" s="177"/>
      <c r="AI184" s="177"/>
      <c r="AJ184" s="177"/>
      <c r="AK184" s="177"/>
      <c r="AL184" s="177"/>
      <c r="AM184" s="177"/>
      <c r="AN184" s="177"/>
      <c r="AO184" s="177"/>
      <c r="AP184" s="177"/>
      <c r="AQ184" s="177"/>
    </row>
    <row r="185" spans="1:43" x14ac:dyDescent="0.2">
      <c r="A185" s="410" t="s">
        <v>323</v>
      </c>
      <c r="C185" s="177">
        <f t="shared" ref="C185:N185" si="162">C32-C127</f>
        <v>0</v>
      </c>
      <c r="D185" s="177">
        <f t="shared" si="162"/>
        <v>0</v>
      </c>
      <c r="E185" s="177">
        <f t="shared" si="162"/>
        <v>0</v>
      </c>
      <c r="F185" s="177">
        <f t="shared" si="162"/>
        <v>0</v>
      </c>
      <c r="G185" s="177">
        <f t="shared" si="162"/>
        <v>0</v>
      </c>
      <c r="H185" s="177">
        <f t="shared" si="162"/>
        <v>0</v>
      </c>
      <c r="I185" s="177">
        <f t="shared" si="162"/>
        <v>0</v>
      </c>
      <c r="J185" s="177">
        <f t="shared" si="162"/>
        <v>0</v>
      </c>
      <c r="K185" s="177">
        <f t="shared" si="162"/>
        <v>0</v>
      </c>
      <c r="L185" s="177">
        <f t="shared" si="162"/>
        <v>0</v>
      </c>
      <c r="M185" s="177">
        <f t="shared" si="162"/>
        <v>0</v>
      </c>
      <c r="N185" s="177">
        <f t="shared" si="162"/>
        <v>0</v>
      </c>
      <c r="O185" s="177">
        <f>SUM(C185:N185)</f>
        <v>0</v>
      </c>
      <c r="P185" s="178">
        <f>SUM(C185:D185)</f>
        <v>0</v>
      </c>
      <c r="Q185" s="177">
        <f>O185-P185</f>
        <v>0</v>
      </c>
      <c r="R185" s="566"/>
      <c r="S185" s="170"/>
      <c r="T185" s="601" t="str">
        <f>A185</f>
        <v xml:space="preserve">   Partnership Income</v>
      </c>
      <c r="U185" s="807"/>
      <c r="V185" s="584">
        <f>C185+D185+E185</f>
        <v>0</v>
      </c>
      <c r="W185" s="584">
        <f>F185+G185+H185</f>
        <v>0</v>
      </c>
      <c r="X185" s="584">
        <f>I185+J185+K185</f>
        <v>0</v>
      </c>
      <c r="Y185" s="584">
        <f>L185+M185+N185</f>
        <v>0</v>
      </c>
      <c r="Z185" s="584"/>
      <c r="AA185" s="584">
        <f>SUM(V185:Y185)</f>
        <v>0</v>
      </c>
      <c r="AB185" s="170"/>
      <c r="AC185" s="170"/>
      <c r="AD185" s="165" t="str">
        <f>A185</f>
        <v xml:space="preserve">   Partnership Income</v>
      </c>
      <c r="AF185" s="177">
        <f>C185</f>
        <v>0</v>
      </c>
      <c r="AG185" s="177">
        <f t="shared" ref="AG185:AQ187" si="163">D185+AF185</f>
        <v>0</v>
      </c>
      <c r="AH185" s="177">
        <f t="shared" si="163"/>
        <v>0</v>
      </c>
      <c r="AI185" s="177">
        <f t="shared" si="163"/>
        <v>0</v>
      </c>
      <c r="AJ185" s="177">
        <f t="shared" si="163"/>
        <v>0</v>
      </c>
      <c r="AK185" s="177">
        <f t="shared" si="163"/>
        <v>0</v>
      </c>
      <c r="AL185" s="177">
        <f t="shared" si="163"/>
        <v>0</v>
      </c>
      <c r="AM185" s="177">
        <f t="shared" si="163"/>
        <v>0</v>
      </c>
      <c r="AN185" s="177">
        <f t="shared" si="163"/>
        <v>0</v>
      </c>
      <c r="AO185" s="177">
        <f t="shared" si="163"/>
        <v>0</v>
      </c>
      <c r="AP185" s="177">
        <f t="shared" si="163"/>
        <v>0</v>
      </c>
      <c r="AQ185" s="177">
        <f t="shared" si="163"/>
        <v>0</v>
      </c>
    </row>
    <row r="186" spans="1:43" x14ac:dyDescent="0.2">
      <c r="A186" s="410" t="s">
        <v>324</v>
      </c>
      <c r="C186" s="177">
        <f t="shared" ref="C186:N186" si="164">C33-C128</f>
        <v>0</v>
      </c>
      <c r="D186" s="177">
        <f t="shared" si="164"/>
        <v>0</v>
      </c>
      <c r="E186" s="177">
        <f t="shared" si="164"/>
        <v>0</v>
      </c>
      <c r="F186" s="177">
        <f t="shared" si="164"/>
        <v>0</v>
      </c>
      <c r="G186" s="177">
        <f t="shared" si="164"/>
        <v>0</v>
      </c>
      <c r="H186" s="177">
        <f t="shared" si="164"/>
        <v>0</v>
      </c>
      <c r="I186" s="177">
        <f t="shared" si="164"/>
        <v>0</v>
      </c>
      <c r="J186" s="177">
        <f t="shared" si="164"/>
        <v>0</v>
      </c>
      <c r="K186" s="177">
        <f t="shared" si="164"/>
        <v>0</v>
      </c>
      <c r="L186" s="177">
        <f t="shared" si="164"/>
        <v>0</v>
      </c>
      <c r="M186" s="177">
        <f t="shared" si="164"/>
        <v>0</v>
      </c>
      <c r="N186" s="177">
        <f t="shared" si="164"/>
        <v>0</v>
      </c>
      <c r="O186" s="177">
        <f>SUM(C186:N186)</f>
        <v>0</v>
      </c>
      <c r="P186" s="178">
        <f>SUM(C186:D186)</f>
        <v>0</v>
      </c>
      <c r="Q186" s="177">
        <f>O186-P186</f>
        <v>0</v>
      </c>
      <c r="R186" s="566"/>
      <c r="T186" s="601" t="str">
        <f>A186</f>
        <v xml:space="preserve">   Interest Income</v>
      </c>
      <c r="U186" s="807"/>
      <c r="V186" s="584">
        <f>C186+D186+E186</f>
        <v>0</v>
      </c>
      <c r="W186" s="584">
        <f>F186+G186+H186</f>
        <v>0</v>
      </c>
      <c r="X186" s="584">
        <f>I186+J186+K186</f>
        <v>0</v>
      </c>
      <c r="Y186" s="584">
        <f>L186+M186+N186</f>
        <v>0</v>
      </c>
      <c r="Z186" s="584"/>
      <c r="AA186" s="584">
        <f>SUM(V186:Y186)</f>
        <v>0</v>
      </c>
      <c r="AD186" s="165" t="str">
        <f>A186</f>
        <v xml:space="preserve">   Interest Income</v>
      </c>
      <c r="AF186" s="177">
        <f>C186</f>
        <v>0</v>
      </c>
      <c r="AG186" s="177">
        <f t="shared" si="163"/>
        <v>0</v>
      </c>
      <c r="AH186" s="177">
        <f t="shared" si="163"/>
        <v>0</v>
      </c>
      <c r="AI186" s="177">
        <f t="shared" si="163"/>
        <v>0</v>
      </c>
      <c r="AJ186" s="177">
        <f t="shared" si="163"/>
        <v>0</v>
      </c>
      <c r="AK186" s="177">
        <f t="shared" si="163"/>
        <v>0</v>
      </c>
      <c r="AL186" s="177">
        <f t="shared" si="163"/>
        <v>0</v>
      </c>
      <c r="AM186" s="177">
        <f t="shared" si="163"/>
        <v>0</v>
      </c>
      <c r="AN186" s="177">
        <f t="shared" si="163"/>
        <v>0</v>
      </c>
      <c r="AO186" s="177">
        <f t="shared" si="163"/>
        <v>0</v>
      </c>
      <c r="AP186" s="177">
        <f t="shared" si="163"/>
        <v>0</v>
      </c>
      <c r="AQ186" s="177">
        <f t="shared" si="163"/>
        <v>0</v>
      </c>
    </row>
    <row r="187" spans="1:43" x14ac:dyDescent="0.2">
      <c r="A187" s="410" t="s">
        <v>325</v>
      </c>
      <c r="C187" s="180">
        <f t="shared" ref="C187:N187" si="165">C34-C129</f>
        <v>96</v>
      </c>
      <c r="D187" s="180">
        <f t="shared" si="165"/>
        <v>167</v>
      </c>
      <c r="E187" s="180">
        <f t="shared" si="165"/>
        <v>135</v>
      </c>
      <c r="F187" s="180">
        <f t="shared" si="165"/>
        <v>259</v>
      </c>
      <c r="G187" s="180">
        <f t="shared" si="165"/>
        <v>398</v>
      </c>
      <c r="H187" s="180">
        <f t="shared" si="165"/>
        <v>473</v>
      </c>
      <c r="I187" s="180">
        <f t="shared" si="165"/>
        <v>491</v>
      </c>
      <c r="J187" s="180">
        <f t="shared" si="165"/>
        <v>488</v>
      </c>
      <c r="K187" s="180">
        <f t="shared" si="165"/>
        <v>464</v>
      </c>
      <c r="L187" s="180">
        <f t="shared" si="165"/>
        <v>440</v>
      </c>
      <c r="M187" s="180">
        <f t="shared" si="165"/>
        <v>489</v>
      </c>
      <c r="N187" s="180">
        <f t="shared" si="165"/>
        <v>488</v>
      </c>
      <c r="O187" s="180">
        <f>SUM(C187:N187)</f>
        <v>4388</v>
      </c>
      <c r="P187" s="263">
        <f>SUM(C187:D187)</f>
        <v>263</v>
      </c>
      <c r="Q187" s="180">
        <f>O187-P187</f>
        <v>4125</v>
      </c>
      <c r="R187" s="567"/>
      <c r="S187" s="170"/>
      <c r="T187" s="601" t="str">
        <f>A187</f>
        <v xml:space="preserve">   Other Income / (Deductions)</v>
      </c>
      <c r="U187" s="807"/>
      <c r="V187" s="586">
        <f>C187+D187+E187</f>
        <v>398</v>
      </c>
      <c r="W187" s="586">
        <f>F187+G187+H187</f>
        <v>1130</v>
      </c>
      <c r="X187" s="586">
        <f>I187+J187+K187</f>
        <v>1443</v>
      </c>
      <c r="Y187" s="586">
        <f>L187+M187+N187</f>
        <v>1417</v>
      </c>
      <c r="Z187" s="586"/>
      <c r="AA187" s="586">
        <f>SUM(V187:Y187)</f>
        <v>4388</v>
      </c>
      <c r="AB187" s="170"/>
      <c r="AC187" s="170"/>
      <c r="AD187" s="165" t="str">
        <f>A187</f>
        <v xml:space="preserve">   Other Income / (Deductions)</v>
      </c>
      <c r="AF187" s="180">
        <f>C187</f>
        <v>96</v>
      </c>
      <c r="AG187" s="180">
        <f t="shared" si="163"/>
        <v>263</v>
      </c>
      <c r="AH187" s="180">
        <f t="shared" si="163"/>
        <v>398</v>
      </c>
      <c r="AI187" s="180">
        <f t="shared" si="163"/>
        <v>657</v>
      </c>
      <c r="AJ187" s="180">
        <f t="shared" si="163"/>
        <v>1055</v>
      </c>
      <c r="AK187" s="180">
        <f t="shared" si="163"/>
        <v>1528</v>
      </c>
      <c r="AL187" s="180">
        <f t="shared" si="163"/>
        <v>2019</v>
      </c>
      <c r="AM187" s="180">
        <f t="shared" si="163"/>
        <v>2507</v>
      </c>
      <c r="AN187" s="180">
        <f t="shared" si="163"/>
        <v>2971</v>
      </c>
      <c r="AO187" s="180">
        <f t="shared" si="163"/>
        <v>3411</v>
      </c>
      <c r="AP187" s="180">
        <f t="shared" si="163"/>
        <v>3900</v>
      </c>
      <c r="AQ187" s="180">
        <f t="shared" si="163"/>
        <v>4388</v>
      </c>
    </row>
    <row r="188" spans="1:43" ht="3.95" customHeight="1" x14ac:dyDescent="0.2">
      <c r="A188" s="398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8"/>
      <c r="S188" s="170"/>
      <c r="T188" s="569"/>
      <c r="U188" s="807"/>
      <c r="V188" s="584"/>
      <c r="W188" s="584"/>
      <c r="X188" s="584"/>
      <c r="Y188" s="584"/>
      <c r="Z188" s="584"/>
      <c r="AA188" s="584"/>
      <c r="AB188" s="170"/>
      <c r="AC188" s="170"/>
      <c r="AD188" s="183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</row>
    <row r="189" spans="1:43" x14ac:dyDescent="0.2">
      <c r="A189" s="407" t="s">
        <v>326</v>
      </c>
      <c r="B189" s="803"/>
      <c r="C189" s="181">
        <f t="shared" ref="C189:Q189" si="166">SUM(C185:C187)</f>
        <v>96</v>
      </c>
      <c r="D189" s="181">
        <f t="shared" si="166"/>
        <v>167</v>
      </c>
      <c r="E189" s="181">
        <f t="shared" si="166"/>
        <v>135</v>
      </c>
      <c r="F189" s="181">
        <f t="shared" si="166"/>
        <v>259</v>
      </c>
      <c r="G189" s="181">
        <f t="shared" si="166"/>
        <v>398</v>
      </c>
      <c r="H189" s="181">
        <f t="shared" si="166"/>
        <v>473</v>
      </c>
      <c r="I189" s="181">
        <f t="shared" si="166"/>
        <v>491</v>
      </c>
      <c r="J189" s="181">
        <f t="shared" si="166"/>
        <v>488</v>
      </c>
      <c r="K189" s="181">
        <f t="shared" si="166"/>
        <v>464</v>
      </c>
      <c r="L189" s="181">
        <f t="shared" si="166"/>
        <v>440</v>
      </c>
      <c r="M189" s="181">
        <f t="shared" si="166"/>
        <v>489</v>
      </c>
      <c r="N189" s="181">
        <f t="shared" si="166"/>
        <v>488</v>
      </c>
      <c r="O189" s="181">
        <f t="shared" si="166"/>
        <v>4388</v>
      </c>
      <c r="P189" s="181">
        <f t="shared" si="166"/>
        <v>263</v>
      </c>
      <c r="Q189" s="181">
        <f t="shared" si="166"/>
        <v>4125</v>
      </c>
      <c r="R189" s="543"/>
      <c r="S189" s="168"/>
      <c r="T189" s="600" t="str">
        <f>A189</f>
        <v xml:space="preserve">     Total Other Income &amp; Other Deductions</v>
      </c>
      <c r="U189" s="595"/>
      <c r="V189" s="603">
        <f>V185+V186+V187</f>
        <v>398</v>
      </c>
      <c r="W189" s="603">
        <f>W185+W186+W187</f>
        <v>1130</v>
      </c>
      <c r="X189" s="603">
        <f>X185+X186+X187</f>
        <v>1443</v>
      </c>
      <c r="Y189" s="603">
        <f>Y185+Y186+Y187</f>
        <v>1417</v>
      </c>
      <c r="Z189" s="603"/>
      <c r="AA189" s="603">
        <f>AA185+AA186+AA187</f>
        <v>4388</v>
      </c>
      <c r="AB189" s="168"/>
      <c r="AC189" s="168"/>
      <c r="AD189" s="166" t="str">
        <f>A189</f>
        <v xml:space="preserve">     Total Other Income &amp; Other Deductions</v>
      </c>
      <c r="AF189" s="181">
        <f>C189</f>
        <v>96</v>
      </c>
      <c r="AG189" s="181">
        <f t="shared" ref="AG189:AQ189" si="167">D189+AF189</f>
        <v>263</v>
      </c>
      <c r="AH189" s="181">
        <f t="shared" si="167"/>
        <v>398</v>
      </c>
      <c r="AI189" s="181">
        <f t="shared" si="167"/>
        <v>657</v>
      </c>
      <c r="AJ189" s="181">
        <f t="shared" si="167"/>
        <v>1055</v>
      </c>
      <c r="AK189" s="181">
        <f t="shared" si="167"/>
        <v>1528</v>
      </c>
      <c r="AL189" s="181">
        <f t="shared" si="167"/>
        <v>2019</v>
      </c>
      <c r="AM189" s="181">
        <f t="shared" si="167"/>
        <v>2507</v>
      </c>
      <c r="AN189" s="181">
        <f t="shared" si="167"/>
        <v>2971</v>
      </c>
      <c r="AO189" s="181">
        <f t="shared" si="167"/>
        <v>3411</v>
      </c>
      <c r="AP189" s="181">
        <f t="shared" si="167"/>
        <v>3900</v>
      </c>
      <c r="AQ189" s="181">
        <f t="shared" si="167"/>
        <v>4388</v>
      </c>
    </row>
    <row r="190" spans="1:43" x14ac:dyDescent="0.2">
      <c r="A190" s="170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8"/>
      <c r="S190" s="170"/>
      <c r="T190" s="573"/>
      <c r="U190" s="807"/>
      <c r="V190" s="584"/>
      <c r="W190" s="584"/>
      <c r="X190" s="584"/>
      <c r="Y190" s="584"/>
      <c r="Z190" s="584"/>
      <c r="AA190" s="584"/>
      <c r="AB190" s="170"/>
      <c r="AC190" s="170"/>
      <c r="AD190" s="170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</row>
    <row r="191" spans="1:43" x14ac:dyDescent="0.2">
      <c r="A191" s="397" t="s">
        <v>330</v>
      </c>
      <c r="B191" s="806"/>
      <c r="C191" s="181">
        <f t="shared" ref="C191:Q191" si="168">C182+C189</f>
        <v>9553</v>
      </c>
      <c r="D191" s="181">
        <f t="shared" si="168"/>
        <v>7745</v>
      </c>
      <c r="E191" s="181">
        <f t="shared" si="168"/>
        <v>9149</v>
      </c>
      <c r="F191" s="181">
        <f t="shared" si="168"/>
        <v>8787</v>
      </c>
      <c r="G191" s="181">
        <f t="shared" si="168"/>
        <v>9416</v>
      </c>
      <c r="H191" s="181">
        <f t="shared" si="168"/>
        <v>9978</v>
      </c>
      <c r="I191" s="181">
        <f t="shared" si="168"/>
        <v>10780</v>
      </c>
      <c r="J191" s="181">
        <f t="shared" si="168"/>
        <v>10585</v>
      </c>
      <c r="K191" s="181">
        <f t="shared" si="168"/>
        <v>10056</v>
      </c>
      <c r="L191" s="181">
        <f t="shared" si="168"/>
        <v>10545</v>
      </c>
      <c r="M191" s="181">
        <f t="shared" si="168"/>
        <v>10487</v>
      </c>
      <c r="N191" s="181">
        <f t="shared" si="168"/>
        <v>10685</v>
      </c>
      <c r="O191" s="181">
        <f t="shared" si="168"/>
        <v>117766</v>
      </c>
      <c r="P191" s="181">
        <f t="shared" si="168"/>
        <v>17298</v>
      </c>
      <c r="Q191" s="181">
        <f t="shared" si="168"/>
        <v>100468</v>
      </c>
      <c r="R191" s="543"/>
      <c r="S191" s="168"/>
      <c r="T191" s="600" t="str">
        <f>A191</f>
        <v>INCOME BEFORE INTEREST &amp; TAXES</v>
      </c>
      <c r="U191" s="809"/>
      <c r="V191" s="603">
        <f>C191+D191+E191</f>
        <v>26447</v>
      </c>
      <c r="W191" s="603">
        <f>F191+G191+H191</f>
        <v>28181</v>
      </c>
      <c r="X191" s="603">
        <f>I191+J191+K191</f>
        <v>31421</v>
      </c>
      <c r="Y191" s="603">
        <f>L191+M191+N191</f>
        <v>31717</v>
      </c>
      <c r="Z191" s="603"/>
      <c r="AA191" s="603">
        <f>SUM(V191:Y191)</f>
        <v>117766</v>
      </c>
      <c r="AB191" s="168"/>
      <c r="AC191" s="168"/>
      <c r="AD191" s="166" t="str">
        <f>A191</f>
        <v>INCOME BEFORE INTEREST &amp; TAXES</v>
      </c>
      <c r="AF191" s="181">
        <f>C191</f>
        <v>9553</v>
      </c>
      <c r="AG191" s="181">
        <f t="shared" ref="AG191:AQ191" si="169">D191+AF191</f>
        <v>17298</v>
      </c>
      <c r="AH191" s="181">
        <f t="shared" si="169"/>
        <v>26447</v>
      </c>
      <c r="AI191" s="181">
        <f t="shared" si="169"/>
        <v>35234</v>
      </c>
      <c r="AJ191" s="181">
        <f t="shared" si="169"/>
        <v>44650</v>
      </c>
      <c r="AK191" s="181">
        <f t="shared" si="169"/>
        <v>54628</v>
      </c>
      <c r="AL191" s="181">
        <f t="shared" si="169"/>
        <v>65408</v>
      </c>
      <c r="AM191" s="181">
        <f t="shared" si="169"/>
        <v>75993</v>
      </c>
      <c r="AN191" s="181">
        <f t="shared" si="169"/>
        <v>86049</v>
      </c>
      <c r="AO191" s="181">
        <f t="shared" si="169"/>
        <v>96594</v>
      </c>
      <c r="AP191" s="181">
        <f t="shared" si="169"/>
        <v>107081</v>
      </c>
      <c r="AQ191" s="181">
        <f t="shared" si="169"/>
        <v>117766</v>
      </c>
    </row>
    <row r="192" spans="1:43" x14ac:dyDescent="0.2">
      <c r="A192" s="170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8"/>
      <c r="S192" s="170"/>
      <c r="T192" s="573"/>
      <c r="U192" s="807"/>
      <c r="V192" s="584"/>
      <c r="W192" s="584"/>
      <c r="X192" s="584"/>
      <c r="Y192" s="584"/>
      <c r="Z192" s="584"/>
      <c r="AA192" s="584"/>
      <c r="AB192" s="170"/>
      <c r="AC192" s="170"/>
      <c r="AD192" s="170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</row>
    <row r="193" spans="1:43" x14ac:dyDescent="0.2">
      <c r="A193" s="407" t="s">
        <v>31</v>
      </c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7"/>
      <c r="R193" s="178"/>
      <c r="S193" s="170"/>
      <c r="T193" s="600" t="str">
        <f t="shared" ref="T193:T198" si="170">A193</f>
        <v xml:space="preserve">INTEREST AND OTHER </v>
      </c>
      <c r="U193" s="807"/>
      <c r="V193" s="584"/>
      <c r="W193" s="604"/>
      <c r="X193" s="584"/>
      <c r="Y193" s="584"/>
      <c r="Z193" s="584"/>
      <c r="AA193" s="584"/>
      <c r="AB193" s="170"/>
      <c r="AC193" s="170"/>
      <c r="AD193" s="166" t="str">
        <f t="shared" ref="AD193:AD198" si="171">A193</f>
        <v xml:space="preserve">INTEREST AND OTHER </v>
      </c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</row>
    <row r="194" spans="1:43" x14ac:dyDescent="0.2">
      <c r="A194" s="408" t="s">
        <v>327</v>
      </c>
      <c r="C194" s="177">
        <f t="shared" ref="C194:N194" si="172">C41-C136</f>
        <v>0</v>
      </c>
      <c r="D194" s="177">
        <f t="shared" si="172"/>
        <v>0</v>
      </c>
      <c r="E194" s="177">
        <f t="shared" si="172"/>
        <v>0</v>
      </c>
      <c r="F194" s="177">
        <f t="shared" si="172"/>
        <v>0</v>
      </c>
      <c r="G194" s="177">
        <f t="shared" si="172"/>
        <v>0</v>
      </c>
      <c r="H194" s="177">
        <f t="shared" si="172"/>
        <v>0</v>
      </c>
      <c r="I194" s="177">
        <f t="shared" si="172"/>
        <v>0</v>
      </c>
      <c r="J194" s="177">
        <f t="shared" si="172"/>
        <v>0</v>
      </c>
      <c r="K194" s="177">
        <f t="shared" si="172"/>
        <v>0</v>
      </c>
      <c r="L194" s="177">
        <f t="shared" si="172"/>
        <v>0</v>
      </c>
      <c r="M194" s="177">
        <f t="shared" si="172"/>
        <v>0</v>
      </c>
      <c r="N194" s="177">
        <f t="shared" si="172"/>
        <v>0</v>
      </c>
      <c r="O194" s="177">
        <f>SUM(C194:N194)</f>
        <v>0</v>
      </c>
      <c r="P194" s="178">
        <f>SUM(C194:D194)</f>
        <v>0</v>
      </c>
      <c r="Q194" s="177">
        <f>O194-P194</f>
        <v>0</v>
      </c>
      <c r="R194" s="566"/>
      <c r="S194" s="170"/>
      <c r="T194" s="601" t="str">
        <f t="shared" si="170"/>
        <v xml:space="preserve">   Direct Interest</v>
      </c>
      <c r="U194" s="807"/>
      <c r="V194" s="584">
        <f>C194+D194+E194</f>
        <v>0</v>
      </c>
      <c r="W194" s="584">
        <f>F194+G194+H194</f>
        <v>0</v>
      </c>
      <c r="X194" s="584">
        <f>I194+J194+K194</f>
        <v>0</v>
      </c>
      <c r="Y194" s="584">
        <f>L194+M194+N194</f>
        <v>0</v>
      </c>
      <c r="Z194" s="584"/>
      <c r="AA194" s="584">
        <f>SUM(V194:Y194)</f>
        <v>0</v>
      </c>
      <c r="AB194" s="170"/>
      <c r="AC194" s="170"/>
      <c r="AD194" s="165" t="str">
        <f t="shared" si="171"/>
        <v xml:space="preserve">   Direct Interest</v>
      </c>
      <c r="AF194" s="177">
        <f>C194</f>
        <v>0</v>
      </c>
      <c r="AG194" s="177">
        <f t="shared" ref="AG194:AQ198" si="173">D194+AF194</f>
        <v>0</v>
      </c>
      <c r="AH194" s="177">
        <f t="shared" si="173"/>
        <v>0</v>
      </c>
      <c r="AI194" s="177">
        <f t="shared" si="173"/>
        <v>0</v>
      </c>
      <c r="AJ194" s="177">
        <f t="shared" si="173"/>
        <v>0</v>
      </c>
      <c r="AK194" s="177">
        <f t="shared" si="173"/>
        <v>0</v>
      </c>
      <c r="AL194" s="177">
        <f t="shared" si="173"/>
        <v>0</v>
      </c>
      <c r="AM194" s="177">
        <f t="shared" si="173"/>
        <v>0</v>
      </c>
      <c r="AN194" s="177">
        <f t="shared" si="173"/>
        <v>0</v>
      </c>
      <c r="AO194" s="177">
        <f t="shared" si="173"/>
        <v>0</v>
      </c>
      <c r="AP194" s="177">
        <f t="shared" si="173"/>
        <v>0</v>
      </c>
      <c r="AQ194" s="177">
        <f t="shared" si="173"/>
        <v>0</v>
      </c>
    </row>
    <row r="195" spans="1:43" x14ac:dyDescent="0.2">
      <c r="A195" s="408" t="s">
        <v>28</v>
      </c>
      <c r="C195" s="177">
        <f t="shared" ref="C195:N195" si="174">C42-C137</f>
        <v>90</v>
      </c>
      <c r="D195" s="177">
        <f t="shared" si="174"/>
        <v>90</v>
      </c>
      <c r="E195" s="177">
        <f t="shared" si="174"/>
        <v>90</v>
      </c>
      <c r="F195" s="177">
        <f t="shared" si="174"/>
        <v>89</v>
      </c>
      <c r="G195" s="177">
        <f t="shared" si="174"/>
        <v>90</v>
      </c>
      <c r="H195" s="177">
        <f t="shared" si="174"/>
        <v>90</v>
      </c>
      <c r="I195" s="177">
        <f t="shared" si="174"/>
        <v>90</v>
      </c>
      <c r="J195" s="177">
        <f t="shared" si="174"/>
        <v>90</v>
      </c>
      <c r="K195" s="177">
        <f t="shared" si="174"/>
        <v>90</v>
      </c>
      <c r="L195" s="177">
        <f t="shared" si="174"/>
        <v>89</v>
      </c>
      <c r="M195" s="177">
        <f t="shared" si="174"/>
        <v>60</v>
      </c>
      <c r="N195" s="177">
        <f t="shared" si="174"/>
        <v>60</v>
      </c>
      <c r="O195" s="177">
        <f>SUM(C195:N195)</f>
        <v>1018</v>
      </c>
      <c r="P195" s="178">
        <f>SUM(C195:D195)</f>
        <v>180</v>
      </c>
      <c r="Q195" s="177">
        <f>O195-P195</f>
        <v>838</v>
      </c>
      <c r="R195" s="566"/>
      <c r="S195" s="170"/>
      <c r="T195" s="601" t="str">
        <f t="shared" si="170"/>
        <v xml:space="preserve">   Interest on Long Term Debt (Pre 1/1/98 - Third Party)</v>
      </c>
      <c r="U195" s="807"/>
      <c r="V195" s="584">
        <f>C195+D195+E195</f>
        <v>270</v>
      </c>
      <c r="W195" s="584">
        <f>F195+G195+H195</f>
        <v>269</v>
      </c>
      <c r="X195" s="584">
        <f>I195+J195+K195</f>
        <v>270</v>
      </c>
      <c r="Y195" s="584">
        <f>L195+M195+N195</f>
        <v>209</v>
      </c>
      <c r="Z195" s="584"/>
      <c r="AA195" s="584">
        <f>SUM(V195:Y195)</f>
        <v>1018</v>
      </c>
      <c r="AB195" s="170"/>
      <c r="AC195" s="170"/>
      <c r="AD195" s="165" t="str">
        <f t="shared" si="171"/>
        <v xml:space="preserve">   Interest on Long Term Debt (Pre 1/1/98 - Third Party)</v>
      </c>
      <c r="AF195" s="177">
        <f>C195</f>
        <v>90</v>
      </c>
      <c r="AG195" s="177">
        <f t="shared" ref="AG195:AQ196" si="175">D195+AF195</f>
        <v>180</v>
      </c>
      <c r="AH195" s="177">
        <f t="shared" si="175"/>
        <v>270</v>
      </c>
      <c r="AI195" s="177">
        <f t="shared" si="175"/>
        <v>359</v>
      </c>
      <c r="AJ195" s="177">
        <f t="shared" si="175"/>
        <v>449</v>
      </c>
      <c r="AK195" s="177">
        <f t="shared" si="175"/>
        <v>539</v>
      </c>
      <c r="AL195" s="177">
        <f t="shared" si="175"/>
        <v>629</v>
      </c>
      <c r="AM195" s="177">
        <f t="shared" si="175"/>
        <v>719</v>
      </c>
      <c r="AN195" s="177">
        <f t="shared" si="175"/>
        <v>809</v>
      </c>
      <c r="AO195" s="177">
        <f t="shared" si="175"/>
        <v>898</v>
      </c>
      <c r="AP195" s="177">
        <f t="shared" si="175"/>
        <v>958</v>
      </c>
      <c r="AQ195" s="177">
        <f t="shared" si="175"/>
        <v>1018</v>
      </c>
    </row>
    <row r="196" spans="1:43" x14ac:dyDescent="0.2">
      <c r="A196" s="408" t="s">
        <v>29</v>
      </c>
      <c r="C196" s="177">
        <f t="shared" ref="C196:N196" si="176">C43-C138</f>
        <v>0</v>
      </c>
      <c r="D196" s="177">
        <f t="shared" si="176"/>
        <v>0</v>
      </c>
      <c r="E196" s="177">
        <f t="shared" si="176"/>
        <v>0</v>
      </c>
      <c r="F196" s="177">
        <f t="shared" si="176"/>
        <v>0</v>
      </c>
      <c r="G196" s="177">
        <f t="shared" si="176"/>
        <v>0</v>
      </c>
      <c r="H196" s="177">
        <f t="shared" si="176"/>
        <v>0</v>
      </c>
      <c r="I196" s="177">
        <f t="shared" si="176"/>
        <v>0</v>
      </c>
      <c r="J196" s="177">
        <f t="shared" si="176"/>
        <v>0</v>
      </c>
      <c r="K196" s="177">
        <f t="shared" si="176"/>
        <v>0</v>
      </c>
      <c r="L196" s="177">
        <f t="shared" si="176"/>
        <v>0</v>
      </c>
      <c r="M196" s="177">
        <f t="shared" si="176"/>
        <v>0</v>
      </c>
      <c r="N196" s="177">
        <f t="shared" si="176"/>
        <v>0</v>
      </c>
      <c r="O196" s="177">
        <f>SUM(C196:N196)</f>
        <v>0</v>
      </c>
      <c r="P196" s="178">
        <f>SUM(C196:D196)</f>
        <v>0</v>
      </c>
      <c r="Q196" s="177">
        <f>O196-P196</f>
        <v>0</v>
      </c>
      <c r="R196" s="566"/>
      <c r="S196" s="170"/>
      <c r="T196" s="601" t="str">
        <f t="shared" si="170"/>
        <v xml:space="preserve">   Interest on Long Term Debt (Post 1/1/98 - Internal)</v>
      </c>
      <c r="U196" s="807"/>
      <c r="V196" s="584">
        <f>C196+D196+E196</f>
        <v>0</v>
      </c>
      <c r="W196" s="584">
        <f>F196+G196+H196</f>
        <v>0</v>
      </c>
      <c r="X196" s="584">
        <f>I196+J196+K196</f>
        <v>0</v>
      </c>
      <c r="Y196" s="584">
        <f>L196+M196+N196</f>
        <v>0</v>
      </c>
      <c r="Z196" s="584"/>
      <c r="AA196" s="584">
        <f>SUM(V196:Y196)</f>
        <v>0</v>
      </c>
      <c r="AB196" s="170"/>
      <c r="AC196" s="170"/>
      <c r="AD196" s="165" t="str">
        <f t="shared" si="171"/>
        <v xml:space="preserve">   Interest on Long Term Debt (Post 1/1/98 - Internal)</v>
      </c>
      <c r="AF196" s="177">
        <f>C196</f>
        <v>0</v>
      </c>
      <c r="AG196" s="177">
        <f t="shared" si="175"/>
        <v>0</v>
      </c>
      <c r="AH196" s="177">
        <f t="shared" si="175"/>
        <v>0</v>
      </c>
      <c r="AI196" s="177">
        <f t="shared" si="175"/>
        <v>0</v>
      </c>
      <c r="AJ196" s="177">
        <f t="shared" si="175"/>
        <v>0</v>
      </c>
      <c r="AK196" s="177">
        <f t="shared" si="175"/>
        <v>0</v>
      </c>
      <c r="AL196" s="177">
        <f t="shared" si="175"/>
        <v>0</v>
      </c>
      <c r="AM196" s="177">
        <f t="shared" si="175"/>
        <v>0</v>
      </c>
      <c r="AN196" s="177">
        <f t="shared" si="175"/>
        <v>0</v>
      </c>
      <c r="AO196" s="177">
        <f t="shared" si="175"/>
        <v>0</v>
      </c>
      <c r="AP196" s="177">
        <f t="shared" si="175"/>
        <v>0</v>
      </c>
      <c r="AQ196" s="177">
        <f t="shared" si="175"/>
        <v>0</v>
      </c>
    </row>
    <row r="197" spans="1:43" x14ac:dyDescent="0.2">
      <c r="A197" s="408" t="s">
        <v>328</v>
      </c>
      <c r="C197" s="177">
        <f t="shared" ref="C197:N197" si="177">C44-C139</f>
        <v>-700</v>
      </c>
      <c r="D197" s="177">
        <f t="shared" si="177"/>
        <v>-700</v>
      </c>
      <c r="E197" s="177">
        <f t="shared" si="177"/>
        <v>-700</v>
      </c>
      <c r="F197" s="177">
        <f t="shared" si="177"/>
        <v>-700</v>
      </c>
      <c r="G197" s="177">
        <f t="shared" si="177"/>
        <v>-700</v>
      </c>
      <c r="H197" s="177">
        <f t="shared" si="177"/>
        <v>-700</v>
      </c>
      <c r="I197" s="177">
        <f t="shared" si="177"/>
        <v>-700</v>
      </c>
      <c r="J197" s="177">
        <f t="shared" si="177"/>
        <v>-800</v>
      </c>
      <c r="K197" s="177">
        <f t="shared" si="177"/>
        <v>-700</v>
      </c>
      <c r="L197" s="177">
        <f t="shared" si="177"/>
        <v>-800</v>
      </c>
      <c r="M197" s="177">
        <f t="shared" si="177"/>
        <v>-800</v>
      </c>
      <c r="N197" s="177">
        <f t="shared" si="177"/>
        <v>-800</v>
      </c>
      <c r="O197" s="177">
        <f>SUM(C197:N197)</f>
        <v>-8800</v>
      </c>
      <c r="P197" s="178">
        <f>SUM(C197:D197)</f>
        <v>-1400</v>
      </c>
      <c r="Q197" s="177">
        <f>O197-P197</f>
        <v>-7400</v>
      </c>
      <c r="R197" s="566"/>
      <c r="S197" s="170"/>
      <c r="T197" s="601" t="str">
        <f t="shared" si="170"/>
        <v xml:space="preserve">   Intercompany Interest Expense / (Income)</v>
      </c>
      <c r="U197" s="807"/>
      <c r="V197" s="584">
        <f>C197+D197+E197</f>
        <v>-2100</v>
      </c>
      <c r="W197" s="584">
        <f>F197+G197+H197</f>
        <v>-2100</v>
      </c>
      <c r="X197" s="584">
        <f>I197+J197+K197</f>
        <v>-2200</v>
      </c>
      <c r="Y197" s="584">
        <f>L197+M197+N197</f>
        <v>-2400</v>
      </c>
      <c r="Z197" s="584"/>
      <c r="AA197" s="584">
        <f>SUM(V197:Y197)</f>
        <v>-8800</v>
      </c>
      <c r="AB197" s="170"/>
      <c r="AC197" s="170"/>
      <c r="AD197" s="165" t="str">
        <f t="shared" si="171"/>
        <v xml:space="preserve">   Intercompany Interest Expense / (Income)</v>
      </c>
      <c r="AF197" s="177">
        <f>C197</f>
        <v>-700</v>
      </c>
      <c r="AG197" s="177">
        <f t="shared" si="173"/>
        <v>-1400</v>
      </c>
      <c r="AH197" s="177">
        <f t="shared" si="173"/>
        <v>-2100</v>
      </c>
      <c r="AI197" s="177">
        <f t="shared" si="173"/>
        <v>-2800</v>
      </c>
      <c r="AJ197" s="177">
        <f t="shared" si="173"/>
        <v>-3500</v>
      </c>
      <c r="AK197" s="177">
        <f t="shared" si="173"/>
        <v>-4200</v>
      </c>
      <c r="AL197" s="177">
        <f t="shared" si="173"/>
        <v>-4900</v>
      </c>
      <c r="AM197" s="177">
        <f t="shared" si="173"/>
        <v>-5700</v>
      </c>
      <c r="AN197" s="177">
        <f t="shared" si="173"/>
        <v>-6400</v>
      </c>
      <c r="AO197" s="177">
        <f t="shared" si="173"/>
        <v>-7200</v>
      </c>
      <c r="AP197" s="177">
        <f t="shared" si="173"/>
        <v>-8000</v>
      </c>
      <c r="AQ197" s="177">
        <f t="shared" si="173"/>
        <v>-8800</v>
      </c>
    </row>
    <row r="198" spans="1:43" x14ac:dyDescent="0.2">
      <c r="A198" s="176" t="s">
        <v>329</v>
      </c>
      <c r="C198" s="180">
        <f t="shared" ref="C198:N198" si="178">C45-C140</f>
        <v>-8</v>
      </c>
      <c r="D198" s="180">
        <f t="shared" si="178"/>
        <v>-14</v>
      </c>
      <c r="E198" s="180">
        <f t="shared" si="178"/>
        <v>-11</v>
      </c>
      <c r="F198" s="180">
        <f t="shared" si="178"/>
        <v>-21</v>
      </c>
      <c r="G198" s="180">
        <f t="shared" si="178"/>
        <v>-32</v>
      </c>
      <c r="H198" s="180">
        <f t="shared" si="178"/>
        <v>-38</v>
      </c>
      <c r="I198" s="180">
        <f t="shared" si="178"/>
        <v>-40</v>
      </c>
      <c r="J198" s="180">
        <f t="shared" si="178"/>
        <v>-39</v>
      </c>
      <c r="K198" s="180">
        <f t="shared" si="178"/>
        <v>-37</v>
      </c>
      <c r="L198" s="180">
        <f t="shared" si="178"/>
        <v>-35</v>
      </c>
      <c r="M198" s="180">
        <f t="shared" si="178"/>
        <v>-39</v>
      </c>
      <c r="N198" s="180">
        <f t="shared" si="178"/>
        <v>-39</v>
      </c>
      <c r="O198" s="180">
        <f>SUM(C198:N198)</f>
        <v>-353</v>
      </c>
      <c r="P198" s="263">
        <f>SUM(C198:D198)</f>
        <v>-22</v>
      </c>
      <c r="Q198" s="180">
        <f>O198-P198</f>
        <v>-331</v>
      </c>
      <c r="R198" s="567"/>
      <c r="S198" s="655"/>
      <c r="T198" s="601" t="str">
        <f t="shared" si="170"/>
        <v xml:space="preserve">   AFUDC</v>
      </c>
      <c r="U198" s="811"/>
      <c r="V198" s="586">
        <f>C198+D198+E198</f>
        <v>-33</v>
      </c>
      <c r="W198" s="586">
        <f>F198+G198+H198</f>
        <v>-91</v>
      </c>
      <c r="X198" s="586">
        <f>I198+J198+K198</f>
        <v>-116</v>
      </c>
      <c r="Y198" s="586">
        <f>L198+M198+N198</f>
        <v>-113</v>
      </c>
      <c r="Z198" s="586"/>
      <c r="AA198" s="586">
        <f>SUM(V198:Y198)</f>
        <v>-353</v>
      </c>
      <c r="AB198" s="170"/>
      <c r="AC198" s="170"/>
      <c r="AD198" s="165" t="str">
        <f t="shared" si="171"/>
        <v xml:space="preserve">   AFUDC</v>
      </c>
      <c r="AF198" s="180">
        <f>C198</f>
        <v>-8</v>
      </c>
      <c r="AG198" s="180">
        <f t="shared" si="173"/>
        <v>-22</v>
      </c>
      <c r="AH198" s="180">
        <f t="shared" si="173"/>
        <v>-33</v>
      </c>
      <c r="AI198" s="180">
        <f t="shared" si="173"/>
        <v>-54</v>
      </c>
      <c r="AJ198" s="180">
        <f t="shared" si="173"/>
        <v>-86</v>
      </c>
      <c r="AK198" s="180">
        <f t="shared" si="173"/>
        <v>-124</v>
      </c>
      <c r="AL198" s="180">
        <f t="shared" si="173"/>
        <v>-164</v>
      </c>
      <c r="AM198" s="180">
        <f t="shared" si="173"/>
        <v>-203</v>
      </c>
      <c r="AN198" s="180">
        <f t="shared" si="173"/>
        <v>-240</v>
      </c>
      <c r="AO198" s="180">
        <f t="shared" si="173"/>
        <v>-275</v>
      </c>
      <c r="AP198" s="180">
        <f t="shared" si="173"/>
        <v>-314</v>
      </c>
      <c r="AQ198" s="180">
        <f t="shared" si="173"/>
        <v>-353</v>
      </c>
    </row>
    <row r="199" spans="1:43" ht="3.95" customHeight="1" x14ac:dyDescent="0.2">
      <c r="A199" s="170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8"/>
      <c r="S199" s="170"/>
      <c r="T199" s="573"/>
      <c r="U199" s="807"/>
      <c r="V199" s="584"/>
      <c r="W199" s="584"/>
      <c r="X199" s="584"/>
      <c r="Y199" s="584"/>
      <c r="Z199" s="584"/>
      <c r="AA199" s="584"/>
      <c r="AB199" s="170"/>
      <c r="AC199" s="170"/>
      <c r="AD199" s="170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77"/>
      <c r="AP199" s="177"/>
      <c r="AQ199" s="177"/>
    </row>
    <row r="200" spans="1:43" x14ac:dyDescent="0.2">
      <c r="A200" s="412" t="s">
        <v>32</v>
      </c>
      <c r="B200" s="806"/>
      <c r="C200" s="181">
        <f>SUM(C194:C198)</f>
        <v>-618</v>
      </c>
      <c r="D200" s="181">
        <f t="shared" ref="D200:Q200" si="179">SUM(D194:D198)</f>
        <v>-624</v>
      </c>
      <c r="E200" s="181">
        <f t="shared" si="179"/>
        <v>-621</v>
      </c>
      <c r="F200" s="181">
        <f t="shared" si="179"/>
        <v>-632</v>
      </c>
      <c r="G200" s="181">
        <f t="shared" si="179"/>
        <v>-642</v>
      </c>
      <c r="H200" s="181">
        <f t="shared" si="179"/>
        <v>-648</v>
      </c>
      <c r="I200" s="181">
        <f t="shared" si="179"/>
        <v>-650</v>
      </c>
      <c r="J200" s="181">
        <f t="shared" si="179"/>
        <v>-749</v>
      </c>
      <c r="K200" s="181">
        <f t="shared" si="179"/>
        <v>-647</v>
      </c>
      <c r="L200" s="181">
        <f t="shared" si="179"/>
        <v>-746</v>
      </c>
      <c r="M200" s="181">
        <f t="shared" si="179"/>
        <v>-779</v>
      </c>
      <c r="N200" s="181">
        <f t="shared" si="179"/>
        <v>-779</v>
      </c>
      <c r="O200" s="181">
        <f t="shared" si="179"/>
        <v>-8135</v>
      </c>
      <c r="P200" s="181">
        <f t="shared" si="179"/>
        <v>-1242</v>
      </c>
      <c r="Q200" s="181">
        <f t="shared" si="179"/>
        <v>-6893</v>
      </c>
      <c r="R200" s="543"/>
      <c r="S200" s="168"/>
      <c r="T200" s="600" t="str">
        <f>A200</f>
        <v xml:space="preserve">     Total Interest and Other</v>
      </c>
      <c r="U200" s="809"/>
      <c r="V200" s="603">
        <f>SUM(V194:V198)</f>
        <v>-1863</v>
      </c>
      <c r="W200" s="603">
        <f>SUM(W194:W198)</f>
        <v>-1922</v>
      </c>
      <c r="X200" s="603">
        <f>SUM(X194:X198)</f>
        <v>-2046</v>
      </c>
      <c r="Y200" s="603">
        <f>SUM(Y194:Y198)</f>
        <v>-2304</v>
      </c>
      <c r="Z200" s="603"/>
      <c r="AA200" s="603">
        <f>SUM(AA194:AA198)</f>
        <v>-8135</v>
      </c>
      <c r="AB200" s="168"/>
      <c r="AC200" s="168"/>
      <c r="AD200" s="166" t="str">
        <f>A200</f>
        <v xml:space="preserve">     Total Interest and Other</v>
      </c>
      <c r="AF200" s="181">
        <f>C200</f>
        <v>-618</v>
      </c>
      <c r="AG200" s="181">
        <f t="shared" ref="AG200:AQ200" si="180">D200+AF200</f>
        <v>-1242</v>
      </c>
      <c r="AH200" s="181">
        <f t="shared" si="180"/>
        <v>-1863</v>
      </c>
      <c r="AI200" s="181">
        <f t="shared" si="180"/>
        <v>-2495</v>
      </c>
      <c r="AJ200" s="181">
        <f t="shared" si="180"/>
        <v>-3137</v>
      </c>
      <c r="AK200" s="181">
        <f t="shared" si="180"/>
        <v>-3785</v>
      </c>
      <c r="AL200" s="181">
        <f t="shared" si="180"/>
        <v>-4435</v>
      </c>
      <c r="AM200" s="181">
        <f t="shared" si="180"/>
        <v>-5184</v>
      </c>
      <c r="AN200" s="181">
        <f t="shared" si="180"/>
        <v>-5831</v>
      </c>
      <c r="AO200" s="181">
        <f t="shared" si="180"/>
        <v>-6577</v>
      </c>
      <c r="AP200" s="181">
        <f t="shared" si="180"/>
        <v>-7356</v>
      </c>
      <c r="AQ200" s="181">
        <f t="shared" si="180"/>
        <v>-8135</v>
      </c>
    </row>
    <row r="201" spans="1:43" x14ac:dyDescent="0.2">
      <c r="A201" s="412"/>
      <c r="B201" s="806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415"/>
      <c r="S201" s="168"/>
      <c r="T201" s="600"/>
      <c r="U201" s="809"/>
      <c r="V201" s="603"/>
      <c r="W201" s="603"/>
      <c r="X201" s="603"/>
      <c r="Y201" s="603"/>
      <c r="Z201" s="603"/>
      <c r="AA201" s="603"/>
      <c r="AB201" s="168"/>
      <c r="AC201" s="168"/>
      <c r="AD201" s="166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</row>
    <row r="202" spans="1:43" x14ac:dyDescent="0.2">
      <c r="A202" s="397" t="s">
        <v>331</v>
      </c>
      <c r="B202" s="803"/>
      <c r="C202" s="181">
        <f t="shared" ref="C202:Q202" si="181">C182+C189-C200</f>
        <v>10171</v>
      </c>
      <c r="D202" s="181">
        <f t="shared" si="181"/>
        <v>8369</v>
      </c>
      <c r="E202" s="181">
        <f t="shared" si="181"/>
        <v>9770</v>
      </c>
      <c r="F202" s="181">
        <f t="shared" si="181"/>
        <v>9419</v>
      </c>
      <c r="G202" s="181">
        <f t="shared" si="181"/>
        <v>10058</v>
      </c>
      <c r="H202" s="181">
        <f t="shared" si="181"/>
        <v>10626</v>
      </c>
      <c r="I202" s="181">
        <f t="shared" si="181"/>
        <v>11430</v>
      </c>
      <c r="J202" s="181">
        <f t="shared" si="181"/>
        <v>11334</v>
      </c>
      <c r="K202" s="181">
        <f t="shared" si="181"/>
        <v>10703</v>
      </c>
      <c r="L202" s="181">
        <f t="shared" si="181"/>
        <v>11291</v>
      </c>
      <c r="M202" s="181">
        <f t="shared" si="181"/>
        <v>11266</v>
      </c>
      <c r="N202" s="181">
        <f t="shared" si="181"/>
        <v>11464</v>
      </c>
      <c r="O202" s="181">
        <f t="shared" si="181"/>
        <v>125901</v>
      </c>
      <c r="P202" s="181">
        <f t="shared" si="181"/>
        <v>18540</v>
      </c>
      <c r="Q202" s="181">
        <f t="shared" si="181"/>
        <v>107361</v>
      </c>
      <c r="R202" s="543"/>
      <c r="S202" s="168"/>
      <c r="T202" s="600" t="str">
        <f>A202</f>
        <v>INCOME BEFORE INCOME TAXES</v>
      </c>
      <c r="U202" s="595"/>
      <c r="V202" s="603">
        <f>V182+V189-V200</f>
        <v>28310</v>
      </c>
      <c r="W202" s="603">
        <f>W182+W189-W200</f>
        <v>30103</v>
      </c>
      <c r="X202" s="603">
        <f>X182+X189-X200</f>
        <v>33467</v>
      </c>
      <c r="Y202" s="603">
        <f>Y182+Y189-Y200</f>
        <v>34021</v>
      </c>
      <c r="Z202" s="603"/>
      <c r="AA202" s="603">
        <f>AA182+AA189-AA200</f>
        <v>125901</v>
      </c>
      <c r="AB202" s="168"/>
      <c r="AC202" s="170"/>
      <c r="AD202" s="166" t="str">
        <f>A202</f>
        <v>INCOME BEFORE INCOME TAXES</v>
      </c>
      <c r="AF202" s="181">
        <f>C202</f>
        <v>10171</v>
      </c>
      <c r="AG202" s="181">
        <f t="shared" ref="AG202:AQ202" si="182">D202+AF202</f>
        <v>18540</v>
      </c>
      <c r="AH202" s="181">
        <f t="shared" si="182"/>
        <v>28310</v>
      </c>
      <c r="AI202" s="181">
        <f t="shared" si="182"/>
        <v>37729</v>
      </c>
      <c r="AJ202" s="181">
        <f t="shared" si="182"/>
        <v>47787</v>
      </c>
      <c r="AK202" s="181">
        <f t="shared" si="182"/>
        <v>58413</v>
      </c>
      <c r="AL202" s="181">
        <f t="shared" si="182"/>
        <v>69843</v>
      </c>
      <c r="AM202" s="181">
        <f t="shared" si="182"/>
        <v>81177</v>
      </c>
      <c r="AN202" s="181">
        <f t="shared" si="182"/>
        <v>91880</v>
      </c>
      <c r="AO202" s="181">
        <f t="shared" si="182"/>
        <v>103171</v>
      </c>
      <c r="AP202" s="181">
        <f t="shared" si="182"/>
        <v>114437</v>
      </c>
      <c r="AQ202" s="181">
        <f t="shared" si="182"/>
        <v>125901</v>
      </c>
    </row>
    <row r="203" spans="1:43" x14ac:dyDescent="0.2">
      <c r="A203" s="170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8"/>
      <c r="S203" s="170"/>
      <c r="T203" s="573"/>
      <c r="U203" s="807"/>
      <c r="V203" s="584"/>
      <c r="W203" s="584"/>
      <c r="X203" s="584"/>
      <c r="Y203" s="584"/>
      <c r="Z203" s="584"/>
      <c r="AA203" s="584"/>
      <c r="AB203" s="170"/>
      <c r="AC203" s="170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77"/>
      <c r="AP203" s="177"/>
      <c r="AQ203" s="177"/>
    </row>
    <row r="204" spans="1:43" x14ac:dyDescent="0.2">
      <c r="A204" s="176" t="s">
        <v>1059</v>
      </c>
      <c r="C204" s="177">
        <f t="shared" ref="C204:N204" si="183">C51-C146</f>
        <v>3478</v>
      </c>
      <c r="D204" s="177">
        <f t="shared" si="183"/>
        <v>2752</v>
      </c>
      <c r="E204" s="177">
        <f t="shared" si="183"/>
        <v>3308</v>
      </c>
      <c r="F204" s="177">
        <f t="shared" si="183"/>
        <v>3124</v>
      </c>
      <c r="G204" s="177">
        <f t="shared" si="183"/>
        <v>3318</v>
      </c>
      <c r="H204" s="177">
        <f t="shared" si="183"/>
        <v>3511</v>
      </c>
      <c r="I204" s="177">
        <f t="shared" si="183"/>
        <v>3819</v>
      </c>
      <c r="J204" s="177">
        <f t="shared" si="183"/>
        <v>3782</v>
      </c>
      <c r="K204" s="177">
        <f t="shared" si="183"/>
        <v>3009</v>
      </c>
      <c r="L204" s="177">
        <f t="shared" si="183"/>
        <v>3795</v>
      </c>
      <c r="M204" s="177">
        <f t="shared" si="183"/>
        <v>4350</v>
      </c>
      <c r="N204" s="177">
        <f t="shared" si="183"/>
        <v>3846</v>
      </c>
      <c r="O204" s="177">
        <f>SUM(C204:N204)</f>
        <v>42092</v>
      </c>
      <c r="P204" s="178">
        <f>SUM(C204:D204)</f>
        <v>6230</v>
      </c>
      <c r="Q204" s="177">
        <f>O204-P204</f>
        <v>35862</v>
      </c>
      <c r="R204" s="566"/>
      <c r="S204" s="170"/>
      <c r="T204" s="601" t="str">
        <f>A204</f>
        <v xml:space="preserve">   Payable Currently</v>
      </c>
      <c r="U204" s="807"/>
      <c r="V204" s="584">
        <f>C204+D204+E204</f>
        <v>9538</v>
      </c>
      <c r="W204" s="584">
        <f>F204+G204+H204</f>
        <v>9953</v>
      </c>
      <c r="X204" s="584">
        <f>I204+J204+K204</f>
        <v>10610</v>
      </c>
      <c r="Y204" s="584">
        <f>L204+M204+N204</f>
        <v>11991</v>
      </c>
      <c r="Z204" s="584"/>
      <c r="AA204" s="584">
        <f>SUM(V204:Y204)</f>
        <v>42092</v>
      </c>
      <c r="AB204" s="170"/>
      <c r="AC204" s="170"/>
      <c r="AD204" s="165" t="str">
        <f>A204</f>
        <v xml:space="preserve">   Payable Currently</v>
      </c>
      <c r="AF204" s="177">
        <f>C204</f>
        <v>3478</v>
      </c>
      <c r="AG204" s="177">
        <f t="shared" ref="AG204:AQ205" si="184">D204+AF204</f>
        <v>6230</v>
      </c>
      <c r="AH204" s="177">
        <f t="shared" si="184"/>
        <v>9538</v>
      </c>
      <c r="AI204" s="177">
        <f t="shared" si="184"/>
        <v>12662</v>
      </c>
      <c r="AJ204" s="177">
        <f t="shared" si="184"/>
        <v>15980</v>
      </c>
      <c r="AK204" s="177">
        <f t="shared" si="184"/>
        <v>19491</v>
      </c>
      <c r="AL204" s="177">
        <f t="shared" si="184"/>
        <v>23310</v>
      </c>
      <c r="AM204" s="177">
        <f t="shared" si="184"/>
        <v>27092</v>
      </c>
      <c r="AN204" s="177">
        <f t="shared" si="184"/>
        <v>30101</v>
      </c>
      <c r="AO204" s="177">
        <f t="shared" si="184"/>
        <v>33896</v>
      </c>
      <c r="AP204" s="177">
        <f t="shared" si="184"/>
        <v>38246</v>
      </c>
      <c r="AQ204" s="177">
        <f t="shared" si="184"/>
        <v>42092</v>
      </c>
    </row>
    <row r="205" spans="1:43" x14ac:dyDescent="0.2">
      <c r="A205" s="410" t="s">
        <v>1060</v>
      </c>
      <c r="C205" s="180">
        <f t="shared" ref="C205:N205" si="185">C52-C147</f>
        <v>479</v>
      </c>
      <c r="D205" s="180">
        <f t="shared" si="185"/>
        <v>504</v>
      </c>
      <c r="E205" s="180">
        <f t="shared" si="185"/>
        <v>493</v>
      </c>
      <c r="F205" s="180">
        <f t="shared" si="185"/>
        <v>541</v>
      </c>
      <c r="G205" s="180">
        <f t="shared" si="185"/>
        <v>595</v>
      </c>
      <c r="H205" s="180">
        <f t="shared" si="185"/>
        <v>623</v>
      </c>
      <c r="I205" s="180">
        <f t="shared" si="185"/>
        <v>628</v>
      </c>
      <c r="J205" s="180">
        <f t="shared" si="185"/>
        <v>627</v>
      </c>
      <c r="K205" s="180">
        <f t="shared" si="185"/>
        <v>1155</v>
      </c>
      <c r="L205" s="180">
        <f t="shared" si="185"/>
        <v>598</v>
      </c>
      <c r="M205" s="180">
        <f t="shared" si="185"/>
        <v>33</v>
      </c>
      <c r="N205" s="180">
        <f t="shared" si="185"/>
        <v>614</v>
      </c>
      <c r="O205" s="180">
        <f>SUM(C205:N205)</f>
        <v>6890</v>
      </c>
      <c r="P205" s="263">
        <f>SUM(C205:D205)</f>
        <v>983</v>
      </c>
      <c r="Q205" s="180">
        <f>O205-P205</f>
        <v>5907</v>
      </c>
      <c r="R205" s="567"/>
      <c r="S205" s="170"/>
      <c r="T205" s="601" t="str">
        <f>A205</f>
        <v xml:space="preserve">   Deferred</v>
      </c>
      <c r="U205" s="807"/>
      <c r="V205" s="586">
        <f>C205+D205+E205</f>
        <v>1476</v>
      </c>
      <c r="W205" s="586">
        <f>F205+G205+H205</f>
        <v>1759</v>
      </c>
      <c r="X205" s="586">
        <f>I205+J205+K205</f>
        <v>2410</v>
      </c>
      <c r="Y205" s="586">
        <f>L205+M205+N205</f>
        <v>1245</v>
      </c>
      <c r="Z205" s="586"/>
      <c r="AA205" s="586">
        <f>SUM(V205:Y205)</f>
        <v>6890</v>
      </c>
      <c r="AB205" s="186"/>
      <c r="AC205" s="170"/>
      <c r="AD205" s="165" t="str">
        <f>A205</f>
        <v xml:space="preserve">   Deferred</v>
      </c>
      <c r="AF205" s="180">
        <f>C205</f>
        <v>479</v>
      </c>
      <c r="AG205" s="180">
        <f t="shared" si="184"/>
        <v>983</v>
      </c>
      <c r="AH205" s="180">
        <f t="shared" si="184"/>
        <v>1476</v>
      </c>
      <c r="AI205" s="180">
        <f t="shared" si="184"/>
        <v>2017</v>
      </c>
      <c r="AJ205" s="180">
        <f t="shared" si="184"/>
        <v>2612</v>
      </c>
      <c r="AK205" s="180">
        <f t="shared" si="184"/>
        <v>3235</v>
      </c>
      <c r="AL205" s="180">
        <f t="shared" si="184"/>
        <v>3863</v>
      </c>
      <c r="AM205" s="180">
        <f t="shared" si="184"/>
        <v>4490</v>
      </c>
      <c r="AN205" s="180">
        <f t="shared" si="184"/>
        <v>5645</v>
      </c>
      <c r="AO205" s="180">
        <f t="shared" si="184"/>
        <v>6243</v>
      </c>
      <c r="AP205" s="180">
        <f t="shared" si="184"/>
        <v>6276</v>
      </c>
      <c r="AQ205" s="180">
        <f t="shared" si="184"/>
        <v>6890</v>
      </c>
    </row>
    <row r="206" spans="1:43" ht="3.95" customHeight="1" x14ac:dyDescent="0.2">
      <c r="A206" s="398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8"/>
      <c r="S206" s="170"/>
      <c r="T206" s="569"/>
      <c r="U206" s="807"/>
      <c r="V206" s="584"/>
      <c r="W206" s="584"/>
      <c r="X206" s="584"/>
      <c r="Y206" s="584"/>
      <c r="Z206" s="584"/>
      <c r="AA206" s="584"/>
      <c r="AB206" s="170"/>
      <c r="AC206" s="170"/>
      <c r="AD206" s="170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</row>
    <row r="207" spans="1:43" x14ac:dyDescent="0.2">
      <c r="A207" s="409" t="s">
        <v>332</v>
      </c>
      <c r="B207" s="803"/>
      <c r="C207" s="181">
        <f t="shared" ref="C207:Q207" si="186">ROUND((SUM(C204:C205)),0)</f>
        <v>3957</v>
      </c>
      <c r="D207" s="181">
        <f t="shared" si="186"/>
        <v>3256</v>
      </c>
      <c r="E207" s="181">
        <f t="shared" si="186"/>
        <v>3801</v>
      </c>
      <c r="F207" s="181">
        <f t="shared" si="186"/>
        <v>3665</v>
      </c>
      <c r="G207" s="181">
        <f t="shared" si="186"/>
        <v>3913</v>
      </c>
      <c r="H207" s="181">
        <f t="shared" si="186"/>
        <v>4134</v>
      </c>
      <c r="I207" s="181">
        <f t="shared" si="186"/>
        <v>4447</v>
      </c>
      <c r="J207" s="181">
        <f t="shared" si="186"/>
        <v>4409</v>
      </c>
      <c r="K207" s="181">
        <f t="shared" si="186"/>
        <v>4164</v>
      </c>
      <c r="L207" s="181">
        <f t="shared" si="186"/>
        <v>4393</v>
      </c>
      <c r="M207" s="181">
        <f t="shared" si="186"/>
        <v>4383</v>
      </c>
      <c r="N207" s="181">
        <f t="shared" si="186"/>
        <v>4460</v>
      </c>
      <c r="O207" s="181">
        <f t="shared" si="186"/>
        <v>48982</v>
      </c>
      <c r="P207" s="181">
        <f t="shared" si="186"/>
        <v>7213</v>
      </c>
      <c r="Q207" s="181">
        <f t="shared" si="186"/>
        <v>41769</v>
      </c>
      <c r="R207" s="543"/>
      <c r="S207" s="168"/>
      <c r="T207" s="600" t="str">
        <f>A207</f>
        <v xml:space="preserve">     Total Income Taxes</v>
      </c>
      <c r="U207" s="595"/>
      <c r="V207" s="603">
        <f>V204+V205</f>
        <v>11014</v>
      </c>
      <c r="W207" s="603">
        <f>W204+W205</f>
        <v>11712</v>
      </c>
      <c r="X207" s="603">
        <f>X204+X205</f>
        <v>13020</v>
      </c>
      <c r="Y207" s="603">
        <f>Y204+Y205</f>
        <v>13236</v>
      </c>
      <c r="Z207" s="603"/>
      <c r="AA207" s="603">
        <f>AA204+AA205</f>
        <v>48982</v>
      </c>
      <c r="AB207" s="168"/>
      <c r="AC207" s="168"/>
      <c r="AD207" s="166" t="str">
        <f>A207</f>
        <v xml:space="preserve">     Total Income Taxes</v>
      </c>
      <c r="AF207" s="181">
        <f>C207</f>
        <v>3957</v>
      </c>
      <c r="AG207" s="181">
        <f t="shared" ref="AG207:AQ207" si="187">D207+AF207</f>
        <v>7213</v>
      </c>
      <c r="AH207" s="181">
        <f t="shared" si="187"/>
        <v>11014</v>
      </c>
      <c r="AI207" s="181">
        <f t="shared" si="187"/>
        <v>14679</v>
      </c>
      <c r="AJ207" s="181">
        <f t="shared" si="187"/>
        <v>18592</v>
      </c>
      <c r="AK207" s="181">
        <f t="shared" si="187"/>
        <v>22726</v>
      </c>
      <c r="AL207" s="181">
        <f t="shared" si="187"/>
        <v>27173</v>
      </c>
      <c r="AM207" s="181">
        <f t="shared" si="187"/>
        <v>31582</v>
      </c>
      <c r="AN207" s="181">
        <f t="shared" si="187"/>
        <v>35746</v>
      </c>
      <c r="AO207" s="181">
        <f t="shared" si="187"/>
        <v>40139</v>
      </c>
      <c r="AP207" s="181">
        <f t="shared" si="187"/>
        <v>44522</v>
      </c>
      <c r="AQ207" s="181">
        <f t="shared" si="187"/>
        <v>48982</v>
      </c>
    </row>
    <row r="208" spans="1:43" x14ac:dyDescent="0.2">
      <c r="A208" s="399"/>
      <c r="B208" s="803"/>
      <c r="C208" s="182"/>
      <c r="D208" s="187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7"/>
      <c r="P208" s="182"/>
      <c r="Q208" s="182"/>
      <c r="R208" s="415"/>
      <c r="S208" s="168"/>
      <c r="T208" s="578"/>
      <c r="U208" s="595"/>
      <c r="V208" s="602"/>
      <c r="W208" s="602"/>
      <c r="X208" s="602"/>
      <c r="Y208" s="605"/>
      <c r="Z208" s="602"/>
      <c r="AA208" s="602"/>
      <c r="AB208" s="168"/>
      <c r="AC208" s="168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</row>
    <row r="209" spans="1:43" x14ac:dyDescent="0.2">
      <c r="A209" s="407" t="s">
        <v>30</v>
      </c>
      <c r="B209" s="803"/>
      <c r="C209" s="181">
        <f t="shared" ref="C209:P209" si="188">ROUND(+C202-C207,0)</f>
        <v>6214</v>
      </c>
      <c r="D209" s="181">
        <f t="shared" si="188"/>
        <v>5113</v>
      </c>
      <c r="E209" s="181">
        <f t="shared" si="188"/>
        <v>5969</v>
      </c>
      <c r="F209" s="181">
        <f t="shared" si="188"/>
        <v>5754</v>
      </c>
      <c r="G209" s="181">
        <f t="shared" si="188"/>
        <v>6145</v>
      </c>
      <c r="H209" s="181">
        <f t="shared" si="188"/>
        <v>6492</v>
      </c>
      <c r="I209" s="181">
        <f t="shared" si="188"/>
        <v>6983</v>
      </c>
      <c r="J209" s="181">
        <f t="shared" si="188"/>
        <v>6925</v>
      </c>
      <c r="K209" s="181">
        <f t="shared" si="188"/>
        <v>6539</v>
      </c>
      <c r="L209" s="181">
        <f t="shared" si="188"/>
        <v>6898</v>
      </c>
      <c r="M209" s="181">
        <f t="shared" si="188"/>
        <v>6883</v>
      </c>
      <c r="N209" s="181">
        <f t="shared" si="188"/>
        <v>7004</v>
      </c>
      <c r="O209" s="181">
        <f t="shared" si="188"/>
        <v>76919</v>
      </c>
      <c r="P209" s="181">
        <f t="shared" si="188"/>
        <v>11327</v>
      </c>
      <c r="Q209" s="181">
        <f>Q202-Q207</f>
        <v>65592</v>
      </c>
      <c r="R209" s="543"/>
      <c r="S209" s="168"/>
      <c r="T209" s="600" t="str">
        <f>A209</f>
        <v xml:space="preserve">NET INCOME </v>
      </c>
      <c r="U209" s="595"/>
      <c r="V209" s="603">
        <f>V202-V207</f>
        <v>17296</v>
      </c>
      <c r="W209" s="603">
        <f>W202-W207</f>
        <v>18391</v>
      </c>
      <c r="X209" s="603">
        <f>X202-X207</f>
        <v>20447</v>
      </c>
      <c r="Y209" s="603">
        <f>Y202-Y207</f>
        <v>20785</v>
      </c>
      <c r="Z209" s="603"/>
      <c r="AA209" s="603">
        <f>AA202-AA207</f>
        <v>76919</v>
      </c>
      <c r="AB209" s="188"/>
      <c r="AC209" s="188"/>
      <c r="AD209" s="166" t="str">
        <f>A209</f>
        <v xml:space="preserve">NET INCOME </v>
      </c>
      <c r="AF209" s="181">
        <f>C209</f>
        <v>6214</v>
      </c>
      <c r="AG209" s="181">
        <f t="shared" ref="AG209:AQ209" si="189">D209+AF209</f>
        <v>11327</v>
      </c>
      <c r="AH209" s="181">
        <f t="shared" si="189"/>
        <v>17296</v>
      </c>
      <c r="AI209" s="181">
        <f t="shared" si="189"/>
        <v>23050</v>
      </c>
      <c r="AJ209" s="181">
        <f t="shared" si="189"/>
        <v>29195</v>
      </c>
      <c r="AK209" s="181">
        <f t="shared" si="189"/>
        <v>35687</v>
      </c>
      <c r="AL209" s="181">
        <f t="shared" si="189"/>
        <v>42670</v>
      </c>
      <c r="AM209" s="181">
        <f t="shared" si="189"/>
        <v>49595</v>
      </c>
      <c r="AN209" s="181">
        <f t="shared" si="189"/>
        <v>56134</v>
      </c>
      <c r="AO209" s="181">
        <f t="shared" si="189"/>
        <v>63032</v>
      </c>
      <c r="AP209" s="181">
        <f t="shared" si="189"/>
        <v>69915</v>
      </c>
      <c r="AQ209" s="181">
        <f t="shared" si="189"/>
        <v>76919</v>
      </c>
    </row>
    <row r="210" spans="1:43" x14ac:dyDescent="0.2">
      <c r="A210" s="170"/>
      <c r="C210" s="184"/>
      <c r="D210" s="177"/>
      <c r="E210" s="184"/>
      <c r="F210" s="184"/>
      <c r="G210" s="177"/>
      <c r="H210" s="184"/>
      <c r="I210" s="177"/>
      <c r="J210" s="177"/>
      <c r="K210" s="177"/>
      <c r="L210" s="177"/>
      <c r="M210" s="177"/>
      <c r="N210" s="177"/>
      <c r="O210" s="184"/>
      <c r="P210" s="177"/>
      <c r="Q210" s="177"/>
      <c r="R210" s="170"/>
      <c r="S210" s="170"/>
      <c r="T210" s="573"/>
      <c r="U210" s="807"/>
      <c r="V210" s="604"/>
      <c r="W210" s="604"/>
      <c r="X210" s="584"/>
      <c r="Y210" s="584"/>
      <c r="Z210" s="584"/>
      <c r="AA210" s="604"/>
      <c r="AB210" s="170"/>
      <c r="AC210" s="170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</row>
    <row r="211" spans="1:43" x14ac:dyDescent="0.2">
      <c r="A211" s="672" t="s">
        <v>633</v>
      </c>
      <c r="C211" s="673">
        <f t="shared" ref="C211:Q211" si="190">C56-C151-C209</f>
        <v>0</v>
      </c>
      <c r="D211" s="673">
        <f t="shared" si="190"/>
        <v>0</v>
      </c>
      <c r="E211" s="673">
        <f t="shared" si="190"/>
        <v>0</v>
      </c>
      <c r="F211" s="673">
        <f t="shared" si="190"/>
        <v>0</v>
      </c>
      <c r="G211" s="673">
        <f t="shared" si="190"/>
        <v>0</v>
      </c>
      <c r="H211" s="673">
        <f t="shared" si="190"/>
        <v>0</v>
      </c>
      <c r="I211" s="673">
        <f t="shared" si="190"/>
        <v>0</v>
      </c>
      <c r="J211" s="673">
        <f t="shared" si="190"/>
        <v>0</v>
      </c>
      <c r="K211" s="673">
        <f t="shared" si="190"/>
        <v>0</v>
      </c>
      <c r="L211" s="673">
        <f t="shared" si="190"/>
        <v>0</v>
      </c>
      <c r="M211" s="673">
        <f t="shared" si="190"/>
        <v>0</v>
      </c>
      <c r="N211" s="673">
        <f t="shared" si="190"/>
        <v>0</v>
      </c>
      <c r="O211" s="673">
        <f t="shared" si="190"/>
        <v>0</v>
      </c>
      <c r="P211" s="673">
        <f t="shared" si="190"/>
        <v>0</v>
      </c>
      <c r="Q211" s="673">
        <f t="shared" si="190"/>
        <v>0</v>
      </c>
      <c r="T211" s="672" t="s">
        <v>633</v>
      </c>
      <c r="V211" s="673">
        <f>V56-V151-V209</f>
        <v>0</v>
      </c>
      <c r="W211" s="673">
        <f>W56-W151-W209</f>
        <v>0</v>
      </c>
      <c r="X211" s="673">
        <f>X56-X151-X209</f>
        <v>0</v>
      </c>
      <c r="Y211" s="673">
        <f>Y56-Y151-Y209</f>
        <v>0</v>
      </c>
      <c r="AA211" s="673">
        <f>AA56-AA151-AA209</f>
        <v>0</v>
      </c>
      <c r="AD211" s="672" t="s">
        <v>633</v>
      </c>
      <c r="AF211" s="673">
        <f t="shared" ref="AF211:AQ211" si="191">AF56-AF151-AF209</f>
        <v>0</v>
      </c>
      <c r="AG211" s="673">
        <f t="shared" si="191"/>
        <v>0</v>
      </c>
      <c r="AH211" s="673">
        <f t="shared" si="191"/>
        <v>0</v>
      </c>
      <c r="AI211" s="673">
        <f t="shared" si="191"/>
        <v>0</v>
      </c>
      <c r="AJ211" s="673">
        <f t="shared" si="191"/>
        <v>0</v>
      </c>
      <c r="AK211" s="673">
        <f t="shared" si="191"/>
        <v>0</v>
      </c>
      <c r="AL211" s="673">
        <f t="shared" si="191"/>
        <v>0</v>
      </c>
      <c r="AM211" s="673">
        <f t="shared" si="191"/>
        <v>0</v>
      </c>
      <c r="AN211" s="673">
        <f t="shared" si="191"/>
        <v>0</v>
      </c>
      <c r="AO211" s="673">
        <f t="shared" si="191"/>
        <v>0</v>
      </c>
      <c r="AP211" s="673">
        <f t="shared" si="191"/>
        <v>0</v>
      </c>
      <c r="AQ211" s="673">
        <f t="shared" si="191"/>
        <v>0</v>
      </c>
    </row>
    <row r="212" spans="1:43" ht="6" customHeight="1" x14ac:dyDescent="0.2"/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  <rowBreaks count="1" manualBreakCount="1">
    <brk id="68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48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ColWidth="10.7109375" defaultRowHeight="12.75" x14ac:dyDescent="0.2"/>
  <cols>
    <col min="1" max="1" width="12.7109375" style="240" customWidth="1"/>
    <col min="2" max="2" width="45.7109375" style="240" customWidth="1"/>
    <col min="3" max="3" width="11.7109375" style="240" customWidth="1"/>
    <col min="4" max="18" width="10.7109375" style="240" customWidth="1"/>
    <col min="19" max="19" width="3.7109375" style="240" customWidth="1"/>
    <col min="20" max="20" width="10.7109375" style="240" customWidth="1"/>
    <col min="21" max="16384" width="10.7109375" style="240"/>
  </cols>
  <sheetData>
    <row r="1" spans="1:40" x14ac:dyDescent="0.2">
      <c r="A1" s="546" t="str">
        <f ca="1">CELL("FILENAME")</f>
        <v>P:\Finance\2002 Plan\[EMTW02PL.XLS]IncomeState</v>
      </c>
      <c r="B1" s="239"/>
      <c r="G1" s="516" t="str">
        <f>IncomeState!G1</f>
        <v>TRANSWESTERN PIPELINE GROUP</v>
      </c>
      <c r="H1" s="516"/>
      <c r="I1" s="516"/>
      <c r="J1" s="517"/>
    </row>
    <row r="2" spans="1:40" x14ac:dyDescent="0.2">
      <c r="A2" s="449" t="s">
        <v>634</v>
      </c>
      <c r="B2" s="239"/>
      <c r="G2" s="516" t="str">
        <f>IncomeState!G2</f>
        <v>2002 OPERATING PLAN</v>
      </c>
      <c r="H2" s="651"/>
      <c r="I2" s="651"/>
      <c r="J2" s="652"/>
    </row>
    <row r="3" spans="1:40" x14ac:dyDescent="0.2">
      <c r="A3" s="450"/>
      <c r="G3" s="518" t="s">
        <v>511</v>
      </c>
      <c r="H3" s="516"/>
      <c r="I3" s="516"/>
      <c r="J3" s="517"/>
    </row>
    <row r="4" spans="1:40" x14ac:dyDescent="0.2">
      <c r="A4" s="450"/>
      <c r="B4" s="662">
        <f ca="1">NOW()</f>
        <v>37189.6149224537</v>
      </c>
      <c r="G4" s="516" t="str">
        <f>IncomeState!G4</f>
        <v>(Thousands of Dollars)</v>
      </c>
      <c r="H4" s="519"/>
      <c r="I4" s="519"/>
      <c r="J4" s="517"/>
    </row>
    <row r="5" spans="1:40" x14ac:dyDescent="0.2">
      <c r="A5" s="450"/>
      <c r="B5" s="663">
        <f ca="1">NOW()</f>
        <v>37189.6149224537</v>
      </c>
      <c r="E5"/>
      <c r="F5"/>
      <c r="G5"/>
      <c r="H5" s="490"/>
      <c r="I5" s="542"/>
    </row>
    <row r="6" spans="1:40" x14ac:dyDescent="0.2">
      <c r="A6" s="450"/>
      <c r="D6" s="676" t="str">
        <f>DataBase!C2</f>
        <v>PLAN</v>
      </c>
      <c r="E6" s="676" t="str">
        <f>DataBase!D2</f>
        <v>PLAN</v>
      </c>
      <c r="F6" s="676" t="str">
        <f>DataBase!E2</f>
        <v>PLAN</v>
      </c>
      <c r="G6" s="676" t="str">
        <f>DataBase!F2</f>
        <v>PLAN</v>
      </c>
      <c r="H6" s="676" t="str">
        <f>DataBase!G2</f>
        <v>PLAN</v>
      </c>
      <c r="I6" s="676" t="str">
        <f>DataBase!H2</f>
        <v>PLAN</v>
      </c>
      <c r="J6" s="676" t="str">
        <f>DataBase!I2</f>
        <v>PLAN</v>
      </c>
      <c r="K6" s="676" t="str">
        <f>DataBase!J2</f>
        <v>PLAN</v>
      </c>
      <c r="L6" s="676" t="str">
        <f>DataBase!K2</f>
        <v>PLAN</v>
      </c>
      <c r="M6" s="676" t="str">
        <f>DataBase!L2</f>
        <v>PLAN</v>
      </c>
      <c r="N6" s="676" t="str">
        <f>DataBase!M2</f>
        <v>PLAN</v>
      </c>
      <c r="O6" s="676" t="str">
        <f>DataBase!N2</f>
        <v>PLAN</v>
      </c>
      <c r="P6" s="676" t="str">
        <f>DataBase!O2</f>
        <v>TOTAL</v>
      </c>
      <c r="Q6" s="676" t="str">
        <f>IncomeState!P6</f>
        <v>FEB.</v>
      </c>
      <c r="R6" s="676" t="str">
        <f>IncomeState!Q6</f>
        <v>ESTIMATE</v>
      </c>
      <c r="S6" s="242"/>
      <c r="T6" s="452" t="s">
        <v>512</v>
      </c>
    </row>
    <row r="7" spans="1:40" x14ac:dyDescent="0.2">
      <c r="A7" s="451" t="s">
        <v>513</v>
      </c>
      <c r="B7" s="243"/>
      <c r="C7" s="243"/>
      <c r="D7" s="451" t="s">
        <v>609</v>
      </c>
      <c r="E7" s="451" t="s">
        <v>610</v>
      </c>
      <c r="F7" s="451" t="s">
        <v>611</v>
      </c>
      <c r="G7" s="451" t="s">
        <v>612</v>
      </c>
      <c r="H7" s="451" t="s">
        <v>613</v>
      </c>
      <c r="I7" s="451" t="s">
        <v>614</v>
      </c>
      <c r="J7" s="451" t="s">
        <v>615</v>
      </c>
      <c r="K7" s="451" t="s">
        <v>616</v>
      </c>
      <c r="L7" s="451" t="s">
        <v>617</v>
      </c>
      <c r="M7" s="451" t="s">
        <v>618</v>
      </c>
      <c r="N7" s="451" t="s">
        <v>619</v>
      </c>
      <c r="O7" s="451" t="s">
        <v>620</v>
      </c>
      <c r="P7" s="677">
        <f>IncomeState!O7</f>
        <v>2002</v>
      </c>
      <c r="Q7" s="677" t="str">
        <f>IncomeState!P7</f>
        <v>Y-T-D</v>
      </c>
      <c r="R7" s="677" t="str">
        <f>IncomeState!Q7</f>
        <v>R.M.</v>
      </c>
      <c r="S7" s="242"/>
      <c r="T7" s="244" t="s">
        <v>633</v>
      </c>
    </row>
    <row r="8" spans="1:40" x14ac:dyDescent="0.2">
      <c r="A8" s="454" t="s">
        <v>514</v>
      </c>
      <c r="B8" s="245" t="s">
        <v>515</v>
      </c>
      <c r="C8" s="499" t="s">
        <v>516</v>
      </c>
      <c r="D8" s="474">
        <v>0</v>
      </c>
      <c r="E8" s="474">
        <v>0</v>
      </c>
      <c r="F8" s="474">
        <v>0</v>
      </c>
      <c r="G8" s="474">
        <v>0</v>
      </c>
      <c r="H8" s="474">
        <v>0</v>
      </c>
      <c r="I8" s="474">
        <v>0</v>
      </c>
      <c r="J8" s="474">
        <v>0</v>
      </c>
      <c r="K8" s="474">
        <v>0</v>
      </c>
      <c r="L8" s="474">
        <v>0</v>
      </c>
      <c r="M8" s="474">
        <v>0</v>
      </c>
      <c r="N8" s="474">
        <v>0</v>
      </c>
      <c r="O8" s="474">
        <v>0</v>
      </c>
      <c r="P8" s="246">
        <f t="shared" ref="P8:P29" si="0">SUM(D8:O8)</f>
        <v>0</v>
      </c>
      <c r="Q8" s="247">
        <f>SUM(D8:E8)</f>
        <v>0</v>
      </c>
      <c r="R8" s="246">
        <f t="shared" ref="R8:R29" si="1">P8-Q8</f>
        <v>0</v>
      </c>
      <c r="S8" s="246"/>
      <c r="T8" s="528">
        <f t="shared" ref="T8:T29" si="2">SUM(D8:O8)</f>
        <v>0</v>
      </c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</row>
    <row r="9" spans="1:40" x14ac:dyDescent="0.2">
      <c r="A9" s="454" t="s">
        <v>961</v>
      </c>
      <c r="B9" s="252" t="s">
        <v>517</v>
      </c>
      <c r="D9" s="246">
        <f>-'Fuel-Depr-OtherTax'!C14</f>
        <v>2786</v>
      </c>
      <c r="E9" s="246">
        <f>-'Fuel-Depr-OtherTax'!D14</f>
        <v>2481</v>
      </c>
      <c r="F9" s="246">
        <f>-'Fuel-Depr-OtherTax'!E14</f>
        <v>2652</v>
      </c>
      <c r="G9" s="246">
        <f>-'Fuel-Depr-OtherTax'!F14</f>
        <v>2393</v>
      </c>
      <c r="H9" s="246">
        <f>-'Fuel-Depr-OtherTax'!G14</f>
        <v>2465</v>
      </c>
      <c r="I9" s="246">
        <f>-'Fuel-Depr-OtherTax'!H14</f>
        <v>2312</v>
      </c>
      <c r="J9" s="246">
        <f>-'Fuel-Depr-OtherTax'!I14</f>
        <v>2639</v>
      </c>
      <c r="K9" s="246">
        <f>-'Fuel-Depr-OtherTax'!J14</f>
        <v>2486</v>
      </c>
      <c r="L9" s="246">
        <f>-'Fuel-Depr-OtherTax'!K14</f>
        <v>2559</v>
      </c>
      <c r="M9" s="246">
        <f>-'Fuel-Depr-OtherTax'!L14</f>
        <v>2678</v>
      </c>
      <c r="N9" s="246">
        <f>-'Fuel-Depr-OtherTax'!M14</f>
        <v>2376</v>
      </c>
      <c r="O9" s="246">
        <f>-'Fuel-Depr-OtherTax'!N14</f>
        <v>2280</v>
      </c>
      <c r="P9" s="246">
        <f t="shared" si="0"/>
        <v>30107</v>
      </c>
      <c r="Q9" s="247">
        <f t="shared" ref="Q9:Q71" si="3">SUM(D9:E9)</f>
        <v>5267</v>
      </c>
      <c r="R9" s="246">
        <f t="shared" si="1"/>
        <v>24840</v>
      </c>
      <c r="S9" s="247"/>
      <c r="T9" s="528">
        <f t="shared" si="2"/>
        <v>30107</v>
      </c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</row>
    <row r="10" spans="1:40" x14ac:dyDescent="0.2">
      <c r="A10" s="454" t="s">
        <v>514</v>
      </c>
      <c r="B10" s="252" t="s">
        <v>518</v>
      </c>
      <c r="D10" s="687">
        <f>'Transport-OtherRev'!C20+(-D8-D11)+(D8+D11)</f>
        <v>13594</v>
      </c>
      <c r="E10" s="687">
        <f>'Transport-OtherRev'!D20+(-E8-E11)+(E8+E11)</f>
        <v>12109</v>
      </c>
      <c r="F10" s="687">
        <f>'Transport-OtherRev'!E20+(-F8-F11)+(F8+F11)</f>
        <v>13256</v>
      </c>
      <c r="G10" s="687">
        <f>'Transport-OtherRev'!F20+(-G8-G11)+(G8+G11)</f>
        <v>13013</v>
      </c>
      <c r="H10" s="687">
        <f>'Transport-OtherRev'!G20+(-H8-H11)+(H8+H11)</f>
        <v>13473</v>
      </c>
      <c r="I10" s="687">
        <f>'Transport-OtherRev'!H20+(-I8-I11)+(I8+I11)</f>
        <v>14180</v>
      </c>
      <c r="J10" s="687">
        <f>'Transport-OtherRev'!I20+(-J8-J11)+(J8+J11)</f>
        <v>15224</v>
      </c>
      <c r="K10" s="687">
        <f>'Transport-OtherRev'!J20+(-K8-K11)+(K8+K11)</f>
        <v>15214</v>
      </c>
      <c r="L10" s="687">
        <f>'Transport-OtherRev'!K20+(-L8-L11)+(L8+L11)</f>
        <v>14687</v>
      </c>
      <c r="M10" s="687">
        <f>'Transport-OtherRev'!L20+(-M8-M11)+(M8+M11)</f>
        <v>15032</v>
      </c>
      <c r="N10" s="687">
        <f>'Transport-OtherRev'!M20+(-N8-N11)+(N8+N11)</f>
        <v>15187</v>
      </c>
      <c r="O10" s="687">
        <f>'Transport-OtherRev'!N20+(-O8-O11)+(O8+O11)</f>
        <v>15750</v>
      </c>
      <c r="P10" s="246">
        <f t="shared" si="0"/>
        <v>170719</v>
      </c>
      <c r="Q10" s="247">
        <f t="shared" si="3"/>
        <v>25703</v>
      </c>
      <c r="R10" s="246">
        <f t="shared" si="1"/>
        <v>145016</v>
      </c>
      <c r="S10" s="247"/>
      <c r="T10" s="528">
        <f t="shared" si="2"/>
        <v>170719</v>
      </c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</row>
    <row r="11" spans="1:40" x14ac:dyDescent="0.2">
      <c r="A11" s="454" t="s">
        <v>514</v>
      </c>
      <c r="B11" s="252" t="s">
        <v>519</v>
      </c>
      <c r="C11" s="499" t="s">
        <v>520</v>
      </c>
      <c r="D11" s="246">
        <f>+'Transport-OtherRev'!C8+'Transport-OtherRev'!C15</f>
        <v>0</v>
      </c>
      <c r="E11" s="246">
        <f>+'Transport-OtherRev'!D8+'Transport-OtherRev'!D15</f>
        <v>0</v>
      </c>
      <c r="F11" s="246">
        <f>+'Transport-OtherRev'!E8+'Transport-OtherRev'!E15</f>
        <v>0</v>
      </c>
      <c r="G11" s="246">
        <f>+'Transport-OtherRev'!F8+'Transport-OtherRev'!F15</f>
        <v>0</v>
      </c>
      <c r="H11" s="246">
        <f>+'Transport-OtherRev'!G8+'Transport-OtherRev'!G15</f>
        <v>0</v>
      </c>
      <c r="I11" s="246">
        <f>+'Transport-OtherRev'!H8+'Transport-OtherRev'!H15</f>
        <v>0</v>
      </c>
      <c r="J11" s="246">
        <f>+'Transport-OtherRev'!I8+'Transport-OtherRev'!I15</f>
        <v>0</v>
      </c>
      <c r="K11" s="246">
        <f>+'Transport-OtherRev'!J8+'Transport-OtherRev'!J15</f>
        <v>0</v>
      </c>
      <c r="L11" s="246">
        <f>+'Transport-OtherRev'!K8+'Transport-OtherRev'!K15</f>
        <v>0</v>
      </c>
      <c r="M11" s="246">
        <f>+'Transport-OtherRev'!L8+'Transport-OtherRev'!L15</f>
        <v>0</v>
      </c>
      <c r="N11" s="246">
        <f>+'Transport-OtherRev'!M8+'Transport-OtherRev'!M15</f>
        <v>0</v>
      </c>
      <c r="O11" s="246">
        <f>+'Transport-OtherRev'!N8+'Transport-OtherRev'!N15</f>
        <v>0</v>
      </c>
      <c r="P11" s="246">
        <f t="shared" si="0"/>
        <v>0</v>
      </c>
      <c r="Q11" s="247">
        <f t="shared" si="3"/>
        <v>0</v>
      </c>
      <c r="R11" s="246">
        <f t="shared" si="1"/>
        <v>0</v>
      </c>
      <c r="S11" s="247"/>
      <c r="T11" s="528">
        <f t="shared" si="2"/>
        <v>0</v>
      </c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</row>
    <row r="12" spans="1:40" x14ac:dyDescent="0.2">
      <c r="A12" s="454" t="s">
        <v>1049</v>
      </c>
      <c r="B12" s="252" t="s">
        <v>1048</v>
      </c>
      <c r="D12" s="246">
        <f>SUM('Transport-OtherRev'!C43:C48)</f>
        <v>0</v>
      </c>
      <c r="E12" s="246">
        <f>SUM('Transport-OtherRev'!D43:D48)</f>
        <v>0</v>
      </c>
      <c r="F12" s="246">
        <f>SUM('Transport-OtherRev'!E43:E48)</f>
        <v>0</v>
      </c>
      <c r="G12" s="246">
        <f>SUM('Transport-OtherRev'!F43:F48)</f>
        <v>0</v>
      </c>
      <c r="H12" s="246">
        <f>SUM('Transport-OtherRev'!G43:G48)</f>
        <v>0</v>
      </c>
      <c r="I12" s="246">
        <f>SUM('Transport-OtherRev'!H43:H48)</f>
        <v>0</v>
      </c>
      <c r="J12" s="246">
        <f>SUM('Transport-OtherRev'!I43:I48)</f>
        <v>0</v>
      </c>
      <c r="K12" s="246">
        <f>SUM('Transport-OtherRev'!J43:J48)</f>
        <v>0</v>
      </c>
      <c r="L12" s="246">
        <f>SUM('Transport-OtherRev'!K43:K48)</f>
        <v>0</v>
      </c>
      <c r="M12" s="246">
        <f>SUM('Transport-OtherRev'!L43:L48)</f>
        <v>0</v>
      </c>
      <c r="N12" s="246">
        <f>SUM('Transport-OtherRev'!M43:M48)</f>
        <v>0</v>
      </c>
      <c r="O12" s="246">
        <f>SUM('Transport-OtherRev'!N43:N48)</f>
        <v>0</v>
      </c>
      <c r="P12" s="246">
        <f t="shared" si="0"/>
        <v>0</v>
      </c>
      <c r="Q12" s="247">
        <f t="shared" si="3"/>
        <v>0</v>
      </c>
      <c r="R12" s="246">
        <f t="shared" si="1"/>
        <v>0</v>
      </c>
      <c r="S12" s="247"/>
      <c r="T12" s="528">
        <f t="shared" si="2"/>
        <v>0</v>
      </c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</row>
    <row r="13" spans="1:40" x14ac:dyDescent="0.2">
      <c r="A13" s="454"/>
      <c r="B13" s="252"/>
      <c r="C13" s="499"/>
      <c r="D13" s="474"/>
      <c r="E13" s="474"/>
      <c r="F13" s="474"/>
      <c r="G13" s="474"/>
      <c r="H13" s="474"/>
      <c r="I13" s="474"/>
      <c r="J13" s="474"/>
      <c r="K13" s="474"/>
      <c r="L13" s="474"/>
      <c r="M13" s="474"/>
      <c r="N13" s="474"/>
      <c r="O13" s="474"/>
      <c r="P13" s="246"/>
      <c r="Q13" s="247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</row>
    <row r="14" spans="1:40" x14ac:dyDescent="0.2">
      <c r="A14" s="455" t="s">
        <v>959</v>
      </c>
      <c r="B14" s="245" t="s">
        <v>959</v>
      </c>
      <c r="C14" s="499" t="s">
        <v>516</v>
      </c>
      <c r="D14" s="474">
        <v>0</v>
      </c>
      <c r="E14" s="474">
        <v>0</v>
      </c>
      <c r="F14" s="474">
        <v>0</v>
      </c>
      <c r="G14" s="474">
        <v>0</v>
      </c>
      <c r="H14" s="474">
        <v>0</v>
      </c>
      <c r="I14" s="474">
        <v>0</v>
      </c>
      <c r="J14" s="474">
        <v>0</v>
      </c>
      <c r="K14" s="474">
        <v>0</v>
      </c>
      <c r="L14" s="474">
        <v>0</v>
      </c>
      <c r="M14" s="474">
        <v>0</v>
      </c>
      <c r="N14" s="474">
        <v>0</v>
      </c>
      <c r="O14" s="474">
        <v>0</v>
      </c>
      <c r="P14" s="246">
        <f t="shared" si="0"/>
        <v>0</v>
      </c>
      <c r="Q14" s="247">
        <f t="shared" si="3"/>
        <v>0</v>
      </c>
      <c r="R14" s="246">
        <f t="shared" si="1"/>
        <v>0</v>
      </c>
      <c r="S14" s="247"/>
      <c r="T14" s="528">
        <f t="shared" si="2"/>
        <v>0</v>
      </c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</row>
    <row r="15" spans="1:40" x14ac:dyDescent="0.2">
      <c r="A15" s="455" t="s">
        <v>959</v>
      </c>
      <c r="B15" s="245" t="s">
        <v>959</v>
      </c>
      <c r="C15" s="499" t="s">
        <v>516</v>
      </c>
      <c r="D15" s="474">
        <v>0</v>
      </c>
      <c r="E15" s="474">
        <v>0</v>
      </c>
      <c r="F15" s="474">
        <v>0</v>
      </c>
      <c r="G15" s="474">
        <v>0</v>
      </c>
      <c r="H15" s="474">
        <v>0</v>
      </c>
      <c r="I15" s="474">
        <v>0</v>
      </c>
      <c r="J15" s="474">
        <v>0</v>
      </c>
      <c r="K15" s="474">
        <v>0</v>
      </c>
      <c r="L15" s="474">
        <v>0</v>
      </c>
      <c r="M15" s="474">
        <v>0</v>
      </c>
      <c r="N15" s="474">
        <v>0</v>
      </c>
      <c r="O15" s="474">
        <v>0</v>
      </c>
      <c r="P15" s="246">
        <f>SUM(D15:O15)</f>
        <v>0</v>
      </c>
      <c r="Q15" s="247">
        <f t="shared" si="3"/>
        <v>0</v>
      </c>
      <c r="R15" s="246">
        <f>P15-Q15</f>
        <v>0</v>
      </c>
      <c r="S15" s="247"/>
      <c r="T15" s="528">
        <f>SUM(D15:O15)</f>
        <v>0</v>
      </c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</row>
    <row r="16" spans="1:40" x14ac:dyDescent="0.2">
      <c r="A16" s="455" t="s">
        <v>959</v>
      </c>
      <c r="B16" s="245" t="s">
        <v>959</v>
      </c>
      <c r="C16" s="499" t="s">
        <v>516</v>
      </c>
      <c r="D16" s="474">
        <v>0</v>
      </c>
      <c r="E16" s="474">
        <v>0</v>
      </c>
      <c r="F16" s="474">
        <v>0</v>
      </c>
      <c r="G16" s="474">
        <v>0</v>
      </c>
      <c r="H16" s="474">
        <v>0</v>
      </c>
      <c r="I16" s="474">
        <v>0</v>
      </c>
      <c r="J16" s="474">
        <v>0</v>
      </c>
      <c r="K16" s="474">
        <v>0</v>
      </c>
      <c r="L16" s="474">
        <v>0</v>
      </c>
      <c r="M16" s="474">
        <v>0</v>
      </c>
      <c r="N16" s="474">
        <v>0</v>
      </c>
      <c r="O16" s="474">
        <v>0</v>
      </c>
      <c r="P16" s="246">
        <f t="shared" si="0"/>
        <v>0</v>
      </c>
      <c r="Q16" s="247">
        <f t="shared" si="3"/>
        <v>0</v>
      </c>
      <c r="R16" s="246">
        <f t="shared" si="1"/>
        <v>0</v>
      </c>
      <c r="S16" s="247"/>
      <c r="T16" s="528">
        <f t="shared" si="2"/>
        <v>0</v>
      </c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</row>
    <row r="17" spans="1:40" x14ac:dyDescent="0.2">
      <c r="A17" s="455" t="s">
        <v>521</v>
      </c>
      <c r="B17" s="245" t="s">
        <v>522</v>
      </c>
      <c r="C17" s="499"/>
      <c r="D17" s="475">
        <f>-RegAmort!C40</f>
        <v>-30</v>
      </c>
      <c r="E17" s="475">
        <f>-RegAmort!D40</f>
        <v>-30</v>
      </c>
      <c r="F17" s="475">
        <f>-RegAmort!E40</f>
        <v>-31</v>
      </c>
      <c r="G17" s="475">
        <f>-RegAmort!F40</f>
        <v>-30</v>
      </c>
      <c r="H17" s="475">
        <f>-RegAmort!G40</f>
        <v>-30</v>
      </c>
      <c r="I17" s="475">
        <f>-RegAmort!H40</f>
        <v>-30</v>
      </c>
      <c r="J17" s="475">
        <f>-RegAmort!I40</f>
        <v>-30</v>
      </c>
      <c r="K17" s="475">
        <f>-RegAmort!J40</f>
        <v>-30</v>
      </c>
      <c r="L17" s="475">
        <f>-RegAmort!K40</f>
        <v>-30</v>
      </c>
      <c r="M17" s="475">
        <f>-RegAmort!L40</f>
        <v>-30</v>
      </c>
      <c r="N17" s="475">
        <f>-RegAmort!M40</f>
        <v>-30</v>
      </c>
      <c r="O17" s="475">
        <f>-RegAmort!N40</f>
        <v>-30</v>
      </c>
      <c r="P17" s="246">
        <f t="shared" si="0"/>
        <v>-361</v>
      </c>
      <c r="Q17" s="247">
        <f t="shared" si="3"/>
        <v>-60</v>
      </c>
      <c r="R17" s="246">
        <f t="shared" si="1"/>
        <v>-301</v>
      </c>
      <c r="S17" s="247"/>
      <c r="T17" s="528">
        <f t="shared" si="2"/>
        <v>-361</v>
      </c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</row>
    <row r="18" spans="1:40" x14ac:dyDescent="0.2">
      <c r="A18" s="454" t="s">
        <v>416</v>
      </c>
      <c r="B18" s="253" t="s">
        <v>523</v>
      </c>
      <c r="D18" s="475">
        <f>-RegAmort!C41</f>
        <v>-42</v>
      </c>
      <c r="E18" s="475">
        <f>-RegAmort!D41</f>
        <v>-42</v>
      </c>
      <c r="F18" s="475">
        <f>-RegAmort!E41</f>
        <v>-42</v>
      </c>
      <c r="G18" s="475">
        <f>-RegAmort!F41</f>
        <v>-42</v>
      </c>
      <c r="H18" s="475">
        <f>-RegAmort!G41</f>
        <v>-42</v>
      </c>
      <c r="I18" s="475">
        <f>-RegAmort!H41</f>
        <v>-42</v>
      </c>
      <c r="J18" s="475">
        <f>-RegAmort!I41</f>
        <v>-42</v>
      </c>
      <c r="K18" s="475">
        <f>-RegAmort!J41</f>
        <v>-43</v>
      </c>
      <c r="L18" s="475">
        <f>-RegAmort!K41</f>
        <v>-42</v>
      </c>
      <c r="M18" s="475">
        <f>-RegAmort!L41</f>
        <v>-43</v>
      </c>
      <c r="N18" s="475">
        <f>-RegAmort!M41</f>
        <v>-43</v>
      </c>
      <c r="O18" s="475">
        <f>-RegAmort!N41</f>
        <v>-43</v>
      </c>
      <c r="P18" s="246">
        <f t="shared" si="0"/>
        <v>-508</v>
      </c>
      <c r="Q18" s="247">
        <f t="shared" si="3"/>
        <v>-84</v>
      </c>
      <c r="R18" s="246">
        <f t="shared" si="1"/>
        <v>-424</v>
      </c>
      <c r="S18" s="247"/>
      <c r="T18" s="528">
        <f t="shared" si="2"/>
        <v>-508</v>
      </c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</row>
    <row r="19" spans="1:40" x14ac:dyDescent="0.2">
      <c r="A19" s="454" t="s">
        <v>416</v>
      </c>
      <c r="B19" s="253" t="s">
        <v>524</v>
      </c>
      <c r="D19" s="475">
        <f>-RegAmort!C42</f>
        <v>-10</v>
      </c>
      <c r="E19" s="475">
        <f>-RegAmort!D42</f>
        <v>-10</v>
      </c>
      <c r="F19" s="475">
        <f>-RegAmort!E42</f>
        <v>-10</v>
      </c>
      <c r="G19" s="475">
        <f>-RegAmort!F42</f>
        <v>-10</v>
      </c>
      <c r="H19" s="475">
        <f>-RegAmort!G42</f>
        <v>-10</v>
      </c>
      <c r="I19" s="475">
        <f>-RegAmort!H42</f>
        <v>-10</v>
      </c>
      <c r="J19" s="475">
        <f>-RegAmort!I42</f>
        <v>-10</v>
      </c>
      <c r="K19" s="475">
        <f>-RegAmort!J42</f>
        <v>-10</v>
      </c>
      <c r="L19" s="475">
        <f>-RegAmort!K42</f>
        <v>-11</v>
      </c>
      <c r="M19" s="475">
        <f>-RegAmort!L42</f>
        <v>-10</v>
      </c>
      <c r="N19" s="475">
        <f>-RegAmort!M42</f>
        <v>-11</v>
      </c>
      <c r="O19" s="475">
        <f>-RegAmort!N42</f>
        <v>-10</v>
      </c>
      <c r="P19" s="246">
        <f t="shared" si="0"/>
        <v>-122</v>
      </c>
      <c r="Q19" s="247">
        <f t="shared" si="3"/>
        <v>-20</v>
      </c>
      <c r="R19" s="246">
        <f t="shared" si="1"/>
        <v>-102</v>
      </c>
      <c r="S19" s="247"/>
      <c r="T19" s="528">
        <f t="shared" si="2"/>
        <v>-122</v>
      </c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</row>
    <row r="20" spans="1:40" x14ac:dyDescent="0.2">
      <c r="A20" s="454" t="s">
        <v>416</v>
      </c>
      <c r="B20" s="253" t="s">
        <v>528</v>
      </c>
      <c r="D20" s="475">
        <f>-RegAmort!C43</f>
        <v>-31</v>
      </c>
      <c r="E20" s="475">
        <f>-RegAmort!D43</f>
        <v>-31</v>
      </c>
      <c r="F20" s="475">
        <f>-RegAmort!E43</f>
        <v>-31</v>
      </c>
      <c r="G20" s="475">
        <f>-RegAmort!F43</f>
        <v>-31</v>
      </c>
      <c r="H20" s="475">
        <f>-RegAmort!G43</f>
        <v>-31</v>
      </c>
      <c r="I20" s="475">
        <f>-RegAmort!H43</f>
        <v>-31</v>
      </c>
      <c r="J20" s="475">
        <f>-RegAmort!I43</f>
        <v>-31</v>
      </c>
      <c r="K20" s="475">
        <f>-RegAmort!J43</f>
        <v>-32</v>
      </c>
      <c r="L20" s="475">
        <f>-RegAmort!K43</f>
        <v>-31</v>
      </c>
      <c r="M20" s="475">
        <f>-RegAmort!L43</f>
        <v>-32</v>
      </c>
      <c r="N20" s="475">
        <f>-RegAmort!M43</f>
        <v>-31</v>
      </c>
      <c r="O20" s="475">
        <f>-RegAmort!N43</f>
        <v>-32</v>
      </c>
      <c r="P20" s="246">
        <f t="shared" si="0"/>
        <v>-375</v>
      </c>
      <c r="Q20" s="247">
        <f t="shared" si="3"/>
        <v>-62</v>
      </c>
      <c r="R20" s="246">
        <f t="shared" si="1"/>
        <v>-313</v>
      </c>
      <c r="S20" s="247"/>
      <c r="T20" s="528">
        <f t="shared" si="2"/>
        <v>-375</v>
      </c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</row>
    <row r="21" spans="1:40" x14ac:dyDescent="0.2">
      <c r="A21" s="454" t="s">
        <v>416</v>
      </c>
      <c r="B21" s="253" t="s">
        <v>529</v>
      </c>
      <c r="D21" s="475">
        <f>-RegAmort!C44</f>
        <v>-45</v>
      </c>
      <c r="E21" s="475">
        <f>-RegAmort!D44</f>
        <v>-45</v>
      </c>
      <c r="F21" s="475">
        <f>-RegAmort!E44</f>
        <v>-45</v>
      </c>
      <c r="G21" s="475">
        <f>-RegAmort!F44</f>
        <v>-45</v>
      </c>
      <c r="H21" s="475">
        <f>-RegAmort!G44</f>
        <v>-45</v>
      </c>
      <c r="I21" s="475">
        <f>-RegAmort!H44</f>
        <v>-45</v>
      </c>
      <c r="J21" s="475">
        <f>-RegAmort!I44</f>
        <v>-45</v>
      </c>
      <c r="K21" s="475">
        <f>-RegAmort!J44</f>
        <v>-45</v>
      </c>
      <c r="L21" s="475">
        <f>-RegAmort!K44</f>
        <v>-45</v>
      </c>
      <c r="M21" s="475">
        <f>-RegAmort!L44</f>
        <v>-45</v>
      </c>
      <c r="N21" s="475">
        <f>-RegAmort!M44</f>
        <v>-44</v>
      </c>
      <c r="O21" s="475">
        <f>-RegAmort!N44</f>
        <v>-45</v>
      </c>
      <c r="P21" s="246">
        <f t="shared" si="0"/>
        <v>-539</v>
      </c>
      <c r="Q21" s="247">
        <f t="shared" si="3"/>
        <v>-90</v>
      </c>
      <c r="R21" s="246">
        <f t="shared" si="1"/>
        <v>-449</v>
      </c>
      <c r="S21" s="247"/>
      <c r="T21" s="528">
        <f t="shared" si="2"/>
        <v>-539</v>
      </c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</row>
    <row r="22" spans="1:40" x14ac:dyDescent="0.2">
      <c r="A22" s="454" t="s">
        <v>416</v>
      </c>
      <c r="B22" s="253" t="s">
        <v>530</v>
      </c>
      <c r="D22" s="475">
        <f>-RegAmort!C45</f>
        <v>-53</v>
      </c>
      <c r="E22" s="475">
        <f>-RegAmort!D45</f>
        <v>-53</v>
      </c>
      <c r="F22" s="475">
        <f>-RegAmort!E45</f>
        <v>-53</v>
      </c>
      <c r="G22" s="475">
        <f>-RegAmort!F45</f>
        <v>-53</v>
      </c>
      <c r="H22" s="475">
        <f>-RegAmort!G45</f>
        <v>-53</v>
      </c>
      <c r="I22" s="475">
        <f>-RegAmort!H45</f>
        <v>-53</v>
      </c>
      <c r="J22" s="475">
        <f>-RegAmort!I45</f>
        <v>-53</v>
      </c>
      <c r="K22" s="475">
        <f>-RegAmort!J45</f>
        <v>-52</v>
      </c>
      <c r="L22" s="475">
        <f>-RegAmort!K45</f>
        <v>-53</v>
      </c>
      <c r="M22" s="475">
        <f>-RegAmort!L45</f>
        <v>-53</v>
      </c>
      <c r="N22" s="475">
        <f>-RegAmort!M45</f>
        <v>-52</v>
      </c>
      <c r="O22" s="475">
        <f>-RegAmort!N45</f>
        <v>-53</v>
      </c>
      <c r="P22" s="246">
        <f t="shared" si="0"/>
        <v>-634</v>
      </c>
      <c r="Q22" s="247">
        <f t="shared" si="3"/>
        <v>-106</v>
      </c>
      <c r="R22" s="246">
        <f t="shared" si="1"/>
        <v>-528</v>
      </c>
      <c r="S22" s="247"/>
      <c r="T22" s="528">
        <f t="shared" si="2"/>
        <v>-634</v>
      </c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</row>
    <row r="23" spans="1:40" x14ac:dyDescent="0.2">
      <c r="A23" s="454" t="s">
        <v>416</v>
      </c>
      <c r="B23" s="253" t="s">
        <v>531</v>
      </c>
      <c r="D23" s="475">
        <f>-RegAmort!C46</f>
        <v>-11</v>
      </c>
      <c r="E23" s="475">
        <f>-RegAmort!D46</f>
        <v>-11</v>
      </c>
      <c r="F23" s="475">
        <f>-RegAmort!E46</f>
        <v>-11</v>
      </c>
      <c r="G23" s="475">
        <f>-RegAmort!F46</f>
        <v>-11</v>
      </c>
      <c r="H23" s="475">
        <f>-RegAmort!G46</f>
        <v>-11</v>
      </c>
      <c r="I23" s="475">
        <f>-RegAmort!H46</f>
        <v>-11</v>
      </c>
      <c r="J23" s="475">
        <f>-RegAmort!I46</f>
        <v>-11</v>
      </c>
      <c r="K23" s="475">
        <f>-RegAmort!J46</f>
        <v>-11</v>
      </c>
      <c r="L23" s="475">
        <f>-RegAmort!K46</f>
        <v>-10</v>
      </c>
      <c r="M23" s="475">
        <f>-RegAmort!L46</f>
        <v>-11</v>
      </c>
      <c r="N23" s="475">
        <f>-RegAmort!M46</f>
        <v>-11</v>
      </c>
      <c r="O23" s="475">
        <f>-RegAmort!N46</f>
        <v>-10</v>
      </c>
      <c r="P23" s="246">
        <f t="shared" si="0"/>
        <v>-130</v>
      </c>
      <c r="Q23" s="247">
        <f t="shared" si="3"/>
        <v>-22</v>
      </c>
      <c r="R23" s="246">
        <f t="shared" si="1"/>
        <v>-108</v>
      </c>
      <c r="S23" s="247"/>
      <c r="T23" s="528">
        <f t="shared" si="2"/>
        <v>-130</v>
      </c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</row>
    <row r="24" spans="1:40" x14ac:dyDescent="0.2">
      <c r="A24" s="454" t="s">
        <v>416</v>
      </c>
      <c r="B24" s="253" t="s">
        <v>532</v>
      </c>
      <c r="D24" s="475">
        <f>-RegAmort!C47</f>
        <v>-7</v>
      </c>
      <c r="E24" s="475">
        <f>-RegAmort!D47</f>
        <v>-7</v>
      </c>
      <c r="F24" s="475">
        <f>-RegAmort!E47</f>
        <v>-7</v>
      </c>
      <c r="G24" s="475">
        <f>-RegAmort!F47</f>
        <v>-7</v>
      </c>
      <c r="H24" s="475">
        <f>-RegAmort!G47</f>
        <v>-7</v>
      </c>
      <c r="I24" s="475">
        <f>-RegAmort!H47</f>
        <v>-7</v>
      </c>
      <c r="J24" s="475">
        <f>-RegAmort!I47</f>
        <v>-7</v>
      </c>
      <c r="K24" s="475">
        <f>-RegAmort!J47</f>
        <v>-7</v>
      </c>
      <c r="L24" s="475">
        <f>-RegAmort!K47</f>
        <v>-7</v>
      </c>
      <c r="M24" s="475">
        <f>-RegAmort!L47</f>
        <v>-7</v>
      </c>
      <c r="N24" s="475">
        <f>-RegAmort!M47</f>
        <v>-7</v>
      </c>
      <c r="O24" s="475">
        <f>-RegAmort!N47</f>
        <v>-7</v>
      </c>
      <c r="P24" s="246">
        <f t="shared" si="0"/>
        <v>-84</v>
      </c>
      <c r="Q24" s="247">
        <f t="shared" si="3"/>
        <v>-14</v>
      </c>
      <c r="R24" s="246">
        <f t="shared" si="1"/>
        <v>-70</v>
      </c>
      <c r="S24" s="247"/>
      <c r="T24" s="528">
        <f t="shared" si="2"/>
        <v>-84</v>
      </c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</row>
    <row r="25" spans="1:40" x14ac:dyDescent="0.2">
      <c r="A25" s="455" t="s">
        <v>521</v>
      </c>
      <c r="B25" s="252" t="s">
        <v>533</v>
      </c>
      <c r="D25" s="246">
        <f>-RegAmort!C32</f>
        <v>-10</v>
      </c>
      <c r="E25" s="246">
        <f>-RegAmort!D32</f>
        <v>-10</v>
      </c>
      <c r="F25" s="246">
        <f>-RegAmort!E32</f>
        <v>-10</v>
      </c>
      <c r="G25" s="246">
        <f>-RegAmort!F32</f>
        <v>-10</v>
      </c>
      <c r="H25" s="246">
        <f>-RegAmort!G32</f>
        <v>-10</v>
      </c>
      <c r="I25" s="246">
        <f>-RegAmort!H32</f>
        <v>-10</v>
      </c>
      <c r="J25" s="246">
        <f>-RegAmort!I32</f>
        <v>-10</v>
      </c>
      <c r="K25" s="246">
        <f>-RegAmort!J32</f>
        <v>-10</v>
      </c>
      <c r="L25" s="246">
        <f>-RegAmort!K32</f>
        <v>-10</v>
      </c>
      <c r="M25" s="246">
        <f>-RegAmort!L32</f>
        <v>-10</v>
      </c>
      <c r="N25" s="246">
        <f>-RegAmort!M32</f>
        <v>-10</v>
      </c>
      <c r="O25" s="246">
        <f>-RegAmort!N32</f>
        <v>-10</v>
      </c>
      <c r="P25" s="246">
        <f t="shared" si="0"/>
        <v>-120</v>
      </c>
      <c r="Q25" s="247">
        <f t="shared" si="3"/>
        <v>-20</v>
      </c>
      <c r="R25" s="246">
        <f t="shared" si="1"/>
        <v>-100</v>
      </c>
      <c r="S25" s="247"/>
      <c r="T25" s="528">
        <f t="shared" si="2"/>
        <v>-120</v>
      </c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</row>
    <row r="26" spans="1:40" x14ac:dyDescent="0.2">
      <c r="A26" s="454" t="s">
        <v>416</v>
      </c>
      <c r="B26" s="252" t="s">
        <v>534</v>
      </c>
      <c r="D26" s="246">
        <f>-RegAmort!C33</f>
        <v>-109</v>
      </c>
      <c r="E26" s="246">
        <f>-RegAmort!D33</f>
        <v>-109</v>
      </c>
      <c r="F26" s="246">
        <f>-RegAmort!E33</f>
        <v>-109</v>
      </c>
      <c r="G26" s="246">
        <f>-RegAmort!F33</f>
        <v>-109</v>
      </c>
      <c r="H26" s="246">
        <f>-RegAmort!G33</f>
        <v>-109</v>
      </c>
      <c r="I26" s="246">
        <f>-RegAmort!H33</f>
        <v>-109</v>
      </c>
      <c r="J26" s="246">
        <f>-RegAmort!I33</f>
        <v>-109</v>
      </c>
      <c r="K26" s="246">
        <f>-RegAmort!J33</f>
        <v>-109</v>
      </c>
      <c r="L26" s="246">
        <f>-RegAmort!K33</f>
        <v>-109</v>
      </c>
      <c r="M26" s="246">
        <f>-RegAmort!L33</f>
        <v>-116</v>
      </c>
      <c r="N26" s="246">
        <f>-RegAmort!M33</f>
        <v>-117</v>
      </c>
      <c r="O26" s="246">
        <f>-RegAmort!N33</f>
        <v>-117</v>
      </c>
      <c r="P26" s="246">
        <f>SUM(D26:O26)</f>
        <v>-1331</v>
      </c>
      <c r="Q26" s="247">
        <f t="shared" si="3"/>
        <v>-218</v>
      </c>
      <c r="R26" s="246">
        <f>P26-Q26</f>
        <v>-1113</v>
      </c>
      <c r="S26" s="247"/>
      <c r="T26" s="528">
        <f t="shared" si="2"/>
        <v>-1331</v>
      </c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</row>
    <row r="27" spans="1:40" x14ac:dyDescent="0.2">
      <c r="A27" s="454" t="s">
        <v>1051</v>
      </c>
      <c r="B27" s="252" t="s">
        <v>544</v>
      </c>
      <c r="D27" s="246">
        <f>DeferredTax!R30</f>
        <v>0</v>
      </c>
      <c r="E27" s="246">
        <f>DeferredTax!S30</f>
        <v>0</v>
      </c>
      <c r="F27" s="246">
        <f>DeferredTax!T30</f>
        <v>0</v>
      </c>
      <c r="G27" s="246">
        <f>DeferredTax!U30</f>
        <v>0</v>
      </c>
      <c r="H27" s="246">
        <f>DeferredTax!V30</f>
        <v>0</v>
      </c>
      <c r="I27" s="246">
        <f>DeferredTax!W30</f>
        <v>0</v>
      </c>
      <c r="J27" s="246">
        <f>DeferredTax!X30</f>
        <v>0</v>
      </c>
      <c r="K27" s="246">
        <f>DeferredTax!Y30</f>
        <v>0</v>
      </c>
      <c r="L27" s="246">
        <f>DeferredTax!Z30</f>
        <v>1400</v>
      </c>
      <c r="M27" s="246">
        <f>DeferredTax!AA30</f>
        <v>0</v>
      </c>
      <c r="N27" s="246">
        <f>DeferredTax!AB30</f>
        <v>0</v>
      </c>
      <c r="O27" s="246">
        <f>DeferredTax!AC30</f>
        <v>0</v>
      </c>
      <c r="P27" s="246">
        <f>SUM(D27:O27)</f>
        <v>1400</v>
      </c>
      <c r="Q27" s="247">
        <f t="shared" si="3"/>
        <v>0</v>
      </c>
      <c r="R27" s="246">
        <f>P27-Q27</f>
        <v>1400</v>
      </c>
      <c r="S27" s="247"/>
      <c r="T27" s="528">
        <f t="shared" si="2"/>
        <v>1400</v>
      </c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</row>
    <row r="28" spans="1:40" x14ac:dyDescent="0.2">
      <c r="A28" s="455" t="s">
        <v>521</v>
      </c>
      <c r="B28" s="497" t="s">
        <v>545</v>
      </c>
      <c r="D28" s="246">
        <f>-RegAmort!C38</f>
        <v>-107</v>
      </c>
      <c r="E28" s="246">
        <f>-RegAmort!D38</f>
        <v>-108</v>
      </c>
      <c r="F28" s="246">
        <f>-RegAmort!E38</f>
        <v>-107</v>
      </c>
      <c r="G28" s="246">
        <f>-RegAmort!F38</f>
        <v>-107</v>
      </c>
      <c r="H28" s="246">
        <f>-RegAmort!G38</f>
        <v>-107</v>
      </c>
      <c r="I28" s="246">
        <f>-RegAmort!H38</f>
        <v>-107</v>
      </c>
      <c r="J28" s="246">
        <f>-RegAmort!I38</f>
        <v>-107</v>
      </c>
      <c r="K28" s="246">
        <f>-RegAmort!J38</f>
        <v>-107</v>
      </c>
      <c r="L28" s="246">
        <f>-RegAmort!K38</f>
        <v>-107</v>
      </c>
      <c r="M28" s="246">
        <f>-RegAmort!L38</f>
        <v>-107</v>
      </c>
      <c r="N28" s="246">
        <f>-RegAmort!M38</f>
        <v>-107</v>
      </c>
      <c r="O28" s="246">
        <f>-RegAmort!N38</f>
        <v>-107</v>
      </c>
      <c r="P28" s="246">
        <f t="shared" si="0"/>
        <v>-1285</v>
      </c>
      <c r="Q28" s="247">
        <f t="shared" si="3"/>
        <v>-215</v>
      </c>
      <c r="R28" s="246">
        <f t="shared" si="1"/>
        <v>-1070</v>
      </c>
      <c r="S28" s="247"/>
      <c r="T28" s="528">
        <f t="shared" si="2"/>
        <v>-1285</v>
      </c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</row>
    <row r="29" spans="1:40" x14ac:dyDescent="0.2">
      <c r="A29" s="455" t="s">
        <v>959</v>
      </c>
      <c r="B29" s="245" t="s">
        <v>959</v>
      </c>
      <c r="C29" s="499" t="s">
        <v>516</v>
      </c>
      <c r="D29" s="474">
        <v>0</v>
      </c>
      <c r="E29" s="474">
        <v>0</v>
      </c>
      <c r="F29" s="474">
        <v>0</v>
      </c>
      <c r="G29" s="474">
        <v>0</v>
      </c>
      <c r="H29" s="474">
        <v>0</v>
      </c>
      <c r="I29" s="474">
        <v>0</v>
      </c>
      <c r="J29" s="474">
        <v>0</v>
      </c>
      <c r="K29" s="474">
        <v>0</v>
      </c>
      <c r="L29" s="474">
        <v>0</v>
      </c>
      <c r="M29" s="474">
        <v>0</v>
      </c>
      <c r="N29" s="474">
        <v>0</v>
      </c>
      <c r="O29" s="474">
        <v>0</v>
      </c>
      <c r="P29" s="246">
        <f t="shared" si="0"/>
        <v>0</v>
      </c>
      <c r="Q29" s="247">
        <f t="shared" si="3"/>
        <v>0</v>
      </c>
      <c r="R29" s="246">
        <f t="shared" si="1"/>
        <v>0</v>
      </c>
      <c r="S29"/>
      <c r="T29" s="528">
        <f t="shared" si="2"/>
        <v>0</v>
      </c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</row>
    <row r="30" spans="1:40" x14ac:dyDescent="0.2">
      <c r="A30" s="455" t="s">
        <v>521</v>
      </c>
      <c r="B30" s="497" t="s">
        <v>564</v>
      </c>
      <c r="D30" s="246">
        <f>-RegAmort!C39</f>
        <v>-4</v>
      </c>
      <c r="E30" s="246">
        <f>-RegAmort!D39</f>
        <v>-4</v>
      </c>
      <c r="F30" s="246">
        <f>-RegAmort!E39</f>
        <v>-4</v>
      </c>
      <c r="G30" s="246">
        <f>-RegAmort!F39</f>
        <v>-4</v>
      </c>
      <c r="H30" s="246">
        <f>-RegAmort!G39</f>
        <v>-4</v>
      </c>
      <c r="I30" s="246">
        <f>-RegAmort!H39</f>
        <v>-4</v>
      </c>
      <c r="J30" s="246">
        <f>-RegAmort!I39</f>
        <v>-4</v>
      </c>
      <c r="K30" s="246">
        <f>-RegAmort!J39</f>
        <v>-4</v>
      </c>
      <c r="L30" s="246">
        <f>-RegAmort!K39</f>
        <v>-4</v>
      </c>
      <c r="M30" s="246">
        <f>-RegAmort!L39</f>
        <v>-4</v>
      </c>
      <c r="N30" s="246">
        <f>-RegAmort!M39</f>
        <v>-4</v>
      </c>
      <c r="O30" s="246">
        <f>-RegAmort!N39</f>
        <v>-4</v>
      </c>
      <c r="P30" s="246">
        <f t="shared" ref="P30:P41" si="4">SUM(D30:O30)</f>
        <v>-48</v>
      </c>
      <c r="Q30" s="247">
        <f t="shared" si="3"/>
        <v>-8</v>
      </c>
      <c r="R30" s="246">
        <f t="shared" ref="R30:R41" si="5">P30-Q30</f>
        <v>-40</v>
      </c>
      <c r="S30" s="247"/>
      <c r="T30" s="528">
        <f t="shared" ref="T30:T45" si="6">SUM(D30:O30)</f>
        <v>-48</v>
      </c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</row>
    <row r="31" spans="1:40" x14ac:dyDescent="0.2">
      <c r="A31" s="454" t="s">
        <v>961</v>
      </c>
      <c r="B31" s="497" t="s">
        <v>565</v>
      </c>
      <c r="D31" s="246">
        <f>-'Fuel-Depr-OtherTax'!C19</f>
        <v>-50</v>
      </c>
      <c r="E31" s="246">
        <f>-'Fuel-Depr-OtherTax'!D19</f>
        <v>-50</v>
      </c>
      <c r="F31" s="246">
        <f>-'Fuel-Depr-OtherTax'!E19</f>
        <v>-50</v>
      </c>
      <c r="G31" s="246">
        <f>-'Fuel-Depr-OtherTax'!F19</f>
        <v>-50</v>
      </c>
      <c r="H31" s="246">
        <f>-'Fuel-Depr-OtherTax'!G19</f>
        <v>-50</v>
      </c>
      <c r="I31" s="246">
        <f>-'Fuel-Depr-OtherTax'!H19</f>
        <v>-50</v>
      </c>
      <c r="J31" s="246">
        <f>-'Fuel-Depr-OtherTax'!I19</f>
        <v>-50</v>
      </c>
      <c r="K31" s="246">
        <f>-'Fuel-Depr-OtherTax'!J19</f>
        <v>-50</v>
      </c>
      <c r="L31" s="246">
        <f>-'Fuel-Depr-OtherTax'!K19</f>
        <v>-50</v>
      </c>
      <c r="M31" s="246">
        <f>-'Fuel-Depr-OtherTax'!L19</f>
        <v>-50</v>
      </c>
      <c r="N31" s="246">
        <f>-'Fuel-Depr-OtherTax'!M19</f>
        <v>-50</v>
      </c>
      <c r="O31" s="246">
        <f>-'Fuel-Depr-OtherTax'!N19</f>
        <v>-50</v>
      </c>
      <c r="P31" s="246">
        <f t="shared" si="4"/>
        <v>-600</v>
      </c>
      <c r="Q31" s="247">
        <f t="shared" si="3"/>
        <v>-100</v>
      </c>
      <c r="R31" s="246">
        <f t="shared" si="5"/>
        <v>-500</v>
      </c>
      <c r="S31" s="247"/>
      <c r="T31" s="528">
        <f t="shared" si="6"/>
        <v>-600</v>
      </c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</row>
    <row r="32" spans="1:40" x14ac:dyDescent="0.2">
      <c r="A32" s="454" t="s">
        <v>961</v>
      </c>
      <c r="B32" s="245" t="s">
        <v>566</v>
      </c>
      <c r="D32" s="246">
        <f>-'Fuel-Depr-OtherTax'!C20</f>
        <v>-17</v>
      </c>
      <c r="E32" s="246">
        <f>-'Fuel-Depr-OtherTax'!D20</f>
        <v>-17</v>
      </c>
      <c r="F32" s="246">
        <f>-'Fuel-Depr-OtherTax'!E20</f>
        <v>-17</v>
      </c>
      <c r="G32" s="246">
        <f>-'Fuel-Depr-OtherTax'!F20</f>
        <v>-17</v>
      </c>
      <c r="H32" s="246">
        <f>-'Fuel-Depr-OtherTax'!G20</f>
        <v>-17</v>
      </c>
      <c r="I32" s="246">
        <f>-'Fuel-Depr-OtherTax'!H20</f>
        <v>-17</v>
      </c>
      <c r="J32" s="246">
        <f>-'Fuel-Depr-OtherTax'!I20</f>
        <v>-17</v>
      </c>
      <c r="K32" s="246">
        <f>-'Fuel-Depr-OtherTax'!J20</f>
        <v>-17</v>
      </c>
      <c r="L32" s="246">
        <f>-'Fuel-Depr-OtherTax'!K20</f>
        <v>-17</v>
      </c>
      <c r="M32" s="246">
        <f>-'Fuel-Depr-OtherTax'!L20</f>
        <v>-17</v>
      </c>
      <c r="N32" s="246">
        <f>-'Fuel-Depr-OtherTax'!M20</f>
        <v>-17</v>
      </c>
      <c r="O32" s="246">
        <f>-'Fuel-Depr-OtherTax'!N20</f>
        <v>-17</v>
      </c>
      <c r="P32" s="246">
        <f t="shared" si="4"/>
        <v>-204</v>
      </c>
      <c r="Q32" s="247">
        <f t="shared" si="3"/>
        <v>-34</v>
      </c>
      <c r="R32" s="246">
        <f t="shared" si="5"/>
        <v>-170</v>
      </c>
      <c r="S32" s="247"/>
      <c r="T32" s="528">
        <f t="shared" si="6"/>
        <v>-204</v>
      </c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</row>
    <row r="33" spans="1:40" x14ac:dyDescent="0.2">
      <c r="A33" s="455" t="s">
        <v>521</v>
      </c>
      <c r="B33" s="442" t="s">
        <v>567</v>
      </c>
      <c r="C33"/>
      <c r="D33" s="246">
        <f>-RegAmort!C49</f>
        <v>-7</v>
      </c>
      <c r="E33" s="246">
        <f>-RegAmort!D49</f>
        <v>-7</v>
      </c>
      <c r="F33" s="246">
        <f>-RegAmort!E49</f>
        <v>-7</v>
      </c>
      <c r="G33" s="246">
        <f>-RegAmort!F49</f>
        <v>-7</v>
      </c>
      <c r="H33" s="246">
        <f>-RegAmort!G49</f>
        <v>-7</v>
      </c>
      <c r="I33" s="246">
        <f>-RegAmort!H49</f>
        <v>-7</v>
      </c>
      <c r="J33" s="246">
        <f>-RegAmort!I49</f>
        <v>-7</v>
      </c>
      <c r="K33" s="246">
        <f>-RegAmort!J49</f>
        <v>-8</v>
      </c>
      <c r="L33" s="246">
        <f>-RegAmort!K49</f>
        <v>-7</v>
      </c>
      <c r="M33" s="246">
        <f>-RegAmort!L49</f>
        <v>-8</v>
      </c>
      <c r="N33" s="246">
        <f>-RegAmort!M49</f>
        <v>-7</v>
      </c>
      <c r="O33" s="246">
        <f>-RegAmort!N49</f>
        <v>-8</v>
      </c>
      <c r="P33" s="246">
        <f t="shared" si="4"/>
        <v>-87</v>
      </c>
      <c r="Q33" s="247">
        <f t="shared" si="3"/>
        <v>-14</v>
      </c>
      <c r="R33" s="246">
        <f t="shared" si="5"/>
        <v>-73</v>
      </c>
      <c r="S33" s="247"/>
      <c r="T33" s="528">
        <f t="shared" si="6"/>
        <v>-87</v>
      </c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</row>
    <row r="34" spans="1:40" x14ac:dyDescent="0.2">
      <c r="A34" s="454" t="s">
        <v>416</v>
      </c>
      <c r="B34" s="544" t="s">
        <v>568</v>
      </c>
      <c r="D34" s="246">
        <f>-RegAmort!C50</f>
        <v>-38</v>
      </c>
      <c r="E34" s="246">
        <f>-RegAmort!D50</f>
        <v>-38</v>
      </c>
      <c r="F34" s="246">
        <f>-RegAmort!E50</f>
        <v>-38</v>
      </c>
      <c r="G34" s="246">
        <f>-RegAmort!F50</f>
        <v>-38</v>
      </c>
      <c r="H34" s="246">
        <f>-RegAmort!G50</f>
        <v>-38</v>
      </c>
      <c r="I34" s="246">
        <f>-RegAmort!H50</f>
        <v>-38</v>
      </c>
      <c r="J34" s="246">
        <f>-RegAmort!I50</f>
        <v>-38</v>
      </c>
      <c r="K34" s="246">
        <f>-RegAmort!J50</f>
        <v>-38</v>
      </c>
      <c r="L34" s="246">
        <f>-RegAmort!K50</f>
        <v>-38</v>
      </c>
      <c r="M34" s="246">
        <f>-RegAmort!L50</f>
        <v>-38</v>
      </c>
      <c r="N34" s="246">
        <f>-RegAmort!M50</f>
        <v>-38</v>
      </c>
      <c r="O34" s="246">
        <f>-RegAmort!N50</f>
        <v>-37</v>
      </c>
      <c r="P34" s="246">
        <f t="shared" si="4"/>
        <v>-455</v>
      </c>
      <c r="Q34" s="247">
        <f t="shared" si="3"/>
        <v>-76</v>
      </c>
      <c r="R34" s="246">
        <f t="shared" si="5"/>
        <v>-379</v>
      </c>
      <c r="S34" s="247"/>
      <c r="T34" s="528">
        <f t="shared" si="6"/>
        <v>-455</v>
      </c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</row>
    <row r="35" spans="1:40" x14ac:dyDescent="0.2">
      <c r="A35" s="455" t="s">
        <v>959</v>
      </c>
      <c r="B35" s="245" t="s">
        <v>959</v>
      </c>
      <c r="C35" s="499" t="s">
        <v>516</v>
      </c>
      <c r="D35" s="474">
        <v>0</v>
      </c>
      <c r="E35" s="474">
        <v>0</v>
      </c>
      <c r="F35" s="474">
        <v>0</v>
      </c>
      <c r="G35" s="474">
        <v>0</v>
      </c>
      <c r="H35" s="474">
        <v>0</v>
      </c>
      <c r="I35" s="474">
        <v>0</v>
      </c>
      <c r="J35" s="474">
        <v>0</v>
      </c>
      <c r="K35" s="474">
        <v>0</v>
      </c>
      <c r="L35" s="474">
        <v>0</v>
      </c>
      <c r="M35" s="474">
        <v>0</v>
      </c>
      <c r="N35" s="474">
        <v>0</v>
      </c>
      <c r="O35" s="474">
        <v>0</v>
      </c>
      <c r="P35" s="246">
        <f>SUM(D35:O35)</f>
        <v>0</v>
      </c>
      <c r="Q35" s="247">
        <f t="shared" si="3"/>
        <v>0</v>
      </c>
      <c r="R35" s="246">
        <f>P35-Q35</f>
        <v>0</v>
      </c>
      <c r="S35" s="247"/>
      <c r="T35" s="528">
        <f t="shared" si="6"/>
        <v>0</v>
      </c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</row>
    <row r="36" spans="1:40" x14ac:dyDescent="0.2">
      <c r="A36" s="454"/>
      <c r="B36" s="252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7"/>
      <c r="R36" s="246"/>
      <c r="S36" s="247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</row>
    <row r="37" spans="1:40" x14ac:dyDescent="0.2">
      <c r="A37" s="454" t="s">
        <v>961</v>
      </c>
      <c r="B37" s="252" t="s">
        <v>569</v>
      </c>
      <c r="D37" s="246">
        <f>SUM('Fuel-Depr-OtherTax'!C17:C22)</f>
        <v>1200</v>
      </c>
      <c r="E37" s="246">
        <f>SUM('Fuel-Depr-OtherTax'!D17:D22)</f>
        <v>1203</v>
      </c>
      <c r="F37" s="246">
        <f>SUM('Fuel-Depr-OtherTax'!E17:E22)</f>
        <v>1203</v>
      </c>
      <c r="G37" s="246">
        <f>SUM('Fuel-Depr-OtherTax'!F17:F22)</f>
        <v>1203</v>
      </c>
      <c r="H37" s="246">
        <f>SUM('Fuel-Depr-OtherTax'!G17:G22)</f>
        <v>1203</v>
      </c>
      <c r="I37" s="246">
        <f>SUM('Fuel-Depr-OtherTax'!H17:H22)</f>
        <v>1205</v>
      </c>
      <c r="J37" s="246">
        <f>SUM('Fuel-Depr-OtherTax'!I17:I22)</f>
        <v>1209</v>
      </c>
      <c r="K37" s="246">
        <f>SUM('Fuel-Depr-OtherTax'!J17:J22)</f>
        <v>1209</v>
      </c>
      <c r="L37" s="246">
        <f>SUM('Fuel-Depr-OtherTax'!K17:K22)</f>
        <v>1228</v>
      </c>
      <c r="M37" s="246">
        <f>SUM('Fuel-Depr-OtherTax'!L17:L22)</f>
        <v>1228</v>
      </c>
      <c r="N37" s="246">
        <f>SUM('Fuel-Depr-OtherTax'!M17:M22)</f>
        <v>1231</v>
      </c>
      <c r="O37" s="246">
        <f>SUM('Fuel-Depr-OtherTax'!N17:N22)</f>
        <v>1235</v>
      </c>
      <c r="P37" s="246">
        <f t="shared" si="4"/>
        <v>14557</v>
      </c>
      <c r="Q37" s="247">
        <f t="shared" si="3"/>
        <v>2403</v>
      </c>
      <c r="R37" s="246">
        <f t="shared" si="5"/>
        <v>12154</v>
      </c>
      <c r="S37" s="247"/>
      <c r="T37" s="528">
        <f t="shared" si="6"/>
        <v>14557</v>
      </c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</row>
    <row r="38" spans="1:40" x14ac:dyDescent="0.2">
      <c r="A38" s="454" t="s">
        <v>961</v>
      </c>
      <c r="B38" s="252" t="s">
        <v>570</v>
      </c>
      <c r="D38" s="246">
        <f>-SUM('Fuel-Depr-OtherTax'!C23:C27)</f>
        <v>-600</v>
      </c>
      <c r="E38" s="246">
        <f>-SUM('Fuel-Depr-OtherTax'!D23:D27)</f>
        <v>-600</v>
      </c>
      <c r="F38" s="246">
        <f>-SUM('Fuel-Depr-OtherTax'!E23:E27)</f>
        <v>-600</v>
      </c>
      <c r="G38" s="246">
        <f>-SUM('Fuel-Depr-OtherTax'!F23:F27)</f>
        <v>-600</v>
      </c>
      <c r="H38" s="246">
        <f>-SUM('Fuel-Depr-OtherTax'!G23:G27)</f>
        <v>-600</v>
      </c>
      <c r="I38" s="246">
        <f>-SUM('Fuel-Depr-OtherTax'!H23:H27)</f>
        <v>-600</v>
      </c>
      <c r="J38" s="246">
        <f>-SUM('Fuel-Depr-OtherTax'!I23:I27)</f>
        <v>-600</v>
      </c>
      <c r="K38" s="246">
        <f>-SUM('Fuel-Depr-OtherTax'!J23:J27)</f>
        <v>-600</v>
      </c>
      <c r="L38" s="246">
        <f>-SUM('Fuel-Depr-OtherTax'!K23:K27)</f>
        <v>-600</v>
      </c>
      <c r="M38" s="246">
        <f>-SUM('Fuel-Depr-OtherTax'!L23:L27)</f>
        <v>-600</v>
      </c>
      <c r="N38" s="246">
        <f>-SUM('Fuel-Depr-OtherTax'!M23:M27)</f>
        <v>-600</v>
      </c>
      <c r="O38" s="246">
        <f>-SUM('Fuel-Depr-OtherTax'!N23:N27)</f>
        <v>-600</v>
      </c>
      <c r="P38" s="246">
        <f t="shared" si="4"/>
        <v>-7200</v>
      </c>
      <c r="Q38" s="247">
        <f t="shared" si="3"/>
        <v>-1200</v>
      </c>
      <c r="R38" s="246">
        <f t="shared" si="5"/>
        <v>-6000</v>
      </c>
      <c r="S38" s="247"/>
      <c r="T38" s="528">
        <f t="shared" si="6"/>
        <v>-7200</v>
      </c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</row>
    <row r="39" spans="1:40" x14ac:dyDescent="0.2">
      <c r="A39" s="454" t="s">
        <v>961</v>
      </c>
      <c r="B39" s="252" t="s">
        <v>571</v>
      </c>
      <c r="D39" s="246">
        <f>'Fuel-Depr-OtherTax'!C29</f>
        <v>1800</v>
      </c>
      <c r="E39" s="246">
        <f>'Fuel-Depr-OtherTax'!D29</f>
        <v>1803</v>
      </c>
      <c r="F39" s="246">
        <f>'Fuel-Depr-OtherTax'!E29</f>
        <v>1803</v>
      </c>
      <c r="G39" s="246">
        <f>'Fuel-Depr-OtherTax'!F29</f>
        <v>1803</v>
      </c>
      <c r="H39" s="246">
        <f>'Fuel-Depr-OtherTax'!G29</f>
        <v>1803</v>
      </c>
      <c r="I39" s="246">
        <f>'Fuel-Depr-OtherTax'!H29</f>
        <v>1805</v>
      </c>
      <c r="J39" s="246">
        <f>'Fuel-Depr-OtherTax'!I29</f>
        <v>1809</v>
      </c>
      <c r="K39" s="246">
        <f>'Fuel-Depr-OtherTax'!J29</f>
        <v>1809</v>
      </c>
      <c r="L39" s="246">
        <f>'Fuel-Depr-OtherTax'!K29</f>
        <v>1828</v>
      </c>
      <c r="M39" s="246">
        <f>'Fuel-Depr-OtherTax'!L29</f>
        <v>1828</v>
      </c>
      <c r="N39" s="246">
        <f>'Fuel-Depr-OtherTax'!M29</f>
        <v>1831</v>
      </c>
      <c r="O39" s="246">
        <f>'Fuel-Depr-OtherTax'!N29</f>
        <v>1835</v>
      </c>
      <c r="P39" s="246">
        <f t="shared" si="4"/>
        <v>21757</v>
      </c>
      <c r="Q39" s="247">
        <f t="shared" si="3"/>
        <v>3603</v>
      </c>
      <c r="R39" s="246">
        <f t="shared" si="5"/>
        <v>18154</v>
      </c>
      <c r="S39" s="247"/>
      <c r="T39" s="528">
        <f t="shared" si="6"/>
        <v>21757</v>
      </c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</row>
    <row r="40" spans="1:40" x14ac:dyDescent="0.2">
      <c r="A40" s="454" t="s">
        <v>961</v>
      </c>
      <c r="B40" s="252" t="s">
        <v>572</v>
      </c>
      <c r="D40" s="246">
        <f>-SUM('Fuel-Depr-OtherTax'!C37:C46)</f>
        <v>-75</v>
      </c>
      <c r="E40" s="246">
        <f>-SUM('Fuel-Depr-OtherTax'!D37:D46)</f>
        <v>-115</v>
      </c>
      <c r="F40" s="246">
        <f>-SUM('Fuel-Depr-OtherTax'!E37:E46)</f>
        <v>-75</v>
      </c>
      <c r="G40" s="246">
        <f>-SUM('Fuel-Depr-OtherTax'!F37:F46)</f>
        <v>-72</v>
      </c>
      <c r="H40" s="246">
        <f>-SUM('Fuel-Depr-OtherTax'!G37:G46)</f>
        <v>-76</v>
      </c>
      <c r="I40" s="246">
        <f>-SUM('Fuel-Depr-OtherTax'!H37:H46)</f>
        <v>-72</v>
      </c>
      <c r="J40" s="246">
        <f>-SUM('Fuel-Depr-OtherTax'!I37:I46)</f>
        <v>-74</v>
      </c>
      <c r="K40" s="246">
        <f>-SUM('Fuel-Depr-OtherTax'!J37:J46)</f>
        <v>-74</v>
      </c>
      <c r="L40" s="246">
        <f>-SUM('Fuel-Depr-OtherTax'!K37:K46)</f>
        <v>-75</v>
      </c>
      <c r="M40" s="246">
        <f>-SUM('Fuel-Depr-OtherTax'!L37:L46)</f>
        <v>-73</v>
      </c>
      <c r="N40" s="246">
        <f>-SUM('Fuel-Depr-OtherTax'!M37:M46)</f>
        <v>-76</v>
      </c>
      <c r="O40" s="246">
        <f>-SUM('Fuel-Depr-OtherTax'!N37:N46)</f>
        <v>-72</v>
      </c>
      <c r="P40" s="246">
        <f t="shared" si="4"/>
        <v>-929</v>
      </c>
      <c r="Q40" s="247">
        <f t="shared" si="3"/>
        <v>-190</v>
      </c>
      <c r="R40" s="246">
        <f t="shared" si="5"/>
        <v>-739</v>
      </c>
      <c r="S40" s="247"/>
      <c r="T40" s="528">
        <f t="shared" si="6"/>
        <v>-929</v>
      </c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</row>
    <row r="41" spans="1:40" x14ac:dyDescent="0.2">
      <c r="A41" s="454" t="s">
        <v>961</v>
      </c>
      <c r="B41" s="252" t="s">
        <v>573</v>
      </c>
      <c r="D41" s="246">
        <f>'Fuel-Depr-OtherTax'!C51</f>
        <v>900</v>
      </c>
      <c r="E41" s="246">
        <f>'Fuel-Depr-OtherTax'!D51</f>
        <v>940</v>
      </c>
      <c r="F41" s="246">
        <f>'Fuel-Depr-OtherTax'!E51</f>
        <v>900</v>
      </c>
      <c r="G41" s="246">
        <f>'Fuel-Depr-OtherTax'!F51</f>
        <v>897</v>
      </c>
      <c r="H41" s="246">
        <f>'Fuel-Depr-OtherTax'!G51</f>
        <v>901</v>
      </c>
      <c r="I41" s="246">
        <f>'Fuel-Depr-OtherTax'!H51</f>
        <v>897</v>
      </c>
      <c r="J41" s="246">
        <f>'Fuel-Depr-OtherTax'!I51</f>
        <v>899</v>
      </c>
      <c r="K41" s="246">
        <f>'Fuel-Depr-OtherTax'!J51</f>
        <v>899</v>
      </c>
      <c r="L41" s="246">
        <f>'Fuel-Depr-OtherTax'!K51</f>
        <v>900</v>
      </c>
      <c r="M41" s="246">
        <f>'Fuel-Depr-OtherTax'!L51</f>
        <v>898</v>
      </c>
      <c r="N41" s="246">
        <f>'Fuel-Depr-OtherTax'!M51</f>
        <v>901</v>
      </c>
      <c r="O41" s="246">
        <f>'Fuel-Depr-OtherTax'!N51</f>
        <v>897</v>
      </c>
      <c r="P41" s="246">
        <f t="shared" si="4"/>
        <v>10829</v>
      </c>
      <c r="Q41" s="247">
        <f t="shared" si="3"/>
        <v>1840</v>
      </c>
      <c r="R41" s="246">
        <f t="shared" si="5"/>
        <v>8989</v>
      </c>
      <c r="S41" s="247"/>
      <c r="T41" s="528">
        <f t="shared" si="6"/>
        <v>10829</v>
      </c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</row>
    <row r="42" spans="1:40" x14ac:dyDescent="0.2">
      <c r="A42" s="455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7"/>
      <c r="R42" s="246"/>
      <c r="S42" s="247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</row>
    <row r="43" spans="1:40" x14ac:dyDescent="0.2">
      <c r="A43" s="454" t="s">
        <v>574</v>
      </c>
      <c r="B43" s="252" t="s">
        <v>575</v>
      </c>
      <c r="C43" s="248"/>
      <c r="D43" s="246">
        <f>OtherInc!C10</f>
        <v>0</v>
      </c>
      <c r="E43" s="246">
        <f>OtherInc!D10</f>
        <v>0</v>
      </c>
      <c r="F43" s="246">
        <f>OtherInc!E10</f>
        <v>0</v>
      </c>
      <c r="G43" s="246">
        <f>OtherInc!F10</f>
        <v>0</v>
      </c>
      <c r="H43" s="246">
        <f>OtherInc!G10</f>
        <v>0</v>
      </c>
      <c r="I43" s="246">
        <f>OtherInc!H10</f>
        <v>0</v>
      </c>
      <c r="J43" s="246">
        <f>OtherInc!I10</f>
        <v>0</v>
      </c>
      <c r="K43" s="246">
        <f>OtherInc!J10</f>
        <v>0</v>
      </c>
      <c r="L43" s="246">
        <f>OtherInc!K10</f>
        <v>0</v>
      </c>
      <c r="M43" s="246">
        <f>OtherInc!L10</f>
        <v>0</v>
      </c>
      <c r="N43" s="246">
        <f>OtherInc!M10</f>
        <v>0</v>
      </c>
      <c r="O43" s="246">
        <f>OtherInc!N10</f>
        <v>0</v>
      </c>
      <c r="P43" s="246">
        <f>SUM(D43:O43)</f>
        <v>0</v>
      </c>
      <c r="Q43" s="247">
        <f t="shared" si="3"/>
        <v>0</v>
      </c>
      <c r="R43" s="246">
        <f>P43-Q43</f>
        <v>0</v>
      </c>
      <c r="S43" s="247"/>
      <c r="T43" s="528">
        <f t="shared" si="6"/>
        <v>0</v>
      </c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</row>
    <row r="44" spans="1:40" x14ac:dyDescent="0.2">
      <c r="A44" s="455" t="s">
        <v>1051</v>
      </c>
      <c r="B44" s="450" t="s">
        <v>576</v>
      </c>
      <c r="D44" s="246">
        <f>-DeferredTax!R123</f>
        <v>0</v>
      </c>
      <c r="E44" s="246">
        <f>-DeferredTax!S123</f>
        <v>0</v>
      </c>
      <c r="F44" s="246">
        <f>-DeferredTax!T123</f>
        <v>0</v>
      </c>
      <c r="G44" s="246">
        <f>-DeferredTax!U123</f>
        <v>0</v>
      </c>
      <c r="H44" s="246">
        <f>-DeferredTax!V123</f>
        <v>0</v>
      </c>
      <c r="I44" s="246">
        <f>-DeferredTax!W123</f>
        <v>0</v>
      </c>
      <c r="J44" s="246">
        <f>-DeferredTax!X123</f>
        <v>0</v>
      </c>
      <c r="K44" s="246">
        <f>-DeferredTax!Y123</f>
        <v>0</v>
      </c>
      <c r="L44" s="246">
        <f>-DeferredTax!Z123</f>
        <v>0</v>
      </c>
      <c r="M44" s="246">
        <f>-DeferredTax!AA123</f>
        <v>0</v>
      </c>
      <c r="N44" s="246">
        <f>-DeferredTax!AB123</f>
        <v>0</v>
      </c>
      <c r="O44" s="246">
        <f>-DeferredTax!AC123</f>
        <v>0</v>
      </c>
      <c r="P44" s="246">
        <f t="shared" ref="P44:P56" si="7">SUM(D44:O44)</f>
        <v>0</v>
      </c>
      <c r="Q44" s="247">
        <f t="shared" si="3"/>
        <v>0</v>
      </c>
      <c r="R44" s="246">
        <f t="shared" ref="R44:R56" si="8">P44-Q44</f>
        <v>0</v>
      </c>
      <c r="S44" s="247"/>
      <c r="T44" s="528">
        <f t="shared" si="6"/>
        <v>0</v>
      </c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</row>
    <row r="45" spans="1:40" x14ac:dyDescent="0.2">
      <c r="A45" s="455" t="s">
        <v>1051</v>
      </c>
      <c r="B45" s="457" t="s">
        <v>577</v>
      </c>
      <c r="C45" s="248"/>
      <c r="D45" s="246">
        <f>-DeferredTax!R127</f>
        <v>0</v>
      </c>
      <c r="E45" s="246">
        <f>-DeferredTax!S127</f>
        <v>0</v>
      </c>
      <c r="F45" s="246">
        <f>-DeferredTax!T127</f>
        <v>0</v>
      </c>
      <c r="G45" s="246">
        <f>-DeferredTax!U127</f>
        <v>0</v>
      </c>
      <c r="H45" s="246">
        <f>-DeferredTax!V127</f>
        <v>0</v>
      </c>
      <c r="I45" s="246">
        <f>-DeferredTax!W127</f>
        <v>0</v>
      </c>
      <c r="J45" s="246">
        <f>-DeferredTax!X127</f>
        <v>0</v>
      </c>
      <c r="K45" s="246">
        <f>-DeferredTax!Y127</f>
        <v>0</v>
      </c>
      <c r="L45" s="246">
        <f>-DeferredTax!Z127</f>
        <v>0</v>
      </c>
      <c r="M45" s="246">
        <f>-DeferredTax!AA127</f>
        <v>0</v>
      </c>
      <c r="N45" s="246">
        <f>-DeferredTax!AB127</f>
        <v>0</v>
      </c>
      <c r="O45" s="246">
        <f>-DeferredTax!AC127</f>
        <v>0</v>
      </c>
      <c r="P45" s="246">
        <f t="shared" si="7"/>
        <v>0</v>
      </c>
      <c r="Q45" s="247">
        <f t="shared" si="3"/>
        <v>0</v>
      </c>
      <c r="R45" s="246">
        <f t="shared" si="8"/>
        <v>0</v>
      </c>
      <c r="S45" s="247"/>
      <c r="T45" s="528">
        <f t="shared" si="6"/>
        <v>0</v>
      </c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</row>
    <row r="46" spans="1:40" x14ac:dyDescent="0.2">
      <c r="A46" s="455" t="s">
        <v>1051</v>
      </c>
      <c r="B46" s="252" t="s">
        <v>1062</v>
      </c>
      <c r="C46" s="241"/>
      <c r="D46" s="246">
        <f>-DeferredTax!R125-DeferredTax!R128</f>
        <v>0</v>
      </c>
      <c r="E46" s="246">
        <f>-DeferredTax!S125-DeferredTax!S128</f>
        <v>0</v>
      </c>
      <c r="F46" s="246">
        <f>-DeferredTax!T125-DeferredTax!T128</f>
        <v>0</v>
      </c>
      <c r="G46" s="246">
        <f>-DeferredTax!U125-DeferredTax!U128</f>
        <v>0</v>
      </c>
      <c r="H46" s="246">
        <f>-DeferredTax!V125-DeferredTax!V128</f>
        <v>0</v>
      </c>
      <c r="I46" s="246">
        <f>-DeferredTax!W125-DeferredTax!W128</f>
        <v>0</v>
      </c>
      <c r="J46" s="246">
        <f>-DeferredTax!X125-DeferredTax!X128</f>
        <v>0</v>
      </c>
      <c r="K46" s="246">
        <f>-DeferredTax!Y125-DeferredTax!Y128</f>
        <v>0</v>
      </c>
      <c r="L46" s="246">
        <f>-DeferredTax!Z125-DeferredTax!Z128</f>
        <v>0</v>
      </c>
      <c r="M46" s="246">
        <f>-DeferredTax!AA125-DeferredTax!AA128</f>
        <v>0</v>
      </c>
      <c r="N46" s="246">
        <f>-DeferredTax!AB125-DeferredTax!AB128</f>
        <v>0</v>
      </c>
      <c r="O46" s="246">
        <f>-DeferredTax!AC125-DeferredTax!AC128</f>
        <v>0</v>
      </c>
      <c r="P46" s="246">
        <f t="shared" si="7"/>
        <v>0</v>
      </c>
      <c r="Q46" s="247">
        <f t="shared" si="3"/>
        <v>0</v>
      </c>
      <c r="R46" s="246">
        <f t="shared" si="8"/>
        <v>0</v>
      </c>
      <c r="S46" s="247"/>
      <c r="T46" s="528">
        <f>SUM(D46:O46)</f>
        <v>0</v>
      </c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</row>
    <row r="47" spans="1:40" x14ac:dyDescent="0.2">
      <c r="A47" s="454" t="s">
        <v>578</v>
      </c>
      <c r="B47" s="252" t="s">
        <v>579</v>
      </c>
      <c r="D47" s="246">
        <f>-IntDeduct!C38</f>
        <v>0</v>
      </c>
      <c r="E47" s="246">
        <f>-IntDeduct!D38</f>
        <v>0</v>
      </c>
      <c r="F47" s="246">
        <f>-IntDeduct!E38</f>
        <v>0</v>
      </c>
      <c r="G47" s="246">
        <f>-IntDeduct!F38</f>
        <v>0</v>
      </c>
      <c r="H47" s="246">
        <f>-IntDeduct!G38</f>
        <v>0</v>
      </c>
      <c r="I47" s="246">
        <f>-IntDeduct!H38</f>
        <v>0</v>
      </c>
      <c r="J47" s="246">
        <f>-IntDeduct!I38</f>
        <v>0</v>
      </c>
      <c r="K47" s="246">
        <f>-IntDeduct!J38</f>
        <v>0</v>
      </c>
      <c r="L47" s="246">
        <f>-IntDeduct!K38</f>
        <v>0</v>
      </c>
      <c r="M47" s="246">
        <f>-IntDeduct!L38</f>
        <v>0</v>
      </c>
      <c r="N47" s="246">
        <f>-IntDeduct!M38</f>
        <v>0</v>
      </c>
      <c r="O47" s="246">
        <f>-IntDeduct!N38</f>
        <v>0</v>
      </c>
      <c r="P47" s="246">
        <f t="shared" si="7"/>
        <v>0</v>
      </c>
      <c r="Q47" s="247">
        <f t="shared" si="3"/>
        <v>0</v>
      </c>
      <c r="R47" s="246">
        <f t="shared" si="8"/>
        <v>0</v>
      </c>
      <c r="S47" s="247"/>
      <c r="T47" s="528">
        <f>SUM(D47:O47)</f>
        <v>0</v>
      </c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</row>
    <row r="48" spans="1:40" x14ac:dyDescent="0.2">
      <c r="A48" s="454" t="s">
        <v>578</v>
      </c>
      <c r="B48" s="252" t="s">
        <v>580</v>
      </c>
      <c r="D48" s="246">
        <f>-IntDeduct!C39</f>
        <v>0</v>
      </c>
      <c r="E48" s="246">
        <f>-IntDeduct!D39</f>
        <v>0</v>
      </c>
      <c r="F48" s="246">
        <f>-IntDeduct!E39</f>
        <v>0</v>
      </c>
      <c r="G48" s="246">
        <f>-IntDeduct!F39</f>
        <v>0</v>
      </c>
      <c r="H48" s="246">
        <f>-IntDeduct!G39</f>
        <v>0</v>
      </c>
      <c r="I48" s="246">
        <f>-IntDeduct!H39</f>
        <v>0</v>
      </c>
      <c r="J48" s="246">
        <f>-IntDeduct!I39</f>
        <v>0</v>
      </c>
      <c r="K48" s="246">
        <f>-IntDeduct!J39</f>
        <v>0</v>
      </c>
      <c r="L48" s="246">
        <f>-IntDeduct!K39</f>
        <v>0</v>
      </c>
      <c r="M48" s="246">
        <f>-IntDeduct!L39</f>
        <v>0</v>
      </c>
      <c r="N48" s="246">
        <f>-IntDeduct!M39</f>
        <v>0</v>
      </c>
      <c r="O48" s="246">
        <f>-IntDeduct!N39</f>
        <v>0</v>
      </c>
      <c r="P48" s="246">
        <f t="shared" si="7"/>
        <v>0</v>
      </c>
      <c r="Q48" s="247">
        <f t="shared" si="3"/>
        <v>0</v>
      </c>
      <c r="R48" s="246">
        <f t="shared" si="8"/>
        <v>0</v>
      </c>
      <c r="S48" s="247"/>
      <c r="T48" s="528">
        <f>SUM(D48:O48)</f>
        <v>0</v>
      </c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</row>
    <row r="49" spans="1:40" x14ac:dyDescent="0.2">
      <c r="A49" s="454" t="s">
        <v>578</v>
      </c>
      <c r="B49" s="252" t="s">
        <v>979</v>
      </c>
      <c r="C49" s="499" t="s">
        <v>516</v>
      </c>
      <c r="D49" s="474">
        <v>0</v>
      </c>
      <c r="E49" s="474">
        <v>0</v>
      </c>
      <c r="F49" s="474">
        <v>0</v>
      </c>
      <c r="G49" s="474">
        <v>0</v>
      </c>
      <c r="H49" s="474">
        <v>0</v>
      </c>
      <c r="I49" s="474">
        <v>0</v>
      </c>
      <c r="J49" s="474">
        <v>0</v>
      </c>
      <c r="K49" s="474">
        <v>0</v>
      </c>
      <c r="L49" s="474">
        <v>0</v>
      </c>
      <c r="M49" s="474">
        <v>0</v>
      </c>
      <c r="N49" s="474">
        <v>0</v>
      </c>
      <c r="O49" s="474">
        <v>0</v>
      </c>
      <c r="P49" s="246">
        <f>SUM(D49:O49)</f>
        <v>0</v>
      </c>
      <c r="Q49" s="247">
        <f t="shared" si="3"/>
        <v>0</v>
      </c>
      <c r="R49" s="246">
        <f>P49-Q49</f>
        <v>0</v>
      </c>
      <c r="S49" s="247"/>
      <c r="T49" s="528">
        <f>SUM(D49:O49)</f>
        <v>0</v>
      </c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</row>
    <row r="50" spans="1:40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</row>
    <row r="51" spans="1:40" x14ac:dyDescent="0.2">
      <c r="A51" s="455" t="s">
        <v>1051</v>
      </c>
      <c r="B51" s="252" t="s">
        <v>581</v>
      </c>
      <c r="C51" s="248"/>
      <c r="D51" s="246">
        <f>-IncomeState!C51-SUM(DeferredTax!R71:R73)-DeferredTax!R79</f>
        <v>-3303</v>
      </c>
      <c r="E51" s="246">
        <f>-IncomeState!D51-SUM(DeferredTax!S71:S73)-DeferredTax!S79</f>
        <v>-2577</v>
      </c>
      <c r="F51" s="246">
        <f>-IncomeState!E51-SUM(DeferredTax!T71:T73)-DeferredTax!T79</f>
        <v>-3133</v>
      </c>
      <c r="G51" s="246">
        <f>-IncomeState!F51-SUM(DeferredTax!U71:U73)-DeferredTax!U79</f>
        <v>-2949</v>
      </c>
      <c r="H51" s="246">
        <f>-IncomeState!G51-SUM(DeferredTax!V71:V73)-DeferredTax!V79</f>
        <v>-3143</v>
      </c>
      <c r="I51" s="246">
        <f>-IncomeState!H51-SUM(DeferredTax!W71:W73)-DeferredTax!W79</f>
        <v>-3336</v>
      </c>
      <c r="J51" s="246">
        <f>-IncomeState!I51-SUM(DeferredTax!X71:X73)-DeferredTax!X79</f>
        <v>-3644</v>
      </c>
      <c r="K51" s="246">
        <f>-IncomeState!J51-SUM(DeferredTax!Y71:Y73)-DeferredTax!Y79</f>
        <v>-3607</v>
      </c>
      <c r="L51" s="246">
        <f>-IncomeState!K51-SUM(DeferredTax!Z71:Z73)-DeferredTax!Z79</f>
        <v>-2834</v>
      </c>
      <c r="M51" s="246">
        <f>-IncomeState!L51-SUM(DeferredTax!AA71:AA73)-DeferredTax!AA79</f>
        <v>-3620</v>
      </c>
      <c r="N51" s="246">
        <f>-IncomeState!M51-SUM(DeferredTax!AB71:AB73)-DeferredTax!AB79</f>
        <v>-4175</v>
      </c>
      <c r="O51" s="246">
        <f>-IncomeState!N51-SUM(DeferredTax!AC71:AC73)-DeferredTax!AC79</f>
        <v>-3671</v>
      </c>
      <c r="P51" s="246">
        <f t="shared" si="7"/>
        <v>-39992</v>
      </c>
      <c r="Q51" s="247">
        <f t="shared" si="3"/>
        <v>-5880</v>
      </c>
      <c r="R51" s="246">
        <f t="shared" si="8"/>
        <v>-34112</v>
      </c>
      <c r="S51" s="247"/>
      <c r="T51" s="528">
        <f t="shared" ref="T51:T63" si="9">SUM(D51:O51)</f>
        <v>-39992</v>
      </c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</row>
    <row r="52" spans="1:40" x14ac:dyDescent="0.2">
      <c r="A52" s="454" t="s">
        <v>535</v>
      </c>
      <c r="B52" s="252" t="s">
        <v>582</v>
      </c>
      <c r="D52" s="246">
        <f>DeferredTax!R83</f>
        <v>0</v>
      </c>
      <c r="E52" s="246">
        <f>DeferredTax!S83</f>
        <v>0</v>
      </c>
      <c r="F52" s="246">
        <f>DeferredTax!T83</f>
        <v>0</v>
      </c>
      <c r="G52" s="246">
        <f>DeferredTax!U83</f>
        <v>0</v>
      </c>
      <c r="H52" s="246">
        <f>DeferredTax!V83</f>
        <v>0</v>
      </c>
      <c r="I52" s="246">
        <f>DeferredTax!W83</f>
        <v>0</v>
      </c>
      <c r="J52" s="246">
        <f>DeferredTax!X83</f>
        <v>0</v>
      </c>
      <c r="K52" s="246">
        <f>DeferredTax!Y83</f>
        <v>0</v>
      </c>
      <c r="L52" s="246">
        <f>DeferredTax!Z83</f>
        <v>0</v>
      </c>
      <c r="M52" s="246">
        <f>DeferredTax!AA83</f>
        <v>0</v>
      </c>
      <c r="N52" s="246">
        <f>DeferredTax!AB83</f>
        <v>0</v>
      </c>
      <c r="O52" s="246">
        <f>DeferredTax!AC83</f>
        <v>0</v>
      </c>
      <c r="P52" s="246">
        <f t="shared" si="7"/>
        <v>0</v>
      </c>
      <c r="Q52" s="247">
        <f t="shared" si="3"/>
        <v>0</v>
      </c>
      <c r="R52" s="246">
        <f t="shared" si="8"/>
        <v>0</v>
      </c>
      <c r="S52" s="247"/>
      <c r="T52" s="528">
        <f t="shared" si="9"/>
        <v>0</v>
      </c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</row>
    <row r="53" spans="1:40" x14ac:dyDescent="0.2">
      <c r="A53" s="454" t="s">
        <v>535</v>
      </c>
      <c r="B53" s="252" t="s">
        <v>593</v>
      </c>
      <c r="D53" s="246">
        <f>DeferredTax!R84</f>
        <v>304</v>
      </c>
      <c r="E53" s="246">
        <f>DeferredTax!S84</f>
        <v>329</v>
      </c>
      <c r="F53" s="246">
        <f>DeferredTax!T84</f>
        <v>318</v>
      </c>
      <c r="G53" s="246">
        <f>DeferredTax!U84</f>
        <v>366</v>
      </c>
      <c r="H53" s="246">
        <f>DeferredTax!V84</f>
        <v>420</v>
      </c>
      <c r="I53" s="246">
        <f>DeferredTax!W84</f>
        <v>448</v>
      </c>
      <c r="J53" s="246">
        <f>DeferredTax!X84</f>
        <v>453</v>
      </c>
      <c r="K53" s="246">
        <f>DeferredTax!Y84</f>
        <v>452</v>
      </c>
      <c r="L53" s="246">
        <f>DeferredTax!Z84</f>
        <v>980</v>
      </c>
      <c r="M53" s="246">
        <f>DeferredTax!AA84</f>
        <v>423</v>
      </c>
      <c r="N53" s="246">
        <f>DeferredTax!AB84</f>
        <v>-142</v>
      </c>
      <c r="O53" s="246">
        <f>DeferredTax!AC84</f>
        <v>439</v>
      </c>
      <c r="P53" s="246">
        <f t="shared" si="7"/>
        <v>4790</v>
      </c>
      <c r="Q53" s="247">
        <f t="shared" si="3"/>
        <v>633</v>
      </c>
      <c r="R53" s="246">
        <f t="shared" si="8"/>
        <v>4157</v>
      </c>
      <c r="S53" s="247"/>
      <c r="T53" s="528">
        <f t="shared" si="9"/>
        <v>4790</v>
      </c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</row>
    <row r="54" spans="1:40" x14ac:dyDescent="0.2">
      <c r="A54" s="454" t="s">
        <v>535</v>
      </c>
      <c r="B54" s="252" t="s">
        <v>594</v>
      </c>
      <c r="D54" s="246">
        <f>DeferredTax!R81</f>
        <v>304</v>
      </c>
      <c r="E54" s="246">
        <f>DeferredTax!S81</f>
        <v>329</v>
      </c>
      <c r="F54" s="246">
        <f>DeferredTax!T81</f>
        <v>318</v>
      </c>
      <c r="G54" s="246">
        <f>DeferredTax!U81</f>
        <v>366</v>
      </c>
      <c r="H54" s="246">
        <f>DeferredTax!V81</f>
        <v>420</v>
      </c>
      <c r="I54" s="246">
        <f>DeferredTax!W81</f>
        <v>448</v>
      </c>
      <c r="J54" s="246">
        <f>DeferredTax!X81</f>
        <v>453</v>
      </c>
      <c r="K54" s="246">
        <f>DeferredTax!Y81</f>
        <v>452</v>
      </c>
      <c r="L54" s="246">
        <f>DeferredTax!Z81</f>
        <v>980</v>
      </c>
      <c r="M54" s="246">
        <f>DeferredTax!AA81</f>
        <v>423</v>
      </c>
      <c r="N54" s="246">
        <f>DeferredTax!AB81</f>
        <v>-142</v>
      </c>
      <c r="O54" s="246">
        <f>DeferredTax!AC81</f>
        <v>439</v>
      </c>
      <c r="P54" s="246">
        <f t="shared" si="7"/>
        <v>4790</v>
      </c>
      <c r="Q54" s="247">
        <f t="shared" si="3"/>
        <v>633</v>
      </c>
      <c r="R54" s="246">
        <f t="shared" si="8"/>
        <v>4157</v>
      </c>
      <c r="S54" s="247"/>
      <c r="T54" s="528">
        <f t="shared" si="9"/>
        <v>4790</v>
      </c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</row>
    <row r="55" spans="1:40" x14ac:dyDescent="0.2">
      <c r="A55" s="455" t="s">
        <v>1053</v>
      </c>
      <c r="B55" s="252" t="s">
        <v>595</v>
      </c>
      <c r="D55" s="246">
        <f>IncomeState!C54</f>
        <v>3782</v>
      </c>
      <c r="E55" s="246">
        <f>IncomeState!D54</f>
        <v>3081</v>
      </c>
      <c r="F55" s="246">
        <f>IncomeState!E54</f>
        <v>3626</v>
      </c>
      <c r="G55" s="246">
        <f>IncomeState!F54</f>
        <v>3490</v>
      </c>
      <c r="H55" s="246">
        <f>IncomeState!G54</f>
        <v>3738</v>
      </c>
      <c r="I55" s="246">
        <f>IncomeState!H54</f>
        <v>3959</v>
      </c>
      <c r="J55" s="246">
        <f>IncomeState!I54</f>
        <v>4272</v>
      </c>
      <c r="K55" s="246">
        <f>IncomeState!J54</f>
        <v>4234</v>
      </c>
      <c r="L55" s="246">
        <f>IncomeState!K54</f>
        <v>3989</v>
      </c>
      <c r="M55" s="246">
        <f>IncomeState!L54</f>
        <v>4218</v>
      </c>
      <c r="N55" s="246">
        <f>IncomeState!M54</f>
        <v>4208</v>
      </c>
      <c r="O55" s="246">
        <f>IncomeState!N54</f>
        <v>4285</v>
      </c>
      <c r="P55" s="246">
        <f t="shared" si="7"/>
        <v>46882</v>
      </c>
      <c r="Q55" s="247">
        <f t="shared" si="3"/>
        <v>6863</v>
      </c>
      <c r="R55" s="246">
        <f t="shared" si="8"/>
        <v>40019</v>
      </c>
      <c r="S55" s="247"/>
      <c r="T55" s="528">
        <f t="shared" si="9"/>
        <v>46882</v>
      </c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</row>
    <row r="56" spans="1:40" x14ac:dyDescent="0.2">
      <c r="A56" s="455" t="s">
        <v>1053</v>
      </c>
      <c r="B56" s="252" t="s">
        <v>596</v>
      </c>
      <c r="D56" s="246">
        <f>IncomeState!C56</f>
        <v>5889</v>
      </c>
      <c r="E56" s="246">
        <f>IncomeState!D56</f>
        <v>4788</v>
      </c>
      <c r="F56" s="246">
        <f>IncomeState!E56</f>
        <v>5644</v>
      </c>
      <c r="G56" s="246">
        <f>IncomeState!F56</f>
        <v>5429</v>
      </c>
      <c r="H56" s="246">
        <f>IncomeState!G56</f>
        <v>5820</v>
      </c>
      <c r="I56" s="246">
        <f>IncomeState!H56</f>
        <v>6167</v>
      </c>
      <c r="J56" s="246">
        <f>IncomeState!I56</f>
        <v>6658</v>
      </c>
      <c r="K56" s="246">
        <f>IncomeState!J56</f>
        <v>6600</v>
      </c>
      <c r="L56" s="246">
        <f>IncomeState!K56</f>
        <v>6214</v>
      </c>
      <c r="M56" s="246">
        <f>IncomeState!L56</f>
        <v>6573</v>
      </c>
      <c r="N56" s="246">
        <f>IncomeState!M56</f>
        <v>6558</v>
      </c>
      <c r="O56" s="246">
        <f>IncomeState!N56</f>
        <v>6679</v>
      </c>
      <c r="P56" s="246">
        <f t="shared" si="7"/>
        <v>73019</v>
      </c>
      <c r="Q56" s="247">
        <f t="shared" si="3"/>
        <v>10677</v>
      </c>
      <c r="R56" s="246">
        <f t="shared" si="8"/>
        <v>62342</v>
      </c>
      <c r="S56" s="247"/>
      <c r="T56" s="528">
        <f t="shared" si="9"/>
        <v>73019</v>
      </c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</row>
    <row r="57" spans="1:40" x14ac:dyDescent="0.2">
      <c r="A57" s="465"/>
      <c r="B57" s="450"/>
      <c r="C57" s="499"/>
      <c r="D57" s="474"/>
      <c r="E57" s="474"/>
      <c r="F57" s="474"/>
      <c r="G57" s="474"/>
      <c r="H57" s="474"/>
      <c r="I57" s="474"/>
      <c r="J57" s="474"/>
      <c r="K57" s="474"/>
      <c r="L57" s="474"/>
      <c r="M57" s="474"/>
      <c r="N57" s="474"/>
      <c r="O57" s="474"/>
      <c r="P57" s="246"/>
      <c r="Q57" s="247"/>
      <c r="R57" s="246"/>
      <c r="S57" s="246"/>
      <c r="T57" s="528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</row>
    <row r="58" spans="1:40" x14ac:dyDescent="0.2">
      <c r="A58" s="454" t="s">
        <v>574</v>
      </c>
      <c r="B58" s="147" t="s">
        <v>1063</v>
      </c>
      <c r="C58" s="499"/>
      <c r="D58" s="475">
        <f>OtherInc!C29</f>
        <v>40</v>
      </c>
      <c r="E58" s="475">
        <f>OtherInc!D29</f>
        <v>67</v>
      </c>
      <c r="F58" s="475">
        <f>OtherInc!E29</f>
        <v>55</v>
      </c>
      <c r="G58" s="475">
        <f>OtherInc!F29</f>
        <v>102</v>
      </c>
      <c r="H58" s="475">
        <f>OtherInc!G29</f>
        <v>155</v>
      </c>
      <c r="I58" s="475">
        <f>OtherInc!H29</f>
        <v>183</v>
      </c>
      <c r="J58" s="475">
        <f>OtherInc!I29</f>
        <v>190</v>
      </c>
      <c r="K58" s="475">
        <f>OtherInc!J29</f>
        <v>189</v>
      </c>
      <c r="L58" s="475">
        <f>OtherInc!K29</f>
        <v>180</v>
      </c>
      <c r="M58" s="475">
        <f>OtherInc!L29</f>
        <v>171</v>
      </c>
      <c r="N58" s="475">
        <f>OtherInc!M29</f>
        <v>189</v>
      </c>
      <c r="O58" s="475">
        <f>OtherInc!N29</f>
        <v>189</v>
      </c>
      <c r="P58" s="246">
        <f t="shared" ref="P58:P70" si="10">SUM(D58:O58)</f>
        <v>1710</v>
      </c>
      <c r="Q58" s="247">
        <f t="shared" si="3"/>
        <v>107</v>
      </c>
      <c r="R58" s="246">
        <f t="shared" ref="R58:R70" si="11">P58-Q58</f>
        <v>1603</v>
      </c>
      <c r="S58" s="246"/>
      <c r="T58" s="528">
        <f t="shared" si="9"/>
        <v>1710</v>
      </c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</row>
    <row r="59" spans="1:40" x14ac:dyDescent="0.2">
      <c r="A59" s="454" t="s">
        <v>574</v>
      </c>
      <c r="B59" s="147" t="s">
        <v>1064</v>
      </c>
      <c r="C59" s="499"/>
      <c r="D59" s="475">
        <f>OtherInc!C30</f>
        <v>-7</v>
      </c>
      <c r="E59" s="475">
        <f>OtherInc!D30</f>
        <v>-7</v>
      </c>
      <c r="F59" s="475">
        <f>OtherInc!E30</f>
        <v>-7</v>
      </c>
      <c r="G59" s="475">
        <f>OtherInc!F30</f>
        <v>-7</v>
      </c>
      <c r="H59" s="475">
        <f>OtherInc!G30</f>
        <v>-7</v>
      </c>
      <c r="I59" s="475">
        <f>OtherInc!H30</f>
        <v>-7</v>
      </c>
      <c r="J59" s="475">
        <f>OtherInc!I30</f>
        <v>-7</v>
      </c>
      <c r="K59" s="475">
        <f>OtherInc!J30</f>
        <v>-7</v>
      </c>
      <c r="L59" s="475">
        <f>OtherInc!K30</f>
        <v>-7</v>
      </c>
      <c r="M59" s="475">
        <f>OtherInc!L30</f>
        <v>-7</v>
      </c>
      <c r="N59" s="475">
        <f>OtherInc!M30</f>
        <v>-7</v>
      </c>
      <c r="O59" s="475">
        <f>OtherInc!N30</f>
        <v>-7</v>
      </c>
      <c r="P59" s="246">
        <f t="shared" si="10"/>
        <v>-84</v>
      </c>
      <c r="Q59" s="247">
        <f t="shared" si="3"/>
        <v>-14</v>
      </c>
      <c r="R59" s="246">
        <f t="shared" si="11"/>
        <v>-70</v>
      </c>
      <c r="S59" s="246"/>
      <c r="T59" s="528">
        <f t="shared" si="9"/>
        <v>-84</v>
      </c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</row>
    <row r="60" spans="1:40" x14ac:dyDescent="0.2">
      <c r="A60" s="454" t="s">
        <v>574</v>
      </c>
      <c r="B60" s="147" t="s">
        <v>3</v>
      </c>
      <c r="C60" s="499"/>
      <c r="D60" s="246">
        <f>OtherInc!C33</f>
        <v>0</v>
      </c>
      <c r="E60" s="246">
        <f>OtherInc!D33</f>
        <v>0</v>
      </c>
      <c r="F60" s="246">
        <f>OtherInc!E33</f>
        <v>0</v>
      </c>
      <c r="G60" s="246">
        <f>OtherInc!F33</f>
        <v>0</v>
      </c>
      <c r="H60" s="246">
        <f>OtherInc!G33</f>
        <v>0</v>
      </c>
      <c r="I60" s="246">
        <f>OtherInc!H33</f>
        <v>0</v>
      </c>
      <c r="J60" s="246">
        <f>OtherInc!I33</f>
        <v>0</v>
      </c>
      <c r="K60" s="246">
        <f>OtherInc!J33</f>
        <v>0</v>
      </c>
      <c r="L60" s="246">
        <f>OtherInc!K33</f>
        <v>0</v>
      </c>
      <c r="M60" s="246">
        <f>OtherInc!L33</f>
        <v>0</v>
      </c>
      <c r="N60" s="246">
        <f>OtherInc!M33</f>
        <v>0</v>
      </c>
      <c r="O60" s="246">
        <f>OtherInc!N33</f>
        <v>0</v>
      </c>
      <c r="P60" s="246">
        <f t="shared" si="10"/>
        <v>0</v>
      </c>
      <c r="Q60" s="247">
        <f t="shared" si="3"/>
        <v>0</v>
      </c>
      <c r="R60" s="246">
        <f t="shared" si="11"/>
        <v>0</v>
      </c>
      <c r="S60" s="246"/>
      <c r="T60" s="528">
        <f t="shared" si="9"/>
        <v>0</v>
      </c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</row>
    <row r="61" spans="1:40" x14ac:dyDescent="0.2">
      <c r="A61" s="454"/>
      <c r="B61" s="450" t="s">
        <v>910</v>
      </c>
      <c r="C61" s="499" t="s">
        <v>516</v>
      </c>
      <c r="D61" s="474">
        <v>0</v>
      </c>
      <c r="E61" s="474">
        <v>0</v>
      </c>
      <c r="F61" s="474">
        <v>0</v>
      </c>
      <c r="G61" s="474">
        <v>0</v>
      </c>
      <c r="H61" s="474">
        <v>0</v>
      </c>
      <c r="I61" s="474">
        <v>0</v>
      </c>
      <c r="J61" s="474">
        <v>0</v>
      </c>
      <c r="K61" s="474">
        <v>0</v>
      </c>
      <c r="L61" s="474">
        <v>0</v>
      </c>
      <c r="M61" s="474">
        <v>0</v>
      </c>
      <c r="N61" s="474">
        <v>0</v>
      </c>
      <c r="O61" s="474">
        <v>0</v>
      </c>
      <c r="P61" s="246">
        <f t="shared" si="10"/>
        <v>0</v>
      </c>
      <c r="Q61" s="247">
        <f t="shared" si="3"/>
        <v>0</v>
      </c>
      <c r="R61" s="246">
        <f t="shared" si="11"/>
        <v>0</v>
      </c>
      <c r="S61" s="246"/>
      <c r="T61" s="528">
        <f t="shared" si="9"/>
        <v>0</v>
      </c>
      <c r="U61" s="247"/>
      <c r="V61" s="247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</row>
    <row r="62" spans="1:40" x14ac:dyDescent="0.2">
      <c r="A62" s="454"/>
      <c r="B62" s="450" t="s">
        <v>910</v>
      </c>
      <c r="C62" s="499" t="s">
        <v>516</v>
      </c>
      <c r="D62" s="474">
        <v>0</v>
      </c>
      <c r="E62" s="474">
        <v>0</v>
      </c>
      <c r="F62" s="474">
        <v>0</v>
      </c>
      <c r="G62" s="474">
        <v>0</v>
      </c>
      <c r="H62" s="474">
        <v>0</v>
      </c>
      <c r="I62" s="474">
        <v>0</v>
      </c>
      <c r="J62" s="474">
        <v>0</v>
      </c>
      <c r="K62" s="474">
        <v>0</v>
      </c>
      <c r="L62" s="474">
        <v>0</v>
      </c>
      <c r="M62" s="474">
        <v>0</v>
      </c>
      <c r="N62" s="474">
        <v>0</v>
      </c>
      <c r="O62" s="474">
        <v>0</v>
      </c>
      <c r="P62" s="246">
        <f t="shared" si="10"/>
        <v>0</v>
      </c>
      <c r="Q62" s="247">
        <f t="shared" si="3"/>
        <v>0</v>
      </c>
      <c r="R62" s="246">
        <f t="shared" si="11"/>
        <v>0</v>
      </c>
      <c r="S62" s="246"/>
      <c r="T62" s="528">
        <f t="shared" si="9"/>
        <v>0</v>
      </c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</row>
    <row r="63" spans="1:40" x14ac:dyDescent="0.2">
      <c r="A63" s="455"/>
      <c r="B63" s="450" t="s">
        <v>910</v>
      </c>
      <c r="C63" s="499" t="s">
        <v>516</v>
      </c>
      <c r="D63" s="474">
        <v>0</v>
      </c>
      <c r="E63" s="474">
        <v>0</v>
      </c>
      <c r="F63" s="474">
        <v>0</v>
      </c>
      <c r="G63" s="474">
        <v>0</v>
      </c>
      <c r="H63" s="474">
        <v>0</v>
      </c>
      <c r="I63" s="474">
        <v>0</v>
      </c>
      <c r="J63" s="474">
        <v>0</v>
      </c>
      <c r="K63" s="474">
        <v>0</v>
      </c>
      <c r="L63" s="474">
        <v>0</v>
      </c>
      <c r="M63" s="474">
        <v>0</v>
      </c>
      <c r="N63" s="474">
        <v>0</v>
      </c>
      <c r="O63" s="474">
        <v>0</v>
      </c>
      <c r="P63" s="246">
        <f t="shared" si="10"/>
        <v>0</v>
      </c>
      <c r="Q63" s="247">
        <f t="shared" si="3"/>
        <v>0</v>
      </c>
      <c r="R63" s="246">
        <f t="shared" si="11"/>
        <v>0</v>
      </c>
      <c r="S63" s="246"/>
      <c r="T63" s="528">
        <f t="shared" si="9"/>
        <v>0</v>
      </c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</row>
    <row r="64" spans="1:40" x14ac:dyDescent="0.2">
      <c r="A64" s="454"/>
      <c r="B64" s="450" t="s">
        <v>910</v>
      </c>
      <c r="C64" s="499" t="s">
        <v>516</v>
      </c>
      <c r="D64" s="474">
        <v>0</v>
      </c>
      <c r="E64" s="474">
        <v>0</v>
      </c>
      <c r="F64" s="474">
        <v>0</v>
      </c>
      <c r="G64" s="474">
        <v>0</v>
      </c>
      <c r="H64" s="474">
        <v>0</v>
      </c>
      <c r="I64" s="474">
        <v>0</v>
      </c>
      <c r="J64" s="474">
        <v>0</v>
      </c>
      <c r="K64" s="474">
        <v>0</v>
      </c>
      <c r="L64" s="474">
        <v>0</v>
      </c>
      <c r="M64" s="474">
        <v>0</v>
      </c>
      <c r="N64" s="474">
        <v>0</v>
      </c>
      <c r="O64" s="474">
        <v>0</v>
      </c>
      <c r="P64" s="246">
        <f t="shared" si="10"/>
        <v>0</v>
      </c>
      <c r="Q64" s="247">
        <f t="shared" si="3"/>
        <v>0</v>
      </c>
      <c r="R64" s="246">
        <f t="shared" si="11"/>
        <v>0</v>
      </c>
      <c r="S64" s="246"/>
      <c r="T64" s="528">
        <f t="shared" ref="T64:T73" si="12">SUM(D64:O64)</f>
        <v>0</v>
      </c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</row>
    <row r="65" spans="1:40" x14ac:dyDescent="0.2">
      <c r="A65" s="454"/>
      <c r="B65" s="450" t="s">
        <v>910</v>
      </c>
      <c r="C65" s="499" t="s">
        <v>516</v>
      </c>
      <c r="D65" s="474">
        <v>0</v>
      </c>
      <c r="E65" s="474">
        <v>0</v>
      </c>
      <c r="F65" s="474">
        <v>0</v>
      </c>
      <c r="G65" s="474">
        <v>0</v>
      </c>
      <c r="H65" s="474">
        <v>0</v>
      </c>
      <c r="I65" s="474">
        <v>0</v>
      </c>
      <c r="J65" s="474">
        <v>0</v>
      </c>
      <c r="K65" s="474">
        <v>0</v>
      </c>
      <c r="L65" s="474">
        <v>0</v>
      </c>
      <c r="M65" s="474">
        <v>0</v>
      </c>
      <c r="N65" s="474">
        <v>0</v>
      </c>
      <c r="O65" s="474">
        <v>0</v>
      </c>
      <c r="P65" s="246">
        <f t="shared" si="10"/>
        <v>0</v>
      </c>
      <c r="Q65" s="247">
        <f t="shared" si="3"/>
        <v>0</v>
      </c>
      <c r="R65" s="246">
        <f t="shared" si="11"/>
        <v>0</v>
      </c>
      <c r="S65" s="246"/>
      <c r="T65" s="528">
        <f t="shared" si="12"/>
        <v>0</v>
      </c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</row>
    <row r="66" spans="1:40" x14ac:dyDescent="0.2">
      <c r="A66" s="454"/>
      <c r="B66" s="450" t="s">
        <v>910</v>
      </c>
      <c r="C66" s="499" t="s">
        <v>516</v>
      </c>
      <c r="D66" s="474">
        <v>0</v>
      </c>
      <c r="E66" s="474">
        <v>0</v>
      </c>
      <c r="F66" s="474">
        <v>0</v>
      </c>
      <c r="G66" s="474">
        <v>0</v>
      </c>
      <c r="H66" s="474">
        <v>0</v>
      </c>
      <c r="I66" s="474">
        <v>0</v>
      </c>
      <c r="J66" s="474">
        <v>0</v>
      </c>
      <c r="K66" s="474">
        <v>0</v>
      </c>
      <c r="L66" s="474">
        <v>0</v>
      </c>
      <c r="M66" s="474">
        <v>0</v>
      </c>
      <c r="N66" s="474">
        <v>0</v>
      </c>
      <c r="O66" s="474">
        <v>0</v>
      </c>
      <c r="P66" s="246">
        <f t="shared" si="10"/>
        <v>0</v>
      </c>
      <c r="Q66" s="247">
        <f t="shared" si="3"/>
        <v>0</v>
      </c>
      <c r="R66" s="246">
        <f t="shared" si="11"/>
        <v>0</v>
      </c>
      <c r="S66" s="246"/>
      <c r="T66" s="528">
        <f t="shared" si="12"/>
        <v>0</v>
      </c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</row>
    <row r="67" spans="1:40" x14ac:dyDescent="0.2">
      <c r="A67" s="455"/>
      <c r="B67" s="450" t="s">
        <v>910</v>
      </c>
      <c r="C67" s="499" t="s">
        <v>516</v>
      </c>
      <c r="D67" s="474">
        <v>0</v>
      </c>
      <c r="E67" s="474">
        <v>0</v>
      </c>
      <c r="F67" s="474">
        <v>0</v>
      </c>
      <c r="G67" s="474">
        <v>0</v>
      </c>
      <c r="H67" s="474">
        <v>0</v>
      </c>
      <c r="I67" s="474">
        <v>0</v>
      </c>
      <c r="J67" s="474">
        <v>0</v>
      </c>
      <c r="K67" s="474">
        <v>0</v>
      </c>
      <c r="L67" s="474">
        <v>0</v>
      </c>
      <c r="M67" s="474">
        <v>0</v>
      </c>
      <c r="N67" s="474">
        <v>0</v>
      </c>
      <c r="O67" s="474">
        <v>0</v>
      </c>
      <c r="P67" s="246">
        <f t="shared" si="10"/>
        <v>0</v>
      </c>
      <c r="Q67" s="247">
        <f t="shared" si="3"/>
        <v>0</v>
      </c>
      <c r="R67" s="246">
        <f t="shared" si="11"/>
        <v>0</v>
      </c>
      <c r="S67" s="246"/>
      <c r="T67" s="528">
        <f t="shared" si="12"/>
        <v>0</v>
      </c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</row>
    <row r="68" spans="1:40" x14ac:dyDescent="0.2">
      <c r="A68" s="455"/>
      <c r="B68" s="450" t="s">
        <v>910</v>
      </c>
      <c r="C68" s="499" t="s">
        <v>516</v>
      </c>
      <c r="D68" s="474">
        <v>0</v>
      </c>
      <c r="E68" s="474">
        <v>0</v>
      </c>
      <c r="F68" s="474">
        <v>0</v>
      </c>
      <c r="G68" s="474">
        <v>0</v>
      </c>
      <c r="H68" s="474">
        <v>0</v>
      </c>
      <c r="I68" s="474">
        <v>0</v>
      </c>
      <c r="J68" s="474">
        <v>0</v>
      </c>
      <c r="K68" s="474">
        <v>0</v>
      </c>
      <c r="L68" s="474">
        <v>0</v>
      </c>
      <c r="M68" s="474">
        <v>0</v>
      </c>
      <c r="N68" s="474">
        <v>0</v>
      </c>
      <c r="O68" s="474">
        <v>0</v>
      </c>
      <c r="P68" s="246">
        <f t="shared" si="10"/>
        <v>0</v>
      </c>
      <c r="Q68" s="247">
        <f t="shared" si="3"/>
        <v>0</v>
      </c>
      <c r="R68" s="246">
        <f t="shared" si="11"/>
        <v>0</v>
      </c>
      <c r="S68" s="246"/>
      <c r="T68" s="528">
        <f t="shared" si="12"/>
        <v>0</v>
      </c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</row>
    <row r="69" spans="1:40" x14ac:dyDescent="0.2">
      <c r="A69" s="454"/>
      <c r="B69" s="450" t="s">
        <v>910</v>
      </c>
      <c r="C69" s="499" t="s">
        <v>516</v>
      </c>
      <c r="D69" s="474">
        <v>0</v>
      </c>
      <c r="E69" s="474">
        <v>0</v>
      </c>
      <c r="F69" s="474">
        <v>0</v>
      </c>
      <c r="G69" s="474">
        <v>0</v>
      </c>
      <c r="H69" s="474">
        <v>0</v>
      </c>
      <c r="I69" s="474">
        <v>0</v>
      </c>
      <c r="J69" s="474">
        <v>0</v>
      </c>
      <c r="K69" s="474">
        <v>0</v>
      </c>
      <c r="L69" s="474">
        <v>0</v>
      </c>
      <c r="M69" s="474">
        <v>0</v>
      </c>
      <c r="N69" s="474">
        <v>0</v>
      </c>
      <c r="O69" s="474">
        <v>0</v>
      </c>
      <c r="P69" s="246">
        <f t="shared" si="10"/>
        <v>0</v>
      </c>
      <c r="Q69" s="247">
        <f t="shared" si="3"/>
        <v>0</v>
      </c>
      <c r="R69" s="246">
        <f t="shared" si="11"/>
        <v>0</v>
      </c>
      <c r="S69" s="246"/>
      <c r="T69" s="528">
        <f t="shared" si="12"/>
        <v>0</v>
      </c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</row>
    <row r="70" spans="1:40" x14ac:dyDescent="0.2">
      <c r="A70" s="454"/>
      <c r="B70" s="450" t="s">
        <v>910</v>
      </c>
      <c r="C70" s="499" t="s">
        <v>516</v>
      </c>
      <c r="D70" s="474">
        <v>0</v>
      </c>
      <c r="E70" s="474">
        <v>0</v>
      </c>
      <c r="F70" s="474">
        <v>0</v>
      </c>
      <c r="G70" s="474">
        <v>0</v>
      </c>
      <c r="H70" s="474">
        <v>0</v>
      </c>
      <c r="I70" s="474">
        <v>0</v>
      </c>
      <c r="J70" s="474">
        <v>0</v>
      </c>
      <c r="K70" s="474">
        <v>0</v>
      </c>
      <c r="L70" s="474">
        <v>0</v>
      </c>
      <c r="M70" s="474">
        <v>0</v>
      </c>
      <c r="N70" s="474">
        <v>0</v>
      </c>
      <c r="O70" s="474">
        <v>0</v>
      </c>
      <c r="P70" s="246">
        <f t="shared" si="10"/>
        <v>0</v>
      </c>
      <c r="Q70" s="247">
        <f t="shared" si="3"/>
        <v>0</v>
      </c>
      <c r="R70" s="246">
        <f t="shared" si="11"/>
        <v>0</v>
      </c>
      <c r="S70" s="246"/>
      <c r="T70" s="528">
        <f t="shared" si="12"/>
        <v>0</v>
      </c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</row>
    <row r="71" spans="1:40" x14ac:dyDescent="0.2">
      <c r="A71" s="454"/>
      <c r="B71" s="450" t="s">
        <v>910</v>
      </c>
      <c r="C71" s="499" t="s">
        <v>516</v>
      </c>
      <c r="D71" s="502">
        <v>0</v>
      </c>
      <c r="E71" s="502">
        <v>0</v>
      </c>
      <c r="F71" s="502">
        <v>0</v>
      </c>
      <c r="G71" s="502">
        <v>0</v>
      </c>
      <c r="H71" s="502">
        <v>0</v>
      </c>
      <c r="I71" s="502">
        <v>0</v>
      </c>
      <c r="J71" s="502">
        <v>0</v>
      </c>
      <c r="K71" s="502">
        <v>0</v>
      </c>
      <c r="L71" s="502">
        <v>0</v>
      </c>
      <c r="M71" s="502">
        <v>0</v>
      </c>
      <c r="N71" s="502">
        <v>0</v>
      </c>
      <c r="O71" s="502">
        <v>0</v>
      </c>
      <c r="P71" s="249">
        <f>SUM(D71:O71)</f>
        <v>0</v>
      </c>
      <c r="Q71" s="268">
        <f t="shared" si="3"/>
        <v>0</v>
      </c>
      <c r="R71" s="249">
        <f>P71-Q71</f>
        <v>0</v>
      </c>
      <c r="S71" s="247"/>
      <c r="T71" s="529">
        <f t="shared" si="12"/>
        <v>0</v>
      </c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</row>
    <row r="72" spans="1:40" ht="3.95" customHeight="1" x14ac:dyDescent="0.2">
      <c r="A72" s="454"/>
      <c r="B72" s="252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68"/>
      <c r="R72" s="249"/>
      <c r="S72" s="247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</row>
    <row r="73" spans="1:40" x14ac:dyDescent="0.2">
      <c r="A73" s="454"/>
      <c r="B73" s="459" t="s">
        <v>597</v>
      </c>
      <c r="C73" s="239"/>
      <c r="D73" s="458">
        <f>SUM(D8:D71)</f>
        <v>26043</v>
      </c>
      <c r="E73" s="458">
        <f t="shared" ref="E73:R73" si="13">SUM(E8:E71)</f>
        <v>23259</v>
      </c>
      <c r="F73" s="458">
        <f t="shared" si="13"/>
        <v>25388</v>
      </c>
      <c r="G73" s="458">
        <f t="shared" si="13"/>
        <v>24863</v>
      </c>
      <c r="H73" s="458">
        <f t="shared" si="13"/>
        <v>26001</v>
      </c>
      <c r="I73" s="458">
        <f t="shared" si="13"/>
        <v>27018</v>
      </c>
      <c r="J73" s="458">
        <f t="shared" si="13"/>
        <v>28910</v>
      </c>
      <c r="K73" s="458">
        <f t="shared" si="13"/>
        <v>28683</v>
      </c>
      <c r="L73" s="458">
        <f t="shared" si="13"/>
        <v>30858</v>
      </c>
      <c r="M73" s="458">
        <f t="shared" si="13"/>
        <v>28591</v>
      </c>
      <c r="N73" s="458">
        <f t="shared" si="13"/>
        <v>26760</v>
      </c>
      <c r="O73" s="458">
        <f t="shared" si="13"/>
        <v>29098</v>
      </c>
      <c r="P73" s="458">
        <f t="shared" si="13"/>
        <v>325472</v>
      </c>
      <c r="Q73" s="458">
        <f t="shared" si="13"/>
        <v>49302</v>
      </c>
      <c r="R73" s="458">
        <f t="shared" si="13"/>
        <v>276170</v>
      </c>
      <c r="S73" s="251"/>
      <c r="T73" s="528">
        <f t="shared" si="12"/>
        <v>325472</v>
      </c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</row>
    <row r="74" spans="1:40" ht="3.95" customHeight="1" x14ac:dyDescent="0.2">
      <c r="A74" s="239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250"/>
      <c r="V74" s="250"/>
      <c r="W74" s="250"/>
      <c r="X74" s="250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</row>
    <row r="75" spans="1:40" x14ac:dyDescent="0.2">
      <c r="A75" s="248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7">
        <f>SUM(D73:O73)</f>
        <v>325472</v>
      </c>
      <c r="Q75" s="247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</row>
    <row r="76" spans="1:40" ht="8.1" customHeight="1" x14ac:dyDescent="0.2"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</row>
    <row r="77" spans="1:40" x14ac:dyDescent="0.2">
      <c r="A77" s="248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</row>
    <row r="78" spans="1:40" x14ac:dyDescent="0.2">
      <c r="A78" s="245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</row>
    <row r="79" spans="1:40" x14ac:dyDescent="0.2">
      <c r="A79" s="248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</row>
    <row r="80" spans="1:40" x14ac:dyDescent="0.2">
      <c r="A80" s="248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</row>
    <row r="81" spans="1:40" x14ac:dyDescent="0.2">
      <c r="A81" s="248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</row>
    <row r="82" spans="1:40" x14ac:dyDescent="0.2">
      <c r="A82" s="248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</row>
    <row r="83" spans="1:40" x14ac:dyDescent="0.2">
      <c r="A83" s="248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</row>
    <row r="84" spans="1:40" x14ac:dyDescent="0.2">
      <c r="A84" s="248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</row>
    <row r="85" spans="1:40" x14ac:dyDescent="0.2">
      <c r="A85" s="248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</row>
    <row r="86" spans="1:40" x14ac:dyDescent="0.2">
      <c r="A86" s="248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</row>
    <row r="87" spans="1:40" x14ac:dyDescent="0.2">
      <c r="A87" s="248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</row>
    <row r="88" spans="1:40" x14ac:dyDescent="0.2">
      <c r="A88" s="248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</row>
    <row r="89" spans="1:40" x14ac:dyDescent="0.2"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</row>
    <row r="90" spans="1:40" x14ac:dyDescent="0.2"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</row>
    <row r="91" spans="1:40" x14ac:dyDescent="0.2"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</row>
    <row r="92" spans="1:40" x14ac:dyDescent="0.2"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</row>
    <row r="93" spans="1:40" x14ac:dyDescent="0.2"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</row>
    <row r="94" spans="1:40" x14ac:dyDescent="0.2"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</row>
    <row r="95" spans="1:40" x14ac:dyDescent="0.2"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</row>
    <row r="96" spans="1:40" x14ac:dyDescent="0.2"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</row>
    <row r="97" spans="4:40" x14ac:dyDescent="0.2"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</row>
    <row r="98" spans="4:40" x14ac:dyDescent="0.2"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</row>
    <row r="99" spans="4:40" x14ac:dyDescent="0.2"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</row>
    <row r="100" spans="4:40" x14ac:dyDescent="0.2"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</row>
    <row r="101" spans="4:40" x14ac:dyDescent="0.2"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</row>
    <row r="102" spans="4:40" x14ac:dyDescent="0.2"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</row>
    <row r="103" spans="4:40" x14ac:dyDescent="0.2"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</row>
    <row r="104" spans="4:40" x14ac:dyDescent="0.2"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N104" s="246"/>
    </row>
    <row r="105" spans="4:40" x14ac:dyDescent="0.2"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6"/>
    </row>
    <row r="106" spans="4:40" x14ac:dyDescent="0.2"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N106" s="246"/>
    </row>
    <row r="107" spans="4:40" x14ac:dyDescent="0.2"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N107" s="246"/>
    </row>
    <row r="108" spans="4:40" x14ac:dyDescent="0.2"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N108" s="246"/>
    </row>
    <row r="109" spans="4:40" x14ac:dyDescent="0.2"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N109" s="246"/>
    </row>
    <row r="110" spans="4:40" x14ac:dyDescent="0.2"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</row>
    <row r="111" spans="4:40" x14ac:dyDescent="0.2"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</row>
    <row r="112" spans="4:40" x14ac:dyDescent="0.2"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</row>
    <row r="113" spans="4:40" x14ac:dyDescent="0.2"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</row>
    <row r="114" spans="4:40" x14ac:dyDescent="0.2"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</row>
    <row r="115" spans="4:40" x14ac:dyDescent="0.2"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</row>
    <row r="116" spans="4:40" x14ac:dyDescent="0.2"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</row>
    <row r="117" spans="4:40" x14ac:dyDescent="0.2"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</row>
    <row r="118" spans="4:40" x14ac:dyDescent="0.2"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</row>
    <row r="119" spans="4:40" x14ac:dyDescent="0.2"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</row>
    <row r="120" spans="4:40" x14ac:dyDescent="0.2"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</row>
    <row r="121" spans="4:40" x14ac:dyDescent="0.2"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</row>
    <row r="122" spans="4:40" x14ac:dyDescent="0.2"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</row>
    <row r="123" spans="4:40" x14ac:dyDescent="0.2"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</row>
    <row r="124" spans="4:40" x14ac:dyDescent="0.2"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</row>
    <row r="125" spans="4:40" x14ac:dyDescent="0.2"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</row>
    <row r="126" spans="4:40" x14ac:dyDescent="0.2"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</row>
    <row r="127" spans="4:40" x14ac:dyDescent="0.2"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</row>
    <row r="128" spans="4:40" x14ac:dyDescent="0.2"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</row>
    <row r="129" spans="4:40" x14ac:dyDescent="0.2"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</row>
    <row r="130" spans="4:40" x14ac:dyDescent="0.2"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</row>
    <row r="131" spans="4:40" x14ac:dyDescent="0.2"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</row>
    <row r="132" spans="4:40" x14ac:dyDescent="0.2"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</row>
    <row r="133" spans="4:40" x14ac:dyDescent="0.2"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</row>
    <row r="134" spans="4:40" x14ac:dyDescent="0.2"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</row>
    <row r="135" spans="4:40" x14ac:dyDescent="0.2"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</row>
    <row r="136" spans="4:40" x14ac:dyDescent="0.2"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</row>
    <row r="137" spans="4:40" x14ac:dyDescent="0.2"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</row>
    <row r="138" spans="4:40" x14ac:dyDescent="0.2"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</row>
    <row r="139" spans="4:40" x14ac:dyDescent="0.2"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</row>
    <row r="140" spans="4:40" x14ac:dyDescent="0.2"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</row>
    <row r="141" spans="4:40" x14ac:dyDescent="0.2"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</row>
    <row r="142" spans="4:40" x14ac:dyDescent="0.2"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</row>
    <row r="143" spans="4:40" x14ac:dyDescent="0.2"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</row>
    <row r="144" spans="4:40" x14ac:dyDescent="0.2"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</row>
    <row r="145" spans="4:40" x14ac:dyDescent="0.2"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</row>
    <row r="146" spans="4:40" x14ac:dyDescent="0.2"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</row>
    <row r="147" spans="4:40" x14ac:dyDescent="0.2"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</row>
    <row r="148" spans="4:40" x14ac:dyDescent="0.2"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</row>
  </sheetData>
  <phoneticPr fontId="0" type="noConversion"/>
  <printOptions horizontalCentered="1" gridLinesSet="0"/>
  <pageMargins left="0.25" right="0.25" top="0.25" bottom="0.25" header="0.17" footer="0.23"/>
  <pageSetup paperSize="5" scale="63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542925</xdr:colOff>
                    <xdr:row>2</xdr:row>
                    <xdr:rowOff>95250</xdr:rowOff>
                  </from>
                  <to>
                    <xdr:col>1</xdr:col>
                    <xdr:colOff>1647825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 fitToPage="1"/>
  </sheetPr>
  <dimension ref="A1:U41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0.7109375" defaultRowHeight="12.75" x14ac:dyDescent="0.2"/>
  <cols>
    <col min="1" max="1" width="45.7109375" style="1" customWidth="1"/>
    <col min="2" max="2" width="8.7109375" style="722" customWidth="1"/>
    <col min="3" max="14" width="8.7109375" style="1" customWidth="1"/>
    <col min="15" max="17" width="9.7109375" style="1" customWidth="1"/>
    <col min="18" max="20" width="10.7109375" style="1"/>
    <col min="21" max="21" width="35.7109375" style="1" customWidth="1"/>
    <col min="22" max="16384" width="10.7109375" style="1"/>
  </cols>
  <sheetData>
    <row r="1" spans="1:19" x14ac:dyDescent="0.2">
      <c r="A1" s="548" t="str">
        <f ca="1">CELL("FILENAME")</f>
        <v>P:\Finance\2002 Plan\[EMTW02PL.XLS]IncomeState</v>
      </c>
      <c r="B1" s="714"/>
      <c r="C1" s="269"/>
      <c r="D1" s="269"/>
      <c r="E1" s="270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x14ac:dyDescent="0.2">
      <c r="A2" s="271" t="s">
        <v>607</v>
      </c>
      <c r="B2" s="714"/>
      <c r="C2" s="472"/>
      <c r="D2" s="272" t="s">
        <v>608</v>
      </c>
      <c r="E2" s="272" t="s">
        <v>608</v>
      </c>
      <c r="F2" s="272" t="s">
        <v>608</v>
      </c>
      <c r="G2" s="482"/>
      <c r="H2" s="272" t="s">
        <v>608</v>
      </c>
      <c r="I2" s="270"/>
      <c r="J2" s="270"/>
      <c r="K2" s="270"/>
      <c r="L2" s="270"/>
      <c r="M2" s="270"/>
      <c r="N2" s="270"/>
      <c r="O2" s="273"/>
      <c r="P2" s="273"/>
      <c r="Q2" s="273"/>
    </row>
    <row r="3" spans="1:19" x14ac:dyDescent="0.2">
      <c r="A3" s="547" t="str">
        <f>IncomeState!A3</f>
        <v>2002 OPERATING PLAN</v>
      </c>
      <c r="B3" s="715">
        <f ca="1">NOW()</f>
        <v>37189.6149224537</v>
      </c>
      <c r="C3" s="549" t="str">
        <f>DataBase!C2</f>
        <v>PLAN</v>
      </c>
      <c r="D3" s="549" t="str">
        <f>DataBase!D2</f>
        <v>PLAN</v>
      </c>
      <c r="E3" s="549" t="str">
        <f>DataBase!E2</f>
        <v>PLAN</v>
      </c>
      <c r="F3" s="549" t="str">
        <f>DataBase!F2</f>
        <v>PLAN</v>
      </c>
      <c r="G3" s="549" t="str">
        <f>DataBase!G2</f>
        <v>PLAN</v>
      </c>
      <c r="H3" s="549" t="str">
        <f>DataBase!H2</f>
        <v>PLAN</v>
      </c>
      <c r="I3" s="549" t="str">
        <f>DataBase!I2</f>
        <v>PLAN</v>
      </c>
      <c r="J3" s="549" t="str">
        <f>DataBase!J2</f>
        <v>PLAN</v>
      </c>
      <c r="K3" s="549" t="str">
        <f>DataBase!K2</f>
        <v>PLAN</v>
      </c>
      <c r="L3" s="549" t="str">
        <f>DataBase!L2</f>
        <v>PLAN</v>
      </c>
      <c r="M3" s="549" t="str">
        <f>DataBase!M2</f>
        <v>PLAN</v>
      </c>
      <c r="N3" s="549" t="str">
        <f>DataBase!N2</f>
        <v>PLAN</v>
      </c>
      <c r="O3" s="549" t="str">
        <f>DataBase!O2</f>
        <v>TOTAL</v>
      </c>
      <c r="P3" s="682" t="str">
        <f>IncomeState!P6</f>
        <v>FEB.</v>
      </c>
      <c r="Q3" s="549" t="str">
        <f>IncomeState!Q6</f>
        <v>ESTIMATE</v>
      </c>
      <c r="S3" s="3"/>
    </row>
    <row r="4" spans="1:19" x14ac:dyDescent="0.2">
      <c r="A4" s="274"/>
      <c r="B4" s="716">
        <f ca="1">NOW()</f>
        <v>37189.6149224537</v>
      </c>
      <c r="C4" s="286" t="s">
        <v>609</v>
      </c>
      <c r="D4" s="286" t="s">
        <v>610</v>
      </c>
      <c r="E4" s="286" t="s">
        <v>611</v>
      </c>
      <c r="F4" s="286" t="s">
        <v>612</v>
      </c>
      <c r="G4" s="286" t="s">
        <v>613</v>
      </c>
      <c r="H4" s="286" t="s">
        <v>614</v>
      </c>
      <c r="I4" s="286" t="s">
        <v>615</v>
      </c>
      <c r="J4" s="286" t="s">
        <v>616</v>
      </c>
      <c r="K4" s="286" t="s">
        <v>617</v>
      </c>
      <c r="L4" s="286" t="s">
        <v>618</v>
      </c>
      <c r="M4" s="286" t="s">
        <v>619</v>
      </c>
      <c r="N4" s="286" t="s">
        <v>620</v>
      </c>
      <c r="O4" s="550">
        <f>DataBase!O3</f>
        <v>2002</v>
      </c>
      <c r="P4" s="550" t="str">
        <f>IncomeState!P7</f>
        <v>Y-T-D</v>
      </c>
      <c r="Q4" s="550" t="str">
        <f>IncomeState!Q7</f>
        <v>R.M.</v>
      </c>
      <c r="S4" s="3"/>
    </row>
    <row r="5" spans="1:19" ht="3.95" customHeight="1" x14ac:dyDescent="0.2">
      <c r="A5" s="269"/>
      <c r="B5" s="714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69"/>
      <c r="P5" s="275"/>
      <c r="Q5" s="269"/>
      <c r="S5" s="4"/>
    </row>
    <row r="6" spans="1:19" x14ac:dyDescent="0.2">
      <c r="A6" s="453" t="s">
        <v>989</v>
      </c>
      <c r="B6" s="714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7"/>
      <c r="Q6" s="276"/>
      <c r="R6" s="43"/>
    </row>
    <row r="7" spans="1:19" x14ac:dyDescent="0.2">
      <c r="A7" s="280" t="s">
        <v>990</v>
      </c>
      <c r="B7" s="714"/>
      <c r="C7" s="978">
        <f>DataBase!C7+DataBase!C107</f>
        <v>0</v>
      </c>
      <c r="D7" s="978">
        <f>DataBase!D7+DataBase!D107</f>
        <v>0</v>
      </c>
      <c r="E7" s="978">
        <f>DataBase!E7+DataBase!E107</f>
        <v>0</v>
      </c>
      <c r="F7" s="978">
        <f>DataBase!F7+DataBase!F107</f>
        <v>0</v>
      </c>
      <c r="G7" s="978">
        <f>DataBase!G7+DataBase!G107</f>
        <v>0</v>
      </c>
      <c r="H7" s="978">
        <f>DataBase!H7+DataBase!H107</f>
        <v>0</v>
      </c>
      <c r="I7" s="978">
        <f>DataBase!I7+DataBase!I107</f>
        <v>0</v>
      </c>
      <c r="J7" s="978">
        <f>DataBase!J7+DataBase!J107</f>
        <v>0</v>
      </c>
      <c r="K7" s="978">
        <f>DataBase!K7+DataBase!K107</f>
        <v>0</v>
      </c>
      <c r="L7" s="978">
        <f>DataBase!L7+DataBase!L107</f>
        <v>0</v>
      </c>
      <c r="M7" s="978">
        <f>DataBase!M7+DataBase!M107</f>
        <v>0</v>
      </c>
      <c r="N7" s="978">
        <f>DataBase!N7+DataBase!N107</f>
        <v>0</v>
      </c>
      <c r="O7" s="279">
        <f>SUM(C7:N7)</f>
        <v>0</v>
      </c>
      <c r="P7" s="277">
        <f>SUM(C7:D7)</f>
        <v>0</v>
      </c>
      <c r="Q7" s="279">
        <f>O7-P7</f>
        <v>0</v>
      </c>
      <c r="R7" s="43"/>
      <c r="S7" s="6"/>
    </row>
    <row r="8" spans="1:19" x14ac:dyDescent="0.2">
      <c r="A8" s="977" t="s">
        <v>1011</v>
      </c>
      <c r="B8" s="714"/>
      <c r="C8" s="978">
        <f>DataBase!C8+DataBase!C108</f>
        <v>0</v>
      </c>
      <c r="D8" s="978">
        <f>DataBase!D8+DataBase!D108</f>
        <v>0</v>
      </c>
      <c r="E8" s="978">
        <f>DataBase!E8+DataBase!E108</f>
        <v>0</v>
      </c>
      <c r="F8" s="978">
        <f>DataBase!F8+DataBase!F108</f>
        <v>0</v>
      </c>
      <c r="G8" s="978">
        <f>DataBase!G8+DataBase!G108</f>
        <v>0</v>
      </c>
      <c r="H8" s="978">
        <f>DataBase!H8+DataBase!H108</f>
        <v>0</v>
      </c>
      <c r="I8" s="978">
        <f>DataBase!I8+DataBase!I108</f>
        <v>0</v>
      </c>
      <c r="J8" s="978">
        <f>DataBase!J8+DataBase!J108</f>
        <v>0</v>
      </c>
      <c r="K8" s="978">
        <f>DataBase!K8+DataBase!K108</f>
        <v>0</v>
      </c>
      <c r="L8" s="978">
        <f>DataBase!L8+DataBase!L108</f>
        <v>0</v>
      </c>
      <c r="M8" s="978">
        <f>DataBase!M8+DataBase!M108</f>
        <v>0</v>
      </c>
      <c r="N8" s="978">
        <f>DataBase!N8+DataBase!N108</f>
        <v>0</v>
      </c>
      <c r="O8" s="279">
        <f>SUM(C8:N8)</f>
        <v>0</v>
      </c>
      <c r="P8" s="277">
        <f>SUM(C8:D8)</f>
        <v>0</v>
      </c>
      <c r="Q8" s="279">
        <f>O8-P8</f>
        <v>0</v>
      </c>
      <c r="R8" s="43"/>
      <c r="S8" s="6"/>
    </row>
    <row r="9" spans="1:19" x14ac:dyDescent="0.2">
      <c r="A9" s="280" t="s">
        <v>1000</v>
      </c>
      <c r="B9" s="714"/>
      <c r="C9" s="277">
        <v>0</v>
      </c>
      <c r="D9" s="277">
        <v>0</v>
      </c>
      <c r="E9" s="277">
        <v>0</v>
      </c>
      <c r="F9" s="277">
        <v>0</v>
      </c>
      <c r="G9" s="277">
        <v>0</v>
      </c>
      <c r="H9" s="277">
        <v>0</v>
      </c>
      <c r="I9" s="277">
        <v>0</v>
      </c>
      <c r="J9" s="277">
        <v>0</v>
      </c>
      <c r="K9" s="277">
        <v>0</v>
      </c>
      <c r="L9" s="277">
        <v>0</v>
      </c>
      <c r="M9" s="277">
        <v>0</v>
      </c>
      <c r="N9" s="277">
        <v>0</v>
      </c>
      <c r="O9" s="279">
        <f>SUM(C9:N9)</f>
        <v>0</v>
      </c>
      <c r="P9" s="277">
        <f>SUM(C9:D9)</f>
        <v>0</v>
      </c>
      <c r="Q9" s="279">
        <f>O9-P9</f>
        <v>0</v>
      </c>
      <c r="R9" s="43"/>
      <c r="S9" s="6"/>
    </row>
    <row r="10" spans="1:19" x14ac:dyDescent="0.2">
      <c r="A10" s="636" t="s">
        <v>622</v>
      </c>
      <c r="B10" s="714"/>
      <c r="C10" s="284">
        <v>0</v>
      </c>
      <c r="D10" s="284">
        <v>0</v>
      </c>
      <c r="E10" s="284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4">
        <v>0</v>
      </c>
      <c r="L10" s="284">
        <v>0</v>
      </c>
      <c r="M10" s="284">
        <v>0</v>
      </c>
      <c r="N10" s="284">
        <v>0</v>
      </c>
      <c r="O10" s="281">
        <f>SUM(C10:N10)</f>
        <v>0</v>
      </c>
      <c r="P10" s="284">
        <f>SUM(C10:D10)</f>
        <v>0</v>
      </c>
      <c r="Q10" s="281">
        <f>O10-P10</f>
        <v>0</v>
      </c>
      <c r="R10" s="43"/>
      <c r="S10" s="6"/>
    </row>
    <row r="11" spans="1:19" ht="6" customHeight="1" x14ac:dyDescent="0.2">
      <c r="A11" s="275"/>
      <c r="B11" s="714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6"/>
      <c r="P11" s="277"/>
      <c r="Q11" s="279"/>
      <c r="R11" s="43"/>
    </row>
    <row r="12" spans="1:19" x14ac:dyDescent="0.2">
      <c r="A12" s="453" t="s">
        <v>546</v>
      </c>
      <c r="B12" s="717"/>
      <c r="C12" s="282">
        <f t="shared" ref="C12:Q12" si="0">SUM(C7:C11)</f>
        <v>0</v>
      </c>
      <c r="D12" s="282">
        <f t="shared" si="0"/>
        <v>0</v>
      </c>
      <c r="E12" s="282">
        <f t="shared" si="0"/>
        <v>0</v>
      </c>
      <c r="F12" s="282">
        <f t="shared" si="0"/>
        <v>0</v>
      </c>
      <c r="G12" s="282">
        <f t="shared" si="0"/>
        <v>0</v>
      </c>
      <c r="H12" s="282">
        <f t="shared" si="0"/>
        <v>0</v>
      </c>
      <c r="I12" s="282">
        <f t="shared" si="0"/>
        <v>0</v>
      </c>
      <c r="J12" s="282">
        <f t="shared" si="0"/>
        <v>0</v>
      </c>
      <c r="K12" s="282">
        <f t="shared" si="0"/>
        <v>0</v>
      </c>
      <c r="L12" s="282">
        <f t="shared" si="0"/>
        <v>0</v>
      </c>
      <c r="M12" s="282">
        <f t="shared" si="0"/>
        <v>0</v>
      </c>
      <c r="N12" s="282">
        <f t="shared" si="0"/>
        <v>0</v>
      </c>
      <c r="O12" s="282">
        <f t="shared" si="0"/>
        <v>0</v>
      </c>
      <c r="P12" s="282">
        <f t="shared" si="0"/>
        <v>0</v>
      </c>
      <c r="Q12" s="282">
        <f t="shared" si="0"/>
        <v>0</v>
      </c>
      <c r="R12" s="43"/>
      <c r="S12" s="6"/>
    </row>
    <row r="13" spans="1:19" x14ac:dyDescent="0.2">
      <c r="A13" s="285"/>
      <c r="B13" s="714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6"/>
      <c r="P13" s="277"/>
      <c r="Q13" s="279"/>
      <c r="R13" s="43"/>
    </row>
    <row r="14" spans="1:19" x14ac:dyDescent="0.2">
      <c r="A14" s="654" t="s">
        <v>991</v>
      </c>
      <c r="B14" s="718"/>
      <c r="C14" s="607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43"/>
    </row>
    <row r="15" spans="1:19" x14ac:dyDescent="0.2">
      <c r="A15" s="635" t="s">
        <v>987</v>
      </c>
      <c r="B15" s="718"/>
      <c r="C15" s="608">
        <v>0</v>
      </c>
      <c r="D15" s="608">
        <v>0</v>
      </c>
      <c r="E15" s="854">
        <f>200-200</f>
        <v>0</v>
      </c>
      <c r="F15" s="608">
        <v>0</v>
      </c>
      <c r="G15" s="608">
        <v>0</v>
      </c>
      <c r="H15" s="608">
        <v>0</v>
      </c>
      <c r="I15" s="608">
        <v>0</v>
      </c>
      <c r="J15" s="608">
        <v>0</v>
      </c>
      <c r="K15" s="608">
        <v>0</v>
      </c>
      <c r="L15" s="608">
        <v>0</v>
      </c>
      <c r="M15" s="608">
        <v>0</v>
      </c>
      <c r="N15" s="608">
        <v>0</v>
      </c>
      <c r="O15" s="607">
        <f>SUM(C15:N15)</f>
        <v>0</v>
      </c>
      <c r="P15" s="277">
        <f>SUM(C15:D15)</f>
        <v>0</v>
      </c>
      <c r="Q15" s="607">
        <f>O15-P15</f>
        <v>0</v>
      </c>
      <c r="R15" s="43"/>
    </row>
    <row r="16" spans="1:19" x14ac:dyDescent="0.2">
      <c r="A16" s="635" t="s">
        <v>623</v>
      </c>
      <c r="B16" s="718"/>
      <c r="C16" s="608">
        <f>0</f>
        <v>0</v>
      </c>
      <c r="D16" s="608">
        <f>0</f>
        <v>0</v>
      </c>
      <c r="E16" s="608">
        <f>0</f>
        <v>0</v>
      </c>
      <c r="F16" s="608">
        <f>0</f>
        <v>0</v>
      </c>
      <c r="G16" s="608">
        <f>0</f>
        <v>0</v>
      </c>
      <c r="H16" s="608">
        <f>0</f>
        <v>0</v>
      </c>
      <c r="I16" s="608">
        <f>0</f>
        <v>0</v>
      </c>
      <c r="J16" s="608">
        <f>0</f>
        <v>0</v>
      </c>
      <c r="K16" s="608">
        <f>0</f>
        <v>0</v>
      </c>
      <c r="L16" s="608">
        <f>0</f>
        <v>0</v>
      </c>
      <c r="M16" s="608">
        <f>0</f>
        <v>0</v>
      </c>
      <c r="N16" s="608">
        <f>0</f>
        <v>0</v>
      </c>
      <c r="O16" s="607">
        <f>SUM(C16:N16)</f>
        <v>0</v>
      </c>
      <c r="P16" s="277">
        <f>SUM(C16:D16)</f>
        <v>0</v>
      </c>
      <c r="Q16" s="607">
        <f>O16-P16</f>
        <v>0</v>
      </c>
      <c r="R16" s="43"/>
    </row>
    <row r="17" spans="1:21" x14ac:dyDescent="0.2">
      <c r="A17" s="635" t="s">
        <v>623</v>
      </c>
      <c r="B17" s="718"/>
      <c r="C17" s="606">
        <v>0</v>
      </c>
      <c r="D17" s="606">
        <v>0</v>
      </c>
      <c r="E17" s="606">
        <v>0</v>
      </c>
      <c r="F17" s="606">
        <v>0</v>
      </c>
      <c r="G17" s="606">
        <v>0</v>
      </c>
      <c r="H17" s="606">
        <v>0</v>
      </c>
      <c r="I17" s="606">
        <v>0</v>
      </c>
      <c r="J17" s="606">
        <v>0</v>
      </c>
      <c r="K17" s="606">
        <v>0</v>
      </c>
      <c r="L17" s="606">
        <v>0</v>
      </c>
      <c r="M17" s="606">
        <v>0</v>
      </c>
      <c r="N17" s="606">
        <v>0</v>
      </c>
      <c r="O17" s="607">
        <f>SUM(C17:N17)</f>
        <v>0</v>
      </c>
      <c r="P17" s="277">
        <f>SUM(C17:D17)</f>
        <v>0</v>
      </c>
      <c r="Q17" s="607">
        <f>O17-P17</f>
        <v>0</v>
      </c>
      <c r="R17" s="43"/>
    </row>
    <row r="18" spans="1:21" x14ac:dyDescent="0.2">
      <c r="A18" s="636" t="s">
        <v>622</v>
      </c>
      <c r="B18" s="718"/>
      <c r="C18" s="609">
        <v>0</v>
      </c>
      <c r="D18" s="609">
        <v>0</v>
      </c>
      <c r="E18" s="609">
        <v>0</v>
      </c>
      <c r="F18" s="609">
        <v>0</v>
      </c>
      <c r="G18" s="609">
        <v>0</v>
      </c>
      <c r="H18" s="609">
        <v>0</v>
      </c>
      <c r="I18" s="609">
        <v>0</v>
      </c>
      <c r="J18" s="609">
        <v>0</v>
      </c>
      <c r="K18" s="609">
        <v>0</v>
      </c>
      <c r="L18" s="609">
        <v>0</v>
      </c>
      <c r="M18" s="609">
        <v>0</v>
      </c>
      <c r="N18" s="609">
        <v>0</v>
      </c>
      <c r="O18" s="610">
        <f>SUM(C18:N18)</f>
        <v>0</v>
      </c>
      <c r="P18" s="284">
        <f>SUM(C18:D18)</f>
        <v>0</v>
      </c>
      <c r="Q18" s="610">
        <f>O18-P18</f>
        <v>0</v>
      </c>
      <c r="R18" s="43"/>
    </row>
    <row r="19" spans="1:21" ht="6" customHeight="1" x14ac:dyDescent="0.2">
      <c r="A19" s="637"/>
      <c r="B19" s="718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12"/>
      <c r="P19" s="608"/>
      <c r="Q19" s="612"/>
      <c r="R19" s="43"/>
    </row>
    <row r="20" spans="1:21" x14ac:dyDescent="0.2">
      <c r="A20" s="453" t="s">
        <v>553</v>
      </c>
      <c r="B20" s="719"/>
      <c r="C20" s="282">
        <f>SUM(C15:C19)</f>
        <v>0</v>
      </c>
      <c r="D20" s="282">
        <f t="shared" ref="D20:N20" si="1">SUM(D15:D19)</f>
        <v>0</v>
      </c>
      <c r="E20" s="282">
        <f t="shared" si="1"/>
        <v>0</v>
      </c>
      <c r="F20" s="282">
        <f t="shared" si="1"/>
        <v>0</v>
      </c>
      <c r="G20" s="282">
        <f t="shared" si="1"/>
        <v>0</v>
      </c>
      <c r="H20" s="282">
        <f t="shared" si="1"/>
        <v>0</v>
      </c>
      <c r="I20" s="282">
        <f t="shared" si="1"/>
        <v>0</v>
      </c>
      <c r="J20" s="282">
        <f t="shared" si="1"/>
        <v>0</v>
      </c>
      <c r="K20" s="282">
        <f t="shared" si="1"/>
        <v>0</v>
      </c>
      <c r="L20" s="282">
        <f t="shared" si="1"/>
        <v>0</v>
      </c>
      <c r="M20" s="282">
        <f t="shared" si="1"/>
        <v>0</v>
      </c>
      <c r="N20" s="282">
        <f t="shared" si="1"/>
        <v>0</v>
      </c>
      <c r="O20" s="282">
        <f>SUM(O15:O19)</f>
        <v>0</v>
      </c>
      <c r="P20" s="282">
        <f>SUM(P15:P19)</f>
        <v>0</v>
      </c>
      <c r="Q20" s="282">
        <f>SUM(Q15:Q19)</f>
        <v>0</v>
      </c>
      <c r="R20" s="43"/>
    </row>
    <row r="21" spans="1:21" x14ac:dyDescent="0.2">
      <c r="A21" s="638"/>
      <c r="B21" s="719"/>
      <c r="C21" s="613"/>
      <c r="D21" s="613"/>
      <c r="E21" s="613"/>
      <c r="F21" s="613"/>
      <c r="G21" s="613"/>
      <c r="H21" s="613"/>
      <c r="I21" s="613"/>
      <c r="J21" s="613"/>
      <c r="K21" s="613"/>
      <c r="L21" s="613"/>
      <c r="M21" s="613"/>
      <c r="N21" s="613"/>
      <c r="O21" s="613"/>
      <c r="P21" s="613"/>
      <c r="Q21" s="613"/>
      <c r="R21" s="43"/>
    </row>
    <row r="22" spans="1:21" x14ac:dyDescent="0.2">
      <c r="A22" s="453" t="s">
        <v>992</v>
      </c>
      <c r="B22" s="714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6"/>
      <c r="P22" s="277"/>
      <c r="Q22" s="279"/>
      <c r="R22" s="43"/>
    </row>
    <row r="23" spans="1:21" x14ac:dyDescent="0.2">
      <c r="A23" s="278" t="s">
        <v>626</v>
      </c>
      <c r="B23" s="714"/>
      <c r="C23" s="277">
        <v>0</v>
      </c>
      <c r="D23" s="277">
        <v>0</v>
      </c>
      <c r="E23" s="277">
        <v>0</v>
      </c>
      <c r="F23" s="277">
        <v>0</v>
      </c>
      <c r="G23" s="277">
        <v>0</v>
      </c>
      <c r="H23" s="277">
        <v>0</v>
      </c>
      <c r="I23" s="277">
        <v>0</v>
      </c>
      <c r="J23" s="277">
        <v>0</v>
      </c>
      <c r="K23" s="277">
        <v>0</v>
      </c>
      <c r="L23" s="277">
        <v>0</v>
      </c>
      <c r="M23" s="277">
        <v>0</v>
      </c>
      <c r="N23" s="277">
        <v>0</v>
      </c>
      <c r="O23" s="279">
        <f>SUM(C23:N23)</f>
        <v>0</v>
      </c>
      <c r="P23" s="277">
        <f>SUM(C23:D23)</f>
        <v>0</v>
      </c>
      <c r="Q23" s="279">
        <f>O23-P23</f>
        <v>0</v>
      </c>
      <c r="R23" s="43"/>
    </row>
    <row r="24" spans="1:21" x14ac:dyDescent="0.2">
      <c r="A24" s="278" t="s">
        <v>625</v>
      </c>
      <c r="B24" s="714"/>
      <c r="C24" s="277">
        <v>0</v>
      </c>
      <c r="D24" s="277">
        <v>0</v>
      </c>
      <c r="E24" s="277">
        <v>0</v>
      </c>
      <c r="F24" s="277">
        <v>0</v>
      </c>
      <c r="G24" s="277">
        <v>0</v>
      </c>
      <c r="H24" s="277">
        <v>0</v>
      </c>
      <c r="I24" s="277">
        <v>0</v>
      </c>
      <c r="J24" s="277">
        <v>0</v>
      </c>
      <c r="K24" s="277">
        <v>0</v>
      </c>
      <c r="L24" s="277">
        <v>0</v>
      </c>
      <c r="M24" s="277">
        <v>0</v>
      </c>
      <c r="N24" s="277">
        <v>0</v>
      </c>
      <c r="O24" s="279">
        <f>SUM(C24:N24)</f>
        <v>0</v>
      </c>
      <c r="P24" s="277">
        <f>SUM(C24:D24)</f>
        <v>0</v>
      </c>
      <c r="Q24" s="279">
        <f>O24-P24</f>
        <v>0</v>
      </c>
      <c r="R24" s="43"/>
    </row>
    <row r="25" spans="1:21" x14ac:dyDescent="0.2">
      <c r="A25" s="278" t="s">
        <v>623</v>
      </c>
      <c r="B25" s="714"/>
      <c r="C25" s="277">
        <v>0</v>
      </c>
      <c r="D25" s="277">
        <v>0</v>
      </c>
      <c r="E25" s="277">
        <v>0</v>
      </c>
      <c r="F25" s="277">
        <v>0</v>
      </c>
      <c r="G25" s="277">
        <v>0</v>
      </c>
      <c r="H25" s="277">
        <v>0</v>
      </c>
      <c r="I25" s="277">
        <v>0</v>
      </c>
      <c r="J25" s="277">
        <v>0</v>
      </c>
      <c r="K25" s="277">
        <v>0</v>
      </c>
      <c r="L25" s="277">
        <v>0</v>
      </c>
      <c r="M25" s="277">
        <v>0</v>
      </c>
      <c r="N25" s="277">
        <v>0</v>
      </c>
      <c r="O25" s="279">
        <f>SUM(C25:N25)</f>
        <v>0</v>
      </c>
      <c r="P25" s="277">
        <f>SUM(C25:D25)</f>
        <v>0</v>
      </c>
      <c r="Q25" s="279">
        <f>O25-P25</f>
        <v>0</v>
      </c>
      <c r="R25" s="43"/>
    </row>
    <row r="26" spans="1:21" x14ac:dyDescent="0.2">
      <c r="A26" s="278" t="s">
        <v>623</v>
      </c>
      <c r="B26" s="714"/>
      <c r="C26" s="277">
        <v>0</v>
      </c>
      <c r="D26" s="277">
        <v>0</v>
      </c>
      <c r="E26" s="277">
        <v>0</v>
      </c>
      <c r="F26" s="277">
        <v>0</v>
      </c>
      <c r="G26" s="277">
        <v>0</v>
      </c>
      <c r="H26" s="277">
        <v>0</v>
      </c>
      <c r="I26" s="277">
        <v>0</v>
      </c>
      <c r="J26" s="277">
        <v>0</v>
      </c>
      <c r="K26" s="277">
        <v>0</v>
      </c>
      <c r="L26" s="277">
        <v>0</v>
      </c>
      <c r="M26" s="277">
        <v>0</v>
      </c>
      <c r="N26" s="277">
        <v>0</v>
      </c>
      <c r="O26" s="279">
        <f>SUM(C26:N26)</f>
        <v>0</v>
      </c>
      <c r="P26" s="277">
        <f>SUM(C26:D26)</f>
        <v>0</v>
      </c>
      <c r="Q26" s="279">
        <f>O26-P26</f>
        <v>0</v>
      </c>
      <c r="R26" s="43"/>
    </row>
    <row r="27" spans="1:21" x14ac:dyDescent="0.2">
      <c r="A27" s="280" t="s">
        <v>622</v>
      </c>
      <c r="B27" s="714"/>
      <c r="C27" s="284">
        <v>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1">
        <f>SUM(C27:N27)</f>
        <v>0</v>
      </c>
      <c r="P27" s="284">
        <f>SUM(C27:D27)</f>
        <v>0</v>
      </c>
      <c r="Q27" s="281">
        <f>O27-P27</f>
        <v>0</v>
      </c>
      <c r="R27" s="45"/>
      <c r="S27" s="7"/>
    </row>
    <row r="28" spans="1:21" ht="6" customHeight="1" x14ac:dyDescent="0.2">
      <c r="A28" s="269"/>
      <c r="B28" s="714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6"/>
      <c r="P28" s="277"/>
      <c r="Q28" s="279"/>
      <c r="R28" s="43"/>
    </row>
    <row r="29" spans="1:21" x14ac:dyDescent="0.2">
      <c r="A29" s="453" t="s">
        <v>1040</v>
      </c>
      <c r="B29" s="717"/>
      <c r="C29" s="282">
        <f t="shared" ref="C29:Q29" si="2">SUM(C23:C27)</f>
        <v>0</v>
      </c>
      <c r="D29" s="282">
        <f t="shared" si="2"/>
        <v>0</v>
      </c>
      <c r="E29" s="282">
        <f t="shared" si="2"/>
        <v>0</v>
      </c>
      <c r="F29" s="282">
        <f t="shared" si="2"/>
        <v>0</v>
      </c>
      <c r="G29" s="282">
        <f t="shared" si="2"/>
        <v>0</v>
      </c>
      <c r="H29" s="282">
        <f t="shared" si="2"/>
        <v>0</v>
      </c>
      <c r="I29" s="282">
        <f t="shared" si="2"/>
        <v>0</v>
      </c>
      <c r="J29" s="282">
        <f t="shared" si="2"/>
        <v>0</v>
      </c>
      <c r="K29" s="282">
        <f t="shared" si="2"/>
        <v>0</v>
      </c>
      <c r="L29" s="282">
        <f t="shared" si="2"/>
        <v>0</v>
      </c>
      <c r="M29" s="282">
        <f t="shared" si="2"/>
        <v>0</v>
      </c>
      <c r="N29" s="282">
        <f t="shared" si="2"/>
        <v>0</v>
      </c>
      <c r="O29" s="282">
        <f t="shared" si="2"/>
        <v>0</v>
      </c>
      <c r="P29" s="282">
        <f t="shared" si="2"/>
        <v>0</v>
      </c>
      <c r="Q29" s="282">
        <f t="shared" si="2"/>
        <v>0</v>
      </c>
      <c r="R29" s="44"/>
      <c r="S29" s="2"/>
      <c r="T29" s="2"/>
      <c r="U29" s="2"/>
    </row>
    <row r="30" spans="1:21" ht="9" customHeight="1" x14ac:dyDescent="0.2">
      <c r="A30" s="285"/>
      <c r="B30" s="714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6"/>
      <c r="P30" s="277"/>
      <c r="Q30" s="279"/>
      <c r="R30" s="43"/>
    </row>
    <row r="31" spans="1:21" x14ac:dyDescent="0.2">
      <c r="A31" s="453" t="s">
        <v>683</v>
      </c>
      <c r="B31" s="717"/>
      <c r="C31" s="283">
        <f t="shared" ref="C31:Q31" si="3">ROUND(+C12+C20+C29,0)</f>
        <v>0</v>
      </c>
      <c r="D31" s="283">
        <f t="shared" si="3"/>
        <v>0</v>
      </c>
      <c r="E31" s="283">
        <f t="shared" si="3"/>
        <v>0</v>
      </c>
      <c r="F31" s="283">
        <f t="shared" si="3"/>
        <v>0</v>
      </c>
      <c r="G31" s="283">
        <f t="shared" si="3"/>
        <v>0</v>
      </c>
      <c r="H31" s="283">
        <f t="shared" si="3"/>
        <v>0</v>
      </c>
      <c r="I31" s="283">
        <f t="shared" si="3"/>
        <v>0</v>
      </c>
      <c r="J31" s="283">
        <f t="shared" si="3"/>
        <v>0</v>
      </c>
      <c r="K31" s="283">
        <f t="shared" si="3"/>
        <v>0</v>
      </c>
      <c r="L31" s="283">
        <f t="shared" si="3"/>
        <v>0</v>
      </c>
      <c r="M31" s="283">
        <f t="shared" si="3"/>
        <v>0</v>
      </c>
      <c r="N31" s="283">
        <f t="shared" si="3"/>
        <v>0</v>
      </c>
      <c r="O31" s="283">
        <f t="shared" si="3"/>
        <v>0</v>
      </c>
      <c r="P31" s="283">
        <f t="shared" si="3"/>
        <v>0</v>
      </c>
      <c r="Q31" s="283">
        <f t="shared" si="3"/>
        <v>0</v>
      </c>
      <c r="R31" s="46"/>
      <c r="S31" s="2"/>
    </row>
    <row r="32" spans="1:21" x14ac:dyDescent="0.2">
      <c r="A32" s="275"/>
      <c r="B32" s="714"/>
      <c r="C32" s="276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6"/>
      <c r="P32" s="279"/>
      <c r="Q32" s="279"/>
      <c r="R32" s="5"/>
    </row>
    <row r="33" spans="1:17" x14ac:dyDescent="0.2">
      <c r="A33" s="49"/>
      <c r="B33" s="720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/>
      <c r="P33" s="49"/>
      <c r="Q33" s="50"/>
    </row>
    <row r="34" spans="1:17" x14ac:dyDescent="0.2">
      <c r="A34" s="683" t="s">
        <v>554</v>
      </c>
      <c r="B34" s="720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  <c r="P34" s="49"/>
      <c r="Q34" s="50"/>
    </row>
    <row r="35" spans="1:17" x14ac:dyDescent="0.2">
      <c r="A35" s="54" t="s">
        <v>1001</v>
      </c>
      <c r="B35" s="721"/>
      <c r="C35" s="979">
        <f>-DataBase!C9-DataBase!C109</f>
        <v>0</v>
      </c>
      <c r="D35" s="979">
        <f>-DataBase!D9-DataBase!D109</f>
        <v>0</v>
      </c>
      <c r="E35" s="979">
        <f>-DataBase!E9-DataBase!E109</f>
        <v>0</v>
      </c>
      <c r="F35" s="979">
        <f>-DataBase!F9-DataBase!F109</f>
        <v>0</v>
      </c>
      <c r="G35" s="979">
        <f>-DataBase!G9-DataBase!G109</f>
        <v>0</v>
      </c>
      <c r="H35" s="979">
        <f>-DataBase!H9-DataBase!H109</f>
        <v>0</v>
      </c>
      <c r="I35" s="979">
        <f>-DataBase!I9-DataBase!I109</f>
        <v>0</v>
      </c>
      <c r="J35" s="979">
        <f>-DataBase!J9-DataBase!J109</f>
        <v>0</v>
      </c>
      <c r="K35" s="979">
        <f>-DataBase!K9-DataBase!K109</f>
        <v>0</v>
      </c>
      <c r="L35" s="979">
        <f>-DataBase!L9-DataBase!L109</f>
        <v>0</v>
      </c>
      <c r="M35" s="979">
        <f>-DataBase!M9-DataBase!M109</f>
        <v>0</v>
      </c>
      <c r="N35" s="979">
        <f>-DataBase!N9-DataBase!N109</f>
        <v>0</v>
      </c>
      <c r="O35" s="53">
        <f>SUM(C35:N35)</f>
        <v>0</v>
      </c>
      <c r="P35" s="277">
        <f>SUM(C35:D35)</f>
        <v>0</v>
      </c>
      <c r="Q35" s="53">
        <f>O35-P35</f>
        <v>0</v>
      </c>
    </row>
    <row r="36" spans="1:17" x14ac:dyDescent="0.2">
      <c r="A36" s="54" t="s">
        <v>1002</v>
      </c>
      <c r="B36" s="721"/>
      <c r="C36" s="979">
        <f>-DataBase!C10-DataBase!C110</f>
        <v>0</v>
      </c>
      <c r="D36" s="979">
        <f>-DataBase!D10-DataBase!D110</f>
        <v>0</v>
      </c>
      <c r="E36" s="979">
        <f>-DataBase!E10-DataBase!E110</f>
        <v>0</v>
      </c>
      <c r="F36" s="979">
        <f>-DataBase!F10-DataBase!F110</f>
        <v>0</v>
      </c>
      <c r="G36" s="979">
        <f>-DataBase!G10-DataBase!G110</f>
        <v>0</v>
      </c>
      <c r="H36" s="979">
        <f>-DataBase!H10-DataBase!H110</f>
        <v>0</v>
      </c>
      <c r="I36" s="979">
        <f>-DataBase!I10-DataBase!I110</f>
        <v>0</v>
      </c>
      <c r="J36" s="979">
        <f>-DataBase!J10-DataBase!J110</f>
        <v>0</v>
      </c>
      <c r="K36" s="979">
        <f>-DataBase!K10-DataBase!K110</f>
        <v>0</v>
      </c>
      <c r="L36" s="979">
        <f>-DataBase!L10-DataBase!L110</f>
        <v>0</v>
      </c>
      <c r="M36" s="979">
        <f>-DataBase!M10-DataBase!M110</f>
        <v>0</v>
      </c>
      <c r="N36" s="979">
        <f>-DataBase!N10-DataBase!N110</f>
        <v>0</v>
      </c>
      <c r="O36" s="53">
        <f>SUM(C36:N36)</f>
        <v>0</v>
      </c>
      <c r="P36" s="277">
        <f>SUM(C36:D36)</f>
        <v>0</v>
      </c>
      <c r="Q36" s="53">
        <f>O36-P36</f>
        <v>0</v>
      </c>
    </row>
    <row r="37" spans="1:17" x14ac:dyDescent="0.2">
      <c r="A37" s="51" t="s">
        <v>623</v>
      </c>
      <c r="B37" s="721"/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3">
        <f>SUM(C37:N37)</f>
        <v>0</v>
      </c>
      <c r="P37" s="277">
        <f>SUM(C37:D37)</f>
        <v>0</v>
      </c>
      <c r="Q37" s="53">
        <f>O37-P37</f>
        <v>0</v>
      </c>
    </row>
    <row r="38" spans="1:17" x14ac:dyDescent="0.2">
      <c r="A38" s="51" t="s">
        <v>623</v>
      </c>
      <c r="B38" s="721"/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3">
        <f>SUM(C38:N38)</f>
        <v>0</v>
      </c>
      <c r="P38" s="277">
        <f>SUM(C38:D38)</f>
        <v>0</v>
      </c>
      <c r="Q38" s="53">
        <f>O38-P38</f>
        <v>0</v>
      </c>
    </row>
    <row r="39" spans="1:17" x14ac:dyDescent="0.2">
      <c r="A39" s="636" t="s">
        <v>622</v>
      </c>
      <c r="B39" s="721"/>
      <c r="C39" s="308">
        <v>0</v>
      </c>
      <c r="D39" s="308">
        <v>0</v>
      </c>
      <c r="E39" s="308">
        <v>0</v>
      </c>
      <c r="F39" s="308">
        <v>0</v>
      </c>
      <c r="G39" s="308">
        <v>0</v>
      </c>
      <c r="H39" s="308">
        <v>0</v>
      </c>
      <c r="I39" s="308">
        <v>0</v>
      </c>
      <c r="J39" s="308">
        <v>0</v>
      </c>
      <c r="K39" s="308">
        <v>0</v>
      </c>
      <c r="L39" s="308">
        <v>0</v>
      </c>
      <c r="M39" s="308">
        <v>0</v>
      </c>
      <c r="N39" s="308">
        <v>0</v>
      </c>
      <c r="O39" s="55">
        <f>SUM(C39:N39)</f>
        <v>0</v>
      </c>
      <c r="P39" s="284">
        <f>SUM(C39:D39)</f>
        <v>0</v>
      </c>
      <c r="Q39" s="55">
        <f>O39-P39</f>
        <v>0</v>
      </c>
    </row>
    <row r="40" spans="1:17" ht="6" customHeight="1" x14ac:dyDescent="0.2">
      <c r="A40" s="48"/>
      <c r="B40" s="721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49"/>
      <c r="Q40" s="50"/>
    </row>
    <row r="41" spans="1:17" x14ac:dyDescent="0.2">
      <c r="A41" s="684" t="s">
        <v>555</v>
      </c>
      <c r="B41" s="721"/>
      <c r="C41" s="56">
        <f>SUM(C35:C40)</f>
        <v>0</v>
      </c>
      <c r="D41" s="56">
        <f t="shared" ref="D41:N41" si="4">SUM(D35:D40)</f>
        <v>0</v>
      </c>
      <c r="E41" s="56">
        <f t="shared" si="4"/>
        <v>0</v>
      </c>
      <c r="F41" s="56">
        <f t="shared" si="4"/>
        <v>0</v>
      </c>
      <c r="G41" s="56">
        <f t="shared" si="4"/>
        <v>0</v>
      </c>
      <c r="H41" s="56">
        <f t="shared" si="4"/>
        <v>0</v>
      </c>
      <c r="I41" s="56">
        <f t="shared" si="4"/>
        <v>0</v>
      </c>
      <c r="J41" s="56">
        <f t="shared" si="4"/>
        <v>0</v>
      </c>
      <c r="K41" s="56">
        <f t="shared" si="4"/>
        <v>0</v>
      </c>
      <c r="L41" s="56">
        <f t="shared" si="4"/>
        <v>0</v>
      </c>
      <c r="M41" s="56">
        <f t="shared" si="4"/>
        <v>0</v>
      </c>
      <c r="N41" s="56">
        <f t="shared" si="4"/>
        <v>0</v>
      </c>
      <c r="O41" s="56">
        <f>SUM(O35:O40)</f>
        <v>0</v>
      </c>
      <c r="P41" s="56">
        <f>SUM(P35:P40)</f>
        <v>0</v>
      </c>
      <c r="Q41" s="56">
        <f>SUM(Q35:Q40)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89" fitToHeight="2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1314450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V108"/>
  <sheetViews>
    <sheetView showGridLines="0" workbookViewId="0">
      <pane xSplit="2" ySplit="4" topLeftCell="K44" activePane="bottomRight" state="frozen"/>
      <selection pane="topRight" activeCell="C1" sqref="C1"/>
      <selection pane="bottomLeft" activeCell="A5" sqref="A5"/>
      <selection pane="bottomRight" activeCell="O45" sqref="O45"/>
    </sheetView>
  </sheetViews>
  <sheetFormatPr defaultColWidth="10.7109375" defaultRowHeight="12.75" x14ac:dyDescent="0.2"/>
  <cols>
    <col min="1" max="1" width="45.7109375" style="8" customWidth="1"/>
    <col min="2" max="2" width="8.7109375" style="742" customWidth="1"/>
    <col min="3" max="14" width="8.7109375" style="8" customWidth="1"/>
    <col min="15" max="17" width="9.7109375" style="8" customWidth="1"/>
    <col min="18" max="16384" width="10.7109375" style="8"/>
  </cols>
  <sheetData>
    <row r="1" spans="1:22" x14ac:dyDescent="0.2">
      <c r="A1" s="548" t="str">
        <f ca="1">CELL("FILENAME")</f>
        <v>P:\Finance\2002 Plan\[EMTW02PL.XLS]IncomeState</v>
      </c>
      <c r="B1" s="723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</row>
    <row r="2" spans="1:22" x14ac:dyDescent="0.2">
      <c r="A2" s="299" t="s">
        <v>629</v>
      </c>
      <c r="B2" s="723"/>
      <c r="C2" s="473"/>
      <c r="D2" s="288" t="s">
        <v>608</v>
      </c>
      <c r="E2" s="288" t="s">
        <v>608</v>
      </c>
      <c r="F2" s="288" t="s">
        <v>608</v>
      </c>
      <c r="G2" s="483"/>
      <c r="H2" s="288" t="s">
        <v>608</v>
      </c>
      <c r="I2" s="289"/>
      <c r="J2" s="289"/>
      <c r="K2" s="289"/>
      <c r="L2" s="289"/>
      <c r="M2" s="289"/>
      <c r="N2" s="289"/>
      <c r="O2" s="289"/>
      <c r="P2" s="289"/>
      <c r="Q2" s="289"/>
    </row>
    <row r="3" spans="1:22" x14ac:dyDescent="0.2">
      <c r="A3" s="551" t="str">
        <f>IncomeState!A3</f>
        <v>2002 OPERATING PLAN</v>
      </c>
      <c r="B3" s="724">
        <f ca="1">NOW()</f>
        <v>37189.6149224537</v>
      </c>
      <c r="C3" s="549" t="str">
        <f>DataBase!C2</f>
        <v>PLAN</v>
      </c>
      <c r="D3" s="549" t="str">
        <f>DataBase!D2</f>
        <v>PLAN</v>
      </c>
      <c r="E3" s="549" t="s">
        <v>2</v>
      </c>
      <c r="F3" s="549" t="str">
        <f>DataBase!F2</f>
        <v>PLAN</v>
      </c>
      <c r="G3" s="549" t="str">
        <f>DataBase!G2</f>
        <v>PLAN</v>
      </c>
      <c r="H3" s="549" t="str">
        <f>DataBase!H2</f>
        <v>PLAN</v>
      </c>
      <c r="I3" s="549" t="str">
        <f>DataBase!I2</f>
        <v>PLAN</v>
      </c>
      <c r="J3" s="549" t="str">
        <f>DataBase!J2</f>
        <v>PLAN</v>
      </c>
      <c r="K3" s="549" t="str">
        <f>DataBase!K2</f>
        <v>PLAN</v>
      </c>
      <c r="L3" s="549" t="str">
        <f>DataBase!L2</f>
        <v>PLAN</v>
      </c>
      <c r="M3" s="549" t="str">
        <f>DataBase!M2</f>
        <v>PLAN</v>
      </c>
      <c r="N3" s="549" t="str">
        <f>DataBase!N2</f>
        <v>PLAN</v>
      </c>
      <c r="O3" s="549" t="str">
        <f>DataBase!O2</f>
        <v>TOTAL</v>
      </c>
      <c r="P3" s="549" t="str">
        <f>IncomeState!P6</f>
        <v>FEB.</v>
      </c>
      <c r="Q3" s="549" t="str">
        <f>IncomeState!Q6</f>
        <v>ESTIMATE</v>
      </c>
    </row>
    <row r="4" spans="1:22" x14ac:dyDescent="0.2">
      <c r="A4" s="290"/>
      <c r="B4" s="725">
        <f ca="1">NOW()</f>
        <v>37189.6149224537</v>
      </c>
      <c r="C4" s="300" t="s">
        <v>609</v>
      </c>
      <c r="D4" s="300" t="s">
        <v>610</v>
      </c>
      <c r="E4" s="300" t="s">
        <v>611</v>
      </c>
      <c r="F4" s="300" t="s">
        <v>612</v>
      </c>
      <c r="G4" s="300" t="s">
        <v>613</v>
      </c>
      <c r="H4" s="300" t="s">
        <v>614</v>
      </c>
      <c r="I4" s="300" t="s">
        <v>615</v>
      </c>
      <c r="J4" s="300" t="s">
        <v>616</v>
      </c>
      <c r="K4" s="300" t="s">
        <v>617</v>
      </c>
      <c r="L4" s="300" t="s">
        <v>618</v>
      </c>
      <c r="M4" s="300" t="s">
        <v>619</v>
      </c>
      <c r="N4" s="300" t="s">
        <v>620</v>
      </c>
      <c r="O4" s="550">
        <f>DataBase!O3</f>
        <v>2002</v>
      </c>
      <c r="P4" s="550" t="str">
        <f>IncomeState!P7</f>
        <v>Y-T-D</v>
      </c>
      <c r="Q4" s="550" t="str">
        <f>IncomeState!Q7</f>
        <v>R.M.</v>
      </c>
    </row>
    <row r="5" spans="1:22" ht="3.95" customHeight="1" x14ac:dyDescent="0.2">
      <c r="A5" s="287"/>
      <c r="B5" s="723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</row>
    <row r="6" spans="1:22" ht="12.75" customHeight="1" x14ac:dyDescent="0.2">
      <c r="A6" s="831" t="s">
        <v>1041</v>
      </c>
      <c r="B6" s="723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</row>
    <row r="7" spans="1:22" x14ac:dyDescent="0.2">
      <c r="A7" s="303" t="s">
        <v>557</v>
      </c>
      <c r="B7" s="726"/>
      <c r="C7" s="532">
        <f>DataBase!C12</f>
        <v>12633</v>
      </c>
      <c r="D7" s="532">
        <f>DataBase!D12</f>
        <v>11271</v>
      </c>
      <c r="E7" s="532">
        <f>DataBase!E12</f>
        <v>12352</v>
      </c>
      <c r="F7" s="532">
        <f>DataBase!F12</f>
        <v>12064</v>
      </c>
      <c r="G7" s="532">
        <f>DataBase!G12</f>
        <v>12428</v>
      </c>
      <c r="H7" s="532">
        <f>DataBase!H12</f>
        <v>12992</v>
      </c>
      <c r="I7" s="532">
        <f>DataBase!I12</f>
        <v>13945</v>
      </c>
      <c r="J7" s="532">
        <f>DataBase!J12</f>
        <v>13936</v>
      </c>
      <c r="K7" s="532">
        <f>DataBase!K12</f>
        <v>13484</v>
      </c>
      <c r="L7" s="532">
        <f>DataBase!L12</f>
        <v>13828</v>
      </c>
      <c r="M7" s="532">
        <f>DataBase!M12</f>
        <v>14099</v>
      </c>
      <c r="N7" s="532">
        <f>DataBase!N12</f>
        <v>14603</v>
      </c>
      <c r="O7" s="532">
        <f>SUM(C7:N7)</f>
        <v>157635</v>
      </c>
      <c r="P7" s="293">
        <f>SUM(C7:D7)</f>
        <v>23904</v>
      </c>
      <c r="Q7" s="292">
        <f>O7-P7</f>
        <v>133731</v>
      </c>
      <c r="R7" s="10"/>
    </row>
    <row r="8" spans="1:22" x14ac:dyDescent="0.2">
      <c r="A8" s="884" t="s">
        <v>49</v>
      </c>
      <c r="B8" s="727"/>
      <c r="C8" s="532">
        <f>DataBase!C13</f>
        <v>0</v>
      </c>
      <c r="D8" s="532">
        <f>DataBase!D13</f>
        <v>0</v>
      </c>
      <c r="E8" s="532">
        <f>DataBase!E13</f>
        <v>0</v>
      </c>
      <c r="F8" s="532">
        <f>DataBase!F13</f>
        <v>0</v>
      </c>
      <c r="G8" s="532">
        <f>DataBase!G13</f>
        <v>0</v>
      </c>
      <c r="H8" s="532">
        <f>DataBase!H13</f>
        <v>0</v>
      </c>
      <c r="I8" s="532">
        <f>DataBase!I13</f>
        <v>0</v>
      </c>
      <c r="J8" s="532">
        <f>DataBase!J13</f>
        <v>0</v>
      </c>
      <c r="K8" s="532">
        <f>DataBase!K13</f>
        <v>0</v>
      </c>
      <c r="L8" s="532">
        <f>DataBase!L13</f>
        <v>0</v>
      </c>
      <c r="M8" s="532">
        <f>DataBase!M13</f>
        <v>0</v>
      </c>
      <c r="N8" s="532">
        <f>DataBase!N13</f>
        <v>0</v>
      </c>
      <c r="O8" s="532">
        <f>SUM(C8:N8)</f>
        <v>0</v>
      </c>
      <c r="P8" s="293">
        <f>SUM(C8:D8)</f>
        <v>0</v>
      </c>
      <c r="Q8" s="292">
        <f>O8-P8</f>
        <v>0</v>
      </c>
      <c r="R8" s="10"/>
    </row>
    <row r="9" spans="1:22" ht="12.75" customHeight="1" x14ac:dyDescent="0.2">
      <c r="A9" s="303" t="s">
        <v>50</v>
      </c>
      <c r="B9" s="723"/>
      <c r="C9" s="534">
        <f>DataBase!C14</f>
        <v>0</v>
      </c>
      <c r="D9" s="534">
        <f>DataBase!D14</f>
        <v>0</v>
      </c>
      <c r="E9" s="534">
        <f>DataBase!E14</f>
        <v>0</v>
      </c>
      <c r="F9" s="534">
        <f>DataBase!F14</f>
        <v>0</v>
      </c>
      <c r="G9" s="534">
        <f>DataBase!G14</f>
        <v>0</v>
      </c>
      <c r="H9" s="534">
        <f>DataBase!H14</f>
        <v>0</v>
      </c>
      <c r="I9" s="534">
        <f>DataBase!I14</f>
        <v>0</v>
      </c>
      <c r="J9" s="534">
        <f>DataBase!J14</f>
        <v>0</v>
      </c>
      <c r="K9" s="534">
        <f>DataBase!K14</f>
        <v>0</v>
      </c>
      <c r="L9" s="534">
        <f>DataBase!L14</f>
        <v>0</v>
      </c>
      <c r="M9" s="534">
        <f>DataBase!M14</f>
        <v>0</v>
      </c>
      <c r="N9" s="534">
        <f>DataBase!N14</f>
        <v>0</v>
      </c>
      <c r="O9" s="534">
        <f>SUM(C9:N9)</f>
        <v>0</v>
      </c>
      <c r="P9" s="301">
        <f>SUM(C9:D9)</f>
        <v>0</v>
      </c>
      <c r="Q9" s="294">
        <f>O9-P9</f>
        <v>0</v>
      </c>
      <c r="R9" s="10"/>
    </row>
    <row r="10" spans="1:22" ht="3.95" customHeight="1" x14ac:dyDescent="0.2">
      <c r="A10" s="297"/>
      <c r="B10" s="723"/>
      <c r="C10" s="534"/>
      <c r="D10" s="534"/>
      <c r="E10" s="534"/>
      <c r="F10" s="534"/>
      <c r="G10" s="534"/>
      <c r="H10" s="534"/>
      <c r="I10" s="534"/>
      <c r="J10" s="534"/>
      <c r="K10" s="534"/>
      <c r="L10" s="534"/>
      <c r="M10" s="534"/>
      <c r="N10" s="534"/>
      <c r="O10" s="294"/>
      <c r="P10" s="301"/>
      <c r="Q10" s="294"/>
      <c r="R10" s="10"/>
    </row>
    <row r="11" spans="1:22" x14ac:dyDescent="0.2">
      <c r="A11" s="456" t="s">
        <v>631</v>
      </c>
      <c r="B11" s="723"/>
      <c r="C11" s="534">
        <f>ROUND(SUM(C7:C9),0)</f>
        <v>12633</v>
      </c>
      <c r="D11" s="534">
        <f t="shared" ref="D11:N11" si="0">ROUND(SUM(D7:D9),0)</f>
        <v>11271</v>
      </c>
      <c r="E11" s="534">
        <f t="shared" si="0"/>
        <v>12352</v>
      </c>
      <c r="F11" s="534">
        <f t="shared" si="0"/>
        <v>12064</v>
      </c>
      <c r="G11" s="534">
        <f t="shared" si="0"/>
        <v>12428</v>
      </c>
      <c r="H11" s="534">
        <f t="shared" si="0"/>
        <v>12992</v>
      </c>
      <c r="I11" s="534">
        <f t="shared" si="0"/>
        <v>13945</v>
      </c>
      <c r="J11" s="534">
        <f t="shared" si="0"/>
        <v>13936</v>
      </c>
      <c r="K11" s="534">
        <f t="shared" si="0"/>
        <v>13484</v>
      </c>
      <c r="L11" s="534">
        <f t="shared" si="0"/>
        <v>13828</v>
      </c>
      <c r="M11" s="534">
        <f t="shared" si="0"/>
        <v>14099</v>
      </c>
      <c r="N11" s="534">
        <f t="shared" si="0"/>
        <v>14603</v>
      </c>
      <c r="O11" s="460">
        <f>SUM(O7:O9)</f>
        <v>157635</v>
      </c>
      <c r="P11" s="460">
        <f>SUM(P7:P9)</f>
        <v>23904</v>
      </c>
      <c r="Q11" s="460">
        <f>SUM(Q7:Q9)</f>
        <v>133731</v>
      </c>
      <c r="R11" s="10"/>
    </row>
    <row r="12" spans="1:22" ht="6" customHeight="1" x14ac:dyDescent="0.2">
      <c r="A12" s="287"/>
      <c r="B12" s="723"/>
      <c r="C12" s="535"/>
      <c r="D12" s="535"/>
      <c r="E12" s="535"/>
      <c r="F12" s="535"/>
      <c r="G12" s="535"/>
      <c r="H12" s="535"/>
      <c r="I12" s="535"/>
      <c r="J12" s="535"/>
      <c r="K12" s="535"/>
      <c r="L12" s="535"/>
      <c r="M12" s="535"/>
      <c r="N12" s="535"/>
      <c r="O12" s="291"/>
      <c r="P12" s="291"/>
      <c r="Q12" s="291"/>
      <c r="R12" s="47"/>
    </row>
    <row r="13" spans="1:22" ht="12.75" customHeight="1" x14ac:dyDescent="0.2">
      <c r="A13" s="831" t="s">
        <v>1042</v>
      </c>
      <c r="B13" s="723"/>
      <c r="C13" s="535"/>
      <c r="D13" s="535"/>
      <c r="E13" s="535"/>
      <c r="F13" s="535"/>
      <c r="G13" s="535"/>
      <c r="H13" s="535"/>
      <c r="I13" s="535"/>
      <c r="J13" s="535"/>
      <c r="K13" s="535"/>
      <c r="L13" s="535"/>
      <c r="M13" s="535"/>
      <c r="N13" s="535"/>
      <c r="O13" s="291"/>
      <c r="P13" s="291"/>
      <c r="Q13" s="291"/>
      <c r="R13" s="47"/>
    </row>
    <row r="14" spans="1:22" x14ac:dyDescent="0.2">
      <c r="A14" s="303" t="s">
        <v>556</v>
      </c>
      <c r="B14" s="728"/>
      <c r="C14" s="532">
        <f>DataBase!C15</f>
        <v>961</v>
      </c>
      <c r="D14" s="532">
        <f>DataBase!D15</f>
        <v>838</v>
      </c>
      <c r="E14" s="532">
        <f>DataBase!E15</f>
        <v>904</v>
      </c>
      <c r="F14" s="532">
        <f>DataBase!F15</f>
        <v>949</v>
      </c>
      <c r="G14" s="532">
        <f>DataBase!G15</f>
        <v>1045</v>
      </c>
      <c r="H14" s="532">
        <f>DataBase!H15</f>
        <v>1188</v>
      </c>
      <c r="I14" s="532">
        <f>DataBase!I15</f>
        <v>1279</v>
      </c>
      <c r="J14" s="532">
        <f>DataBase!J15</f>
        <v>1278</v>
      </c>
      <c r="K14" s="532">
        <f>DataBase!K15</f>
        <v>1203</v>
      </c>
      <c r="L14" s="532">
        <f>DataBase!L15</f>
        <v>1204</v>
      </c>
      <c r="M14" s="532">
        <f>DataBase!M15</f>
        <v>1088</v>
      </c>
      <c r="N14" s="532">
        <f>DataBase!N15</f>
        <v>1147</v>
      </c>
      <c r="O14" s="532">
        <f>SUM(C14:N14)</f>
        <v>13084</v>
      </c>
      <c r="P14" s="293">
        <f>SUM(C14:D14)</f>
        <v>1799</v>
      </c>
      <c r="Q14" s="292">
        <f>O14-P14</f>
        <v>11285</v>
      </c>
      <c r="R14" s="10"/>
    </row>
    <row r="15" spans="1:22" x14ac:dyDescent="0.2">
      <c r="A15" s="884" t="s">
        <v>49</v>
      </c>
      <c r="B15" s="727"/>
      <c r="C15" s="532">
        <f>DataBase!C16</f>
        <v>0</v>
      </c>
      <c r="D15" s="532">
        <f>DataBase!D16</f>
        <v>0</v>
      </c>
      <c r="E15" s="532">
        <f>DataBase!E16</f>
        <v>0</v>
      </c>
      <c r="F15" s="532">
        <f>DataBase!F16</f>
        <v>0</v>
      </c>
      <c r="G15" s="532">
        <f>DataBase!G16</f>
        <v>0</v>
      </c>
      <c r="H15" s="532">
        <f>DataBase!H16</f>
        <v>0</v>
      </c>
      <c r="I15" s="532">
        <f>DataBase!I16</f>
        <v>0</v>
      </c>
      <c r="J15" s="532">
        <f>DataBase!J16</f>
        <v>0</v>
      </c>
      <c r="K15" s="532">
        <f>DataBase!K16</f>
        <v>0</v>
      </c>
      <c r="L15" s="532">
        <f>DataBase!L16</f>
        <v>0</v>
      </c>
      <c r="M15" s="532">
        <f>DataBase!M16</f>
        <v>0</v>
      </c>
      <c r="N15" s="532">
        <f>DataBase!N16</f>
        <v>0</v>
      </c>
      <c r="O15" s="532">
        <f>SUM(C15:N15)</f>
        <v>0</v>
      </c>
      <c r="P15" s="293">
        <f>SUM(C15:D15)</f>
        <v>0</v>
      </c>
      <c r="Q15" s="292">
        <f>O15-P15</f>
        <v>0</v>
      </c>
      <c r="R15" s="11"/>
      <c r="S15" s="12"/>
      <c r="T15" s="12"/>
      <c r="U15" s="12"/>
      <c r="V15" s="12"/>
    </row>
    <row r="16" spans="1:22" x14ac:dyDescent="0.2">
      <c r="A16" s="303" t="s">
        <v>50</v>
      </c>
      <c r="B16" s="728"/>
      <c r="C16" s="534">
        <f>DataBase!C17</f>
        <v>0</v>
      </c>
      <c r="D16" s="534">
        <f>DataBase!D17</f>
        <v>0</v>
      </c>
      <c r="E16" s="534">
        <f>DataBase!E17</f>
        <v>0</v>
      </c>
      <c r="F16" s="534">
        <f>DataBase!F17</f>
        <v>0</v>
      </c>
      <c r="G16" s="534">
        <f>DataBase!G17</f>
        <v>0</v>
      </c>
      <c r="H16" s="534">
        <f>DataBase!H17</f>
        <v>0</v>
      </c>
      <c r="I16" s="534">
        <f>DataBase!I17</f>
        <v>0</v>
      </c>
      <c r="J16" s="534">
        <f>DataBase!J17</f>
        <v>0</v>
      </c>
      <c r="K16" s="534">
        <f>DataBase!K17</f>
        <v>0</v>
      </c>
      <c r="L16" s="534">
        <f>DataBase!L17</f>
        <v>0</v>
      </c>
      <c r="M16" s="534">
        <f>DataBase!M17</f>
        <v>0</v>
      </c>
      <c r="N16" s="534">
        <f>DataBase!N17</f>
        <v>0</v>
      </c>
      <c r="O16" s="534">
        <f>SUM(C16:N16)</f>
        <v>0</v>
      </c>
      <c r="P16" s="301">
        <f>SUM(C16:D16)</f>
        <v>0</v>
      </c>
      <c r="Q16" s="460">
        <v>0</v>
      </c>
      <c r="R16" s="11"/>
      <c r="S16" s="12"/>
      <c r="T16" s="12"/>
      <c r="U16" s="12"/>
      <c r="V16" s="12"/>
    </row>
    <row r="17" spans="1:22" ht="3.95" customHeight="1" x14ac:dyDescent="0.2">
      <c r="A17" s="297"/>
      <c r="B17" s="728"/>
      <c r="C17" s="534"/>
      <c r="D17" s="534"/>
      <c r="E17" s="534"/>
      <c r="F17" s="534"/>
      <c r="G17" s="534"/>
      <c r="H17" s="534"/>
      <c r="I17" s="534"/>
      <c r="J17" s="534"/>
      <c r="K17" s="534"/>
      <c r="L17" s="534"/>
      <c r="M17" s="534"/>
      <c r="N17" s="534"/>
      <c r="O17" s="294"/>
      <c r="P17" s="301"/>
      <c r="Q17" s="460"/>
      <c r="R17" s="11"/>
      <c r="S17" s="12"/>
      <c r="T17" s="12"/>
      <c r="U17" s="12"/>
      <c r="V17" s="12"/>
    </row>
    <row r="18" spans="1:22" x14ac:dyDescent="0.2">
      <c r="A18" s="456" t="s">
        <v>632</v>
      </c>
      <c r="B18" s="728"/>
      <c r="C18" s="534">
        <f>ROUND(SUM(C14:C16),0)</f>
        <v>961</v>
      </c>
      <c r="D18" s="534">
        <f t="shared" ref="D18:N18" si="1">ROUND(SUM(D14:D16),0)</f>
        <v>838</v>
      </c>
      <c r="E18" s="534">
        <f t="shared" si="1"/>
        <v>904</v>
      </c>
      <c r="F18" s="534">
        <f t="shared" si="1"/>
        <v>949</v>
      </c>
      <c r="G18" s="534">
        <f t="shared" si="1"/>
        <v>1045</v>
      </c>
      <c r="H18" s="534">
        <f t="shared" si="1"/>
        <v>1188</v>
      </c>
      <c r="I18" s="534">
        <f t="shared" si="1"/>
        <v>1279</v>
      </c>
      <c r="J18" s="534">
        <f t="shared" si="1"/>
        <v>1278</v>
      </c>
      <c r="K18" s="534">
        <f t="shared" si="1"/>
        <v>1203</v>
      </c>
      <c r="L18" s="534">
        <f t="shared" si="1"/>
        <v>1204</v>
      </c>
      <c r="M18" s="534">
        <f t="shared" si="1"/>
        <v>1088</v>
      </c>
      <c r="N18" s="534">
        <f t="shared" si="1"/>
        <v>1147</v>
      </c>
      <c r="O18" s="460">
        <f>SUM(O14:O16)</f>
        <v>13084</v>
      </c>
      <c r="P18" s="460">
        <f>SUM(P14:P16)</f>
        <v>1799</v>
      </c>
      <c r="Q18" s="460">
        <f>SUM(Q14:Q16)</f>
        <v>11285</v>
      </c>
      <c r="R18" s="11"/>
      <c r="S18" s="12"/>
      <c r="T18" s="12"/>
      <c r="U18" s="12"/>
      <c r="V18" s="12"/>
    </row>
    <row r="19" spans="1:22" ht="6" customHeight="1" x14ac:dyDescent="0.2">
      <c r="A19" s="287"/>
      <c r="B19" s="723"/>
      <c r="C19" s="536"/>
      <c r="D19" s="536"/>
      <c r="E19" s="536"/>
      <c r="F19" s="536"/>
      <c r="G19" s="536"/>
      <c r="H19" s="536"/>
      <c r="I19" s="536"/>
      <c r="J19" s="536"/>
      <c r="K19" s="536"/>
      <c r="L19" s="536"/>
      <c r="M19" s="536"/>
      <c r="N19" s="536"/>
      <c r="O19" s="295"/>
      <c r="P19" s="295"/>
      <c r="Q19" s="295"/>
      <c r="R19" s="47"/>
    </row>
    <row r="20" spans="1:22" x14ac:dyDescent="0.2">
      <c r="A20" s="456" t="s">
        <v>558</v>
      </c>
      <c r="B20" s="729"/>
      <c r="C20" s="537">
        <f t="shared" ref="C20:Q20" si="2">ROUND(C11+C18,0)</f>
        <v>13594</v>
      </c>
      <c r="D20" s="537">
        <f t="shared" si="2"/>
        <v>12109</v>
      </c>
      <c r="E20" s="537">
        <f t="shared" si="2"/>
        <v>13256</v>
      </c>
      <c r="F20" s="537">
        <f t="shared" si="2"/>
        <v>13013</v>
      </c>
      <c r="G20" s="537">
        <f t="shared" si="2"/>
        <v>13473</v>
      </c>
      <c r="H20" s="537">
        <f t="shared" si="2"/>
        <v>14180</v>
      </c>
      <c r="I20" s="537">
        <f t="shared" si="2"/>
        <v>15224</v>
      </c>
      <c r="J20" s="537">
        <f t="shared" si="2"/>
        <v>15214</v>
      </c>
      <c r="K20" s="537">
        <f t="shared" si="2"/>
        <v>14687</v>
      </c>
      <c r="L20" s="537">
        <f t="shared" si="2"/>
        <v>15032</v>
      </c>
      <c r="M20" s="537">
        <f t="shared" si="2"/>
        <v>15187</v>
      </c>
      <c r="N20" s="537">
        <f t="shared" si="2"/>
        <v>15750</v>
      </c>
      <c r="O20" s="296">
        <f t="shared" si="2"/>
        <v>170719</v>
      </c>
      <c r="P20" s="296">
        <f t="shared" si="2"/>
        <v>25703</v>
      </c>
      <c r="Q20" s="296">
        <f t="shared" si="2"/>
        <v>145016</v>
      </c>
      <c r="R20" s="9"/>
    </row>
    <row r="21" spans="1:22" ht="3.95" customHeight="1" x14ac:dyDescent="0.2">
      <c r="A21" s="287"/>
      <c r="B21" s="723"/>
      <c r="C21" s="533"/>
      <c r="D21" s="533"/>
      <c r="E21" s="533"/>
      <c r="F21" s="533"/>
      <c r="G21" s="533"/>
      <c r="H21" s="533"/>
      <c r="I21" s="533"/>
      <c r="J21" s="533"/>
      <c r="K21" s="533"/>
      <c r="L21" s="533"/>
      <c r="M21" s="533"/>
      <c r="N21" s="533"/>
      <c r="O21" s="292"/>
      <c r="P21" s="293"/>
      <c r="Q21" s="292"/>
      <c r="R21" s="9"/>
    </row>
    <row r="22" spans="1:22" ht="8.1" customHeight="1" x14ac:dyDescent="0.2">
      <c r="A22" s="302"/>
      <c r="B22" s="728"/>
      <c r="C22" s="533"/>
      <c r="D22" s="533"/>
      <c r="E22" s="533"/>
      <c r="F22" s="533"/>
      <c r="G22" s="533"/>
      <c r="H22" s="533"/>
      <c r="I22" s="533"/>
      <c r="J22" s="533"/>
      <c r="K22" s="533"/>
      <c r="L22" s="533"/>
      <c r="M22" s="533"/>
      <c r="N22" s="533"/>
      <c r="O22" s="292"/>
      <c r="P22" s="293"/>
      <c r="Q22" s="292"/>
      <c r="R22" s="9"/>
    </row>
    <row r="23" spans="1:22" x14ac:dyDescent="0.2">
      <c r="A23" s="480" t="s">
        <v>1043</v>
      </c>
      <c r="B23" s="723"/>
      <c r="C23" s="538"/>
      <c r="D23" s="538"/>
      <c r="E23" s="538"/>
      <c r="F23" s="538"/>
      <c r="G23" s="538"/>
      <c r="H23" s="538"/>
      <c r="I23" s="538"/>
      <c r="J23" s="538"/>
      <c r="K23" s="538"/>
      <c r="L23" s="538"/>
      <c r="M23" s="538"/>
      <c r="N23" s="538"/>
      <c r="O23" s="292"/>
      <c r="P23" s="292"/>
      <c r="Q23" s="292"/>
      <c r="R23" s="9"/>
    </row>
    <row r="24" spans="1:22" ht="12" customHeight="1" x14ac:dyDescent="0.25">
      <c r="A24" s="664" t="s">
        <v>628</v>
      </c>
      <c r="B24" s="843" t="s">
        <v>1050</v>
      </c>
      <c r="C24" s="981">
        <f>DataBase!C24</f>
        <v>-12</v>
      </c>
      <c r="D24" s="981">
        <f>DataBase!D24</f>
        <v>-13</v>
      </c>
      <c r="E24" s="981">
        <f>DataBase!E24</f>
        <v>-12</v>
      </c>
      <c r="F24" s="981">
        <f>DataBase!F24</f>
        <v>-13</v>
      </c>
      <c r="G24" s="981">
        <f>DataBase!G24</f>
        <v>-12</v>
      </c>
      <c r="H24" s="981">
        <f>DataBase!H24</f>
        <v>-13</v>
      </c>
      <c r="I24" s="981">
        <f>DataBase!I24</f>
        <v>-13</v>
      </c>
      <c r="J24" s="981">
        <f>DataBase!J24</f>
        <v>-12</v>
      </c>
      <c r="K24" s="981">
        <f>DataBase!K24</f>
        <v>-13</v>
      </c>
      <c r="L24" s="981">
        <f>DataBase!L24</f>
        <v>-12</v>
      </c>
      <c r="M24" s="981">
        <f>DataBase!M24</f>
        <v>-12</v>
      </c>
      <c r="N24" s="981">
        <f>DataBase!N24</f>
        <v>-13</v>
      </c>
      <c r="O24" s="686">
        <f t="shared" ref="O24:O35" si="3">SUM(C24:N24)</f>
        <v>-150</v>
      </c>
      <c r="P24" s="293">
        <f t="shared" ref="P24:P35" si="4">SUM(C24:D24)</f>
        <v>-25</v>
      </c>
      <c r="Q24" s="686">
        <f t="shared" ref="Q24:Q35" si="5">O24-P24</f>
        <v>-125</v>
      </c>
      <c r="R24" s="15"/>
      <c r="S24" s="14"/>
      <c r="T24" s="14"/>
    </row>
    <row r="25" spans="1:22" ht="12" customHeight="1" x14ac:dyDescent="0.2">
      <c r="A25" s="297" t="s">
        <v>540</v>
      </c>
      <c r="B25" s="727"/>
      <c r="C25" s="981">
        <f>DataBase!C25</f>
        <v>-17</v>
      </c>
      <c r="D25" s="981">
        <f>DataBase!D25</f>
        <v>-17</v>
      </c>
      <c r="E25" s="981">
        <f>DataBase!E25</f>
        <v>-15</v>
      </c>
      <c r="F25" s="981">
        <f>DataBase!F25</f>
        <v>-15</v>
      </c>
      <c r="G25" s="981">
        <f>DataBase!G25</f>
        <v>-15</v>
      </c>
      <c r="H25" s="981">
        <f>DataBase!H25</f>
        <v>-15</v>
      </c>
      <c r="I25" s="981">
        <f>DataBase!I25</f>
        <v>-15</v>
      </c>
      <c r="J25" s="981">
        <f>DataBase!J25</f>
        <v>-15</v>
      </c>
      <c r="K25" s="981">
        <f>DataBase!K25</f>
        <v>-15</v>
      </c>
      <c r="L25" s="981">
        <f>DataBase!L25</f>
        <v>-15</v>
      </c>
      <c r="M25" s="981">
        <f>DataBase!M25</f>
        <v>-15</v>
      </c>
      <c r="N25" s="981">
        <f>DataBase!N25</f>
        <v>-15</v>
      </c>
      <c r="O25" s="292">
        <f t="shared" si="3"/>
        <v>-184</v>
      </c>
      <c r="P25" s="293">
        <f t="shared" si="4"/>
        <v>-34</v>
      </c>
      <c r="Q25" s="292">
        <f t="shared" si="5"/>
        <v>-150</v>
      </c>
      <c r="R25" s="9"/>
    </row>
    <row r="26" spans="1:22" ht="12" customHeight="1" x14ac:dyDescent="0.2">
      <c r="A26" s="297" t="s">
        <v>559</v>
      </c>
      <c r="B26" s="727"/>
      <c r="C26" s="981">
        <f>DataBase!C26</f>
        <v>0</v>
      </c>
      <c r="D26" s="981">
        <f>DataBase!D26</f>
        <v>0</v>
      </c>
      <c r="E26" s="981">
        <f>DataBase!E26</f>
        <v>0</v>
      </c>
      <c r="F26" s="981">
        <f>DataBase!F26</f>
        <v>0</v>
      </c>
      <c r="G26" s="981">
        <f>DataBase!G26</f>
        <v>0</v>
      </c>
      <c r="H26" s="981">
        <f>DataBase!H26</f>
        <v>0</v>
      </c>
      <c r="I26" s="981">
        <f>DataBase!I26</f>
        <v>0</v>
      </c>
      <c r="J26" s="981">
        <f>DataBase!J26</f>
        <v>0</v>
      </c>
      <c r="K26" s="981">
        <f>DataBase!K26</f>
        <v>0</v>
      </c>
      <c r="L26" s="981">
        <f>DataBase!L26</f>
        <v>0</v>
      </c>
      <c r="M26" s="981">
        <f>DataBase!M26</f>
        <v>0</v>
      </c>
      <c r="N26" s="981">
        <f>DataBase!N26</f>
        <v>-143</v>
      </c>
      <c r="O26" s="292">
        <f t="shared" si="3"/>
        <v>-143</v>
      </c>
      <c r="P26" s="293">
        <f t="shared" si="4"/>
        <v>0</v>
      </c>
      <c r="Q26" s="292">
        <f t="shared" si="5"/>
        <v>-143</v>
      </c>
      <c r="R26" s="9"/>
    </row>
    <row r="27" spans="1:22" ht="12" customHeight="1" x14ac:dyDescent="0.2">
      <c r="A27" s="884" t="s">
        <v>1005</v>
      </c>
      <c r="B27" s="727"/>
      <c r="C27" s="980">
        <f>DataBase!C21</f>
        <v>0</v>
      </c>
      <c r="D27" s="980">
        <f>DataBase!D21</f>
        <v>0</v>
      </c>
      <c r="E27" s="980">
        <f>DataBase!E21</f>
        <v>0</v>
      </c>
      <c r="F27" s="980">
        <f>DataBase!F21</f>
        <v>0</v>
      </c>
      <c r="G27" s="980">
        <f>DataBase!G21</f>
        <v>0</v>
      </c>
      <c r="H27" s="980">
        <f>DataBase!H21</f>
        <v>0</v>
      </c>
      <c r="I27" s="980">
        <f>DataBase!I21</f>
        <v>0</v>
      </c>
      <c r="J27" s="980">
        <f>DataBase!J21</f>
        <v>0</v>
      </c>
      <c r="K27" s="980">
        <f>DataBase!K21</f>
        <v>0</v>
      </c>
      <c r="L27" s="980">
        <f>DataBase!L21</f>
        <v>0</v>
      </c>
      <c r="M27" s="980">
        <f>DataBase!M21</f>
        <v>0</v>
      </c>
      <c r="N27" s="980">
        <f>DataBase!N21</f>
        <v>0</v>
      </c>
      <c r="O27" s="292">
        <f>SUM(C27:N27)</f>
        <v>0</v>
      </c>
      <c r="P27" s="293">
        <f t="shared" si="4"/>
        <v>0</v>
      </c>
      <c r="Q27" s="292">
        <f>O27-P27</f>
        <v>0</v>
      </c>
      <c r="R27" s="9"/>
    </row>
    <row r="28" spans="1:22" ht="12" customHeight="1" x14ac:dyDescent="0.2">
      <c r="A28" s="884" t="s">
        <v>1006</v>
      </c>
      <c r="B28" s="727"/>
      <c r="C28" s="980">
        <f>DataBase!C22</f>
        <v>0</v>
      </c>
      <c r="D28" s="980">
        <f>DataBase!D22</f>
        <v>0</v>
      </c>
      <c r="E28" s="980">
        <f>DataBase!E22</f>
        <v>0</v>
      </c>
      <c r="F28" s="980">
        <f>DataBase!F22</f>
        <v>0</v>
      </c>
      <c r="G28" s="980">
        <f>DataBase!G22</f>
        <v>0</v>
      </c>
      <c r="H28" s="980">
        <f>DataBase!H22</f>
        <v>0</v>
      </c>
      <c r="I28" s="980">
        <f>DataBase!I22</f>
        <v>0</v>
      </c>
      <c r="J28" s="980">
        <f>DataBase!J22</f>
        <v>0</v>
      </c>
      <c r="K28" s="980">
        <f>DataBase!K22</f>
        <v>0</v>
      </c>
      <c r="L28" s="980">
        <f>DataBase!L22</f>
        <v>0</v>
      </c>
      <c r="M28" s="980">
        <f>DataBase!M22</f>
        <v>0</v>
      </c>
      <c r="N28" s="980">
        <f>DataBase!N22</f>
        <v>0</v>
      </c>
      <c r="O28" s="292">
        <f>SUM(C28:N28)</f>
        <v>0</v>
      </c>
      <c r="P28" s="293">
        <f t="shared" si="4"/>
        <v>0</v>
      </c>
      <c r="Q28" s="292">
        <f>O28-P28</f>
        <v>0</v>
      </c>
      <c r="R28" s="9"/>
    </row>
    <row r="29" spans="1:22" ht="12" customHeight="1" x14ac:dyDescent="0.2">
      <c r="A29" s="884" t="s">
        <v>1007</v>
      </c>
      <c r="B29" s="727"/>
      <c r="C29" s="980">
        <f>DataBase!C23</f>
        <v>0</v>
      </c>
      <c r="D29" s="980">
        <f>DataBase!D23</f>
        <v>0</v>
      </c>
      <c r="E29" s="980">
        <f>DataBase!E23</f>
        <v>0</v>
      </c>
      <c r="F29" s="980">
        <f>DataBase!F23</f>
        <v>0</v>
      </c>
      <c r="G29" s="980">
        <f>DataBase!G23</f>
        <v>0</v>
      </c>
      <c r="H29" s="980">
        <f>DataBase!H23</f>
        <v>0</v>
      </c>
      <c r="I29" s="980">
        <f>DataBase!I23</f>
        <v>0</v>
      </c>
      <c r="J29" s="980">
        <f>DataBase!J23</f>
        <v>0</v>
      </c>
      <c r="K29" s="980">
        <f>DataBase!K23</f>
        <v>0</v>
      </c>
      <c r="L29" s="980">
        <f>DataBase!L23</f>
        <v>0</v>
      </c>
      <c r="M29" s="980">
        <f>DataBase!M23</f>
        <v>0</v>
      </c>
      <c r="N29" s="980">
        <f>DataBase!N23</f>
        <v>0</v>
      </c>
      <c r="O29" s="292">
        <f>SUM(C29:N29)</f>
        <v>0</v>
      </c>
      <c r="P29" s="293">
        <f t="shared" si="4"/>
        <v>0</v>
      </c>
      <c r="Q29" s="292">
        <f>O29-P29</f>
        <v>0</v>
      </c>
      <c r="R29" s="9"/>
    </row>
    <row r="30" spans="1:22" x14ac:dyDescent="0.2">
      <c r="A30" s="297" t="s">
        <v>1003</v>
      </c>
      <c r="B30" s="841" t="s">
        <v>1050</v>
      </c>
      <c r="C30" s="980">
        <f>DataBase!C18</f>
        <v>0</v>
      </c>
      <c r="D30" s="980">
        <f>DataBase!D18</f>
        <v>0</v>
      </c>
      <c r="E30" s="980">
        <f>DataBase!E18</f>
        <v>0</v>
      </c>
      <c r="F30" s="980">
        <f>DataBase!F18</f>
        <v>0</v>
      </c>
      <c r="G30" s="980">
        <f>DataBase!G18</f>
        <v>0</v>
      </c>
      <c r="H30" s="980">
        <f>DataBase!H18</f>
        <v>0</v>
      </c>
      <c r="I30" s="980">
        <f>DataBase!I18</f>
        <v>0</v>
      </c>
      <c r="J30" s="980">
        <f>DataBase!J18</f>
        <v>0</v>
      </c>
      <c r="K30" s="980">
        <f>DataBase!K18</f>
        <v>0</v>
      </c>
      <c r="L30" s="980">
        <f>DataBase!L18</f>
        <v>0</v>
      </c>
      <c r="M30" s="980">
        <f>DataBase!M18</f>
        <v>0</v>
      </c>
      <c r="N30" s="980">
        <f>DataBase!N18</f>
        <v>0</v>
      </c>
      <c r="O30" s="292">
        <f t="shared" si="3"/>
        <v>0</v>
      </c>
      <c r="P30" s="293">
        <f t="shared" si="4"/>
        <v>0</v>
      </c>
      <c r="Q30" s="292">
        <f t="shared" si="5"/>
        <v>0</v>
      </c>
      <c r="R30" s="47"/>
    </row>
    <row r="31" spans="1:22" x14ac:dyDescent="0.2">
      <c r="A31" s="862" t="s">
        <v>20</v>
      </c>
      <c r="B31" s="841" t="s">
        <v>1050</v>
      </c>
      <c r="C31" s="980">
        <f>DataBase!C19</f>
        <v>0</v>
      </c>
      <c r="D31" s="980">
        <f>DataBase!D19</f>
        <v>0</v>
      </c>
      <c r="E31" s="980">
        <f>DataBase!E19</f>
        <v>0</v>
      </c>
      <c r="F31" s="980">
        <f>DataBase!F19</f>
        <v>0</v>
      </c>
      <c r="G31" s="980">
        <f>DataBase!G19</f>
        <v>0</v>
      </c>
      <c r="H31" s="980">
        <f>DataBase!H19</f>
        <v>0</v>
      </c>
      <c r="I31" s="980">
        <f>DataBase!I19</f>
        <v>0</v>
      </c>
      <c r="J31" s="980">
        <f>DataBase!J19</f>
        <v>0</v>
      </c>
      <c r="K31" s="980">
        <f>DataBase!K19</f>
        <v>0</v>
      </c>
      <c r="L31" s="980">
        <f>DataBase!L19</f>
        <v>0</v>
      </c>
      <c r="M31" s="980">
        <f>DataBase!M19</f>
        <v>0</v>
      </c>
      <c r="N31" s="980">
        <f>DataBase!N19</f>
        <v>0</v>
      </c>
      <c r="O31" s="292">
        <f>SUM(C31:N31)</f>
        <v>0</v>
      </c>
      <c r="P31" s="293">
        <f t="shared" si="4"/>
        <v>0</v>
      </c>
      <c r="Q31" s="292">
        <f>O31-P31</f>
        <v>0</v>
      </c>
      <c r="R31" s="47"/>
    </row>
    <row r="32" spans="1:22" x14ac:dyDescent="0.2">
      <c r="A32" s="862" t="s">
        <v>21</v>
      </c>
      <c r="B32" s="841" t="s">
        <v>1050</v>
      </c>
      <c r="C32" s="980">
        <f>DataBase!C20</f>
        <v>0</v>
      </c>
      <c r="D32" s="980">
        <f>DataBase!D20</f>
        <v>0</v>
      </c>
      <c r="E32" s="980">
        <f>DataBase!E20</f>
        <v>0</v>
      </c>
      <c r="F32" s="980">
        <f>DataBase!F20</f>
        <v>0</v>
      </c>
      <c r="G32" s="980">
        <f>DataBase!G20</f>
        <v>0</v>
      </c>
      <c r="H32" s="980">
        <f>DataBase!H20</f>
        <v>0</v>
      </c>
      <c r="I32" s="980">
        <f>DataBase!I20</f>
        <v>0</v>
      </c>
      <c r="J32" s="980">
        <f>DataBase!J20</f>
        <v>0</v>
      </c>
      <c r="K32" s="980">
        <f>DataBase!K20</f>
        <v>0</v>
      </c>
      <c r="L32" s="980">
        <f>DataBase!L20</f>
        <v>0</v>
      </c>
      <c r="M32" s="980">
        <f>DataBase!M20</f>
        <v>0</v>
      </c>
      <c r="N32" s="980">
        <f>DataBase!N20</f>
        <v>0</v>
      </c>
      <c r="O32" s="292">
        <f>SUM(C32:N32)</f>
        <v>0</v>
      </c>
      <c r="P32" s="293">
        <f t="shared" si="4"/>
        <v>0</v>
      </c>
      <c r="Q32" s="292">
        <f>O32-P32</f>
        <v>0</v>
      </c>
      <c r="R32" s="47"/>
    </row>
    <row r="33" spans="1:19" ht="12" customHeight="1" x14ac:dyDescent="0.2">
      <c r="A33" s="862" t="s">
        <v>153</v>
      </c>
      <c r="B33" s="723"/>
      <c r="C33" s="980">
        <f>DataBase!C27</f>
        <v>0</v>
      </c>
      <c r="D33" s="980">
        <f>DataBase!D27</f>
        <v>0</v>
      </c>
      <c r="E33" s="980">
        <f>DataBase!E27</f>
        <v>0</v>
      </c>
      <c r="F33" s="980">
        <f>DataBase!F27</f>
        <v>0</v>
      </c>
      <c r="G33" s="980">
        <f>DataBase!G27</f>
        <v>0</v>
      </c>
      <c r="H33" s="980">
        <f>DataBase!H27</f>
        <v>0</v>
      </c>
      <c r="I33" s="980">
        <f>DataBase!I27</f>
        <v>0</v>
      </c>
      <c r="J33" s="980">
        <f>DataBase!J27</f>
        <v>0</v>
      </c>
      <c r="K33" s="980">
        <f>DataBase!K27</f>
        <v>0</v>
      </c>
      <c r="L33" s="980">
        <f>DataBase!L27</f>
        <v>0</v>
      </c>
      <c r="M33" s="980">
        <f>DataBase!M27</f>
        <v>0</v>
      </c>
      <c r="N33" s="980">
        <f>DataBase!N27</f>
        <v>0</v>
      </c>
      <c r="O33" s="292">
        <f t="shared" si="3"/>
        <v>0</v>
      </c>
      <c r="P33" s="293">
        <f t="shared" si="4"/>
        <v>0</v>
      </c>
      <c r="Q33" s="292">
        <f t="shared" si="5"/>
        <v>0</v>
      </c>
      <c r="R33" s="9"/>
    </row>
    <row r="34" spans="1:19" ht="12" customHeight="1" x14ac:dyDescent="0.2">
      <c r="A34" s="884" t="s">
        <v>1008</v>
      </c>
      <c r="B34" s="723"/>
      <c r="C34" s="980">
        <f>DataBase!C28</f>
        <v>0</v>
      </c>
      <c r="D34" s="980">
        <f>DataBase!D28</f>
        <v>0</v>
      </c>
      <c r="E34" s="980">
        <f>DataBase!E28</f>
        <v>0</v>
      </c>
      <c r="F34" s="980">
        <f>DataBase!F28</f>
        <v>0</v>
      </c>
      <c r="G34" s="980">
        <f>DataBase!G28</f>
        <v>0</v>
      </c>
      <c r="H34" s="980">
        <f>DataBase!H28</f>
        <v>0</v>
      </c>
      <c r="I34" s="980">
        <f>DataBase!I28</f>
        <v>0</v>
      </c>
      <c r="J34" s="980">
        <f>DataBase!J28</f>
        <v>0</v>
      </c>
      <c r="K34" s="980">
        <f>DataBase!K28</f>
        <v>0</v>
      </c>
      <c r="L34" s="980">
        <f>DataBase!L28</f>
        <v>0</v>
      </c>
      <c r="M34" s="980">
        <f>DataBase!M28</f>
        <v>0</v>
      </c>
      <c r="N34" s="980">
        <f>DataBase!N28</f>
        <v>0</v>
      </c>
      <c r="O34" s="292">
        <f>SUM(C34:N34)</f>
        <v>0</v>
      </c>
      <c r="P34" s="293">
        <f t="shared" si="4"/>
        <v>0</v>
      </c>
      <c r="Q34" s="292">
        <f>O34-P34</f>
        <v>0</v>
      </c>
      <c r="R34" s="9"/>
    </row>
    <row r="35" spans="1:19" ht="12" customHeight="1" x14ac:dyDescent="0.2">
      <c r="A35" s="636" t="s">
        <v>622</v>
      </c>
      <c r="B35" s="723"/>
      <c r="C35" s="301">
        <v>0</v>
      </c>
      <c r="D35" s="301">
        <v>0</v>
      </c>
      <c r="E35" s="301">
        <v>0</v>
      </c>
      <c r="F35" s="301">
        <v>0</v>
      </c>
      <c r="G35" s="301">
        <v>0</v>
      </c>
      <c r="H35" s="301">
        <v>0</v>
      </c>
      <c r="I35" s="301">
        <v>0</v>
      </c>
      <c r="J35" s="301">
        <v>0</v>
      </c>
      <c r="K35" s="301">
        <v>0</v>
      </c>
      <c r="L35" s="301">
        <v>0</v>
      </c>
      <c r="M35" s="301">
        <v>0</v>
      </c>
      <c r="N35" s="301">
        <v>0</v>
      </c>
      <c r="O35" s="294">
        <f t="shared" si="3"/>
        <v>0</v>
      </c>
      <c r="P35" s="301">
        <f t="shared" si="4"/>
        <v>0</v>
      </c>
      <c r="Q35" s="294">
        <f t="shared" si="5"/>
        <v>0</v>
      </c>
      <c r="R35" s="9"/>
    </row>
    <row r="36" spans="1:19" ht="3.95" customHeight="1" x14ac:dyDescent="0.2">
      <c r="A36" s="287"/>
      <c r="B36" s="723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47"/>
    </row>
    <row r="37" spans="1:19" ht="12.75" customHeight="1" x14ac:dyDescent="0.2">
      <c r="A37" s="456" t="s">
        <v>1044</v>
      </c>
      <c r="B37" s="729"/>
      <c r="C37" s="296">
        <f>ROUND(SUM(C24:C36),0)</f>
        <v>-29</v>
      </c>
      <c r="D37" s="296">
        <f t="shared" ref="D37:N37" si="6">ROUND(SUM(D24:D36),0)</f>
        <v>-30</v>
      </c>
      <c r="E37" s="296">
        <f t="shared" si="6"/>
        <v>-27</v>
      </c>
      <c r="F37" s="296">
        <f t="shared" si="6"/>
        <v>-28</v>
      </c>
      <c r="G37" s="296">
        <f t="shared" si="6"/>
        <v>-27</v>
      </c>
      <c r="H37" s="296">
        <f t="shared" si="6"/>
        <v>-28</v>
      </c>
      <c r="I37" s="296">
        <f t="shared" si="6"/>
        <v>-28</v>
      </c>
      <c r="J37" s="296">
        <f t="shared" si="6"/>
        <v>-27</v>
      </c>
      <c r="K37" s="296">
        <f t="shared" si="6"/>
        <v>-28</v>
      </c>
      <c r="L37" s="296">
        <f t="shared" si="6"/>
        <v>-27</v>
      </c>
      <c r="M37" s="296">
        <f t="shared" si="6"/>
        <v>-27</v>
      </c>
      <c r="N37" s="296">
        <f t="shared" si="6"/>
        <v>-171</v>
      </c>
      <c r="O37" s="296">
        <f>SUM(O24:O35)</f>
        <v>-477</v>
      </c>
      <c r="P37" s="296">
        <f>SUM(P24:P35)</f>
        <v>-59</v>
      </c>
      <c r="Q37" s="296">
        <f>SUM(Q24:Q35)</f>
        <v>-418</v>
      </c>
      <c r="R37" s="9"/>
      <c r="S37" s="13"/>
    </row>
    <row r="38" spans="1:19" ht="8.1" customHeight="1" x14ac:dyDescent="0.2">
      <c r="A38" s="302"/>
      <c r="B38" s="728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2"/>
      <c r="P38" s="293"/>
      <c r="Q38" s="292"/>
      <c r="R38" s="9"/>
    </row>
    <row r="39" spans="1:19" ht="12.75" customHeight="1" x14ac:dyDescent="0.2">
      <c r="A39" s="456" t="s">
        <v>561</v>
      </c>
      <c r="B39" s="730"/>
      <c r="C39" s="298">
        <f t="shared" ref="C39:Q39" si="7">ROUND(+C20+C37,0)</f>
        <v>13565</v>
      </c>
      <c r="D39" s="298">
        <f t="shared" si="7"/>
        <v>12079</v>
      </c>
      <c r="E39" s="298">
        <f t="shared" si="7"/>
        <v>13229</v>
      </c>
      <c r="F39" s="298">
        <f t="shared" si="7"/>
        <v>12985</v>
      </c>
      <c r="G39" s="298">
        <f t="shared" si="7"/>
        <v>13446</v>
      </c>
      <c r="H39" s="298">
        <f t="shared" si="7"/>
        <v>14152</v>
      </c>
      <c r="I39" s="298">
        <f t="shared" si="7"/>
        <v>15196</v>
      </c>
      <c r="J39" s="298">
        <f t="shared" si="7"/>
        <v>15187</v>
      </c>
      <c r="K39" s="298">
        <f t="shared" si="7"/>
        <v>14659</v>
      </c>
      <c r="L39" s="298">
        <f t="shared" si="7"/>
        <v>15005</v>
      </c>
      <c r="M39" s="298">
        <f t="shared" si="7"/>
        <v>15160</v>
      </c>
      <c r="N39" s="298">
        <f t="shared" si="7"/>
        <v>15579</v>
      </c>
      <c r="O39" s="298">
        <f t="shared" si="7"/>
        <v>170242</v>
      </c>
      <c r="P39" s="298">
        <f t="shared" si="7"/>
        <v>25644</v>
      </c>
      <c r="Q39" s="298">
        <f t="shared" si="7"/>
        <v>144598</v>
      </c>
      <c r="R39" s="9"/>
    </row>
    <row r="42" spans="1:19" x14ac:dyDescent="0.2">
      <c r="A42" s="654" t="s">
        <v>543</v>
      </c>
      <c r="B42" s="731"/>
      <c r="C42" s="614"/>
      <c r="D42" s="614"/>
      <c r="E42" s="614"/>
      <c r="F42" s="614"/>
      <c r="G42" s="614"/>
      <c r="H42" s="614"/>
      <c r="I42" s="614"/>
      <c r="J42" s="614"/>
      <c r="K42" s="614"/>
      <c r="L42" s="614"/>
      <c r="M42" s="614"/>
      <c r="N42" s="614"/>
      <c r="O42" s="614"/>
      <c r="P42" s="614"/>
      <c r="Q42" s="614"/>
    </row>
    <row r="43" spans="1:19" x14ac:dyDescent="0.2">
      <c r="A43" s="635" t="s">
        <v>542</v>
      </c>
      <c r="B43" s="732" t="s">
        <v>635</v>
      </c>
      <c r="C43" s="983">
        <f>DataBase!C35</f>
        <v>0</v>
      </c>
      <c r="D43" s="983">
        <f>DataBase!D35</f>
        <v>0</v>
      </c>
      <c r="E43" s="983">
        <f>DataBase!E35</f>
        <v>0</v>
      </c>
      <c r="F43" s="983">
        <f>DataBase!F35</f>
        <v>0</v>
      </c>
      <c r="G43" s="983">
        <f>DataBase!G35</f>
        <v>0</v>
      </c>
      <c r="H43" s="983">
        <f>DataBase!H35</f>
        <v>0</v>
      </c>
      <c r="I43" s="983">
        <f>DataBase!I35</f>
        <v>0</v>
      </c>
      <c r="J43" s="983">
        <f>DataBase!J35</f>
        <v>0</v>
      </c>
      <c r="K43" s="983">
        <f>DataBase!K35</f>
        <v>0</v>
      </c>
      <c r="L43" s="983">
        <f>DataBase!L35</f>
        <v>0</v>
      </c>
      <c r="M43" s="983">
        <f>DataBase!M35</f>
        <v>0</v>
      </c>
      <c r="N43" s="983">
        <f>DataBase!N35</f>
        <v>0</v>
      </c>
      <c r="O43" s="615">
        <f t="shared" ref="O43:O48" si="8">SUM(C43:N43)</f>
        <v>0</v>
      </c>
      <c r="P43" s="293">
        <f t="shared" ref="P43:P56" si="9">SUM(C43:D43)</f>
        <v>0</v>
      </c>
      <c r="Q43" s="607">
        <f t="shared" ref="Q43:Q48" si="10">O43-P43</f>
        <v>0</v>
      </c>
    </row>
    <row r="44" spans="1:19" x14ac:dyDescent="0.2">
      <c r="A44" s="635" t="s">
        <v>911</v>
      </c>
      <c r="B44" s="732" t="s">
        <v>635</v>
      </c>
      <c r="C44" s="983">
        <f>DataBase!C36</f>
        <v>0</v>
      </c>
      <c r="D44" s="983">
        <f>DataBase!D36</f>
        <v>0</v>
      </c>
      <c r="E44" s="983">
        <f>DataBase!E36</f>
        <v>0</v>
      </c>
      <c r="F44" s="983">
        <f>DataBase!F36</f>
        <v>0</v>
      </c>
      <c r="G44" s="983">
        <f>DataBase!G36</f>
        <v>0</v>
      </c>
      <c r="H44" s="983">
        <f>DataBase!H36</f>
        <v>0</v>
      </c>
      <c r="I44" s="983">
        <f>DataBase!I36</f>
        <v>0</v>
      </c>
      <c r="J44" s="983">
        <f>DataBase!J36</f>
        <v>0</v>
      </c>
      <c r="K44" s="983">
        <f>DataBase!K36</f>
        <v>0</v>
      </c>
      <c r="L44" s="983">
        <f>DataBase!L36</f>
        <v>0</v>
      </c>
      <c r="M44" s="983">
        <f>DataBase!M36</f>
        <v>0</v>
      </c>
      <c r="N44" s="983">
        <f>DataBase!N36</f>
        <v>0</v>
      </c>
      <c r="O44" s="615">
        <f t="shared" si="8"/>
        <v>0</v>
      </c>
      <c r="P44" s="293">
        <f t="shared" si="9"/>
        <v>0</v>
      </c>
      <c r="Q44" s="607">
        <f t="shared" si="10"/>
        <v>0</v>
      </c>
    </row>
    <row r="45" spans="1:19" x14ac:dyDescent="0.2">
      <c r="A45" s="636" t="s">
        <v>1017</v>
      </c>
      <c r="B45" s="732" t="s">
        <v>635</v>
      </c>
      <c r="C45" s="983">
        <f>DataBase!C37</f>
        <v>0</v>
      </c>
      <c r="D45" s="983">
        <f>DataBase!D37</f>
        <v>0</v>
      </c>
      <c r="E45" s="983">
        <f>DataBase!E37</f>
        <v>0</v>
      </c>
      <c r="F45" s="983">
        <f>DataBase!F37</f>
        <v>0</v>
      </c>
      <c r="G45" s="983">
        <f>DataBase!G37</f>
        <v>0</v>
      </c>
      <c r="H45" s="983">
        <f>DataBase!H37</f>
        <v>0</v>
      </c>
      <c r="I45" s="983">
        <f>DataBase!I37</f>
        <v>0</v>
      </c>
      <c r="J45" s="983">
        <f>DataBase!J37</f>
        <v>0</v>
      </c>
      <c r="K45" s="983">
        <f>DataBase!K37</f>
        <v>0</v>
      </c>
      <c r="L45" s="983">
        <f>DataBase!L37</f>
        <v>0</v>
      </c>
      <c r="M45" s="983">
        <f>DataBase!M37</f>
        <v>0</v>
      </c>
      <c r="N45" s="983">
        <f>DataBase!N37</f>
        <v>0</v>
      </c>
      <c r="O45" s="615">
        <f t="shared" si="8"/>
        <v>0</v>
      </c>
      <c r="P45" s="293">
        <f t="shared" si="9"/>
        <v>0</v>
      </c>
      <c r="Q45" s="607">
        <f t="shared" si="10"/>
        <v>0</v>
      </c>
    </row>
    <row r="46" spans="1:19" x14ac:dyDescent="0.2">
      <c r="A46" s="636" t="s">
        <v>1018</v>
      </c>
      <c r="B46" s="732" t="s">
        <v>635</v>
      </c>
      <c r="C46" s="983">
        <f>DataBase!C38</f>
        <v>0</v>
      </c>
      <c r="D46" s="983">
        <f>DataBase!D38</f>
        <v>0</v>
      </c>
      <c r="E46" s="983">
        <f>DataBase!E38</f>
        <v>0</v>
      </c>
      <c r="F46" s="983">
        <f>DataBase!F38</f>
        <v>0</v>
      </c>
      <c r="G46" s="983">
        <f>DataBase!G38</f>
        <v>0</v>
      </c>
      <c r="H46" s="983">
        <f>DataBase!H38</f>
        <v>0</v>
      </c>
      <c r="I46" s="983">
        <f>DataBase!I38</f>
        <v>0</v>
      </c>
      <c r="J46" s="983">
        <f>DataBase!J38</f>
        <v>0</v>
      </c>
      <c r="K46" s="983">
        <f>DataBase!K38</f>
        <v>0</v>
      </c>
      <c r="L46" s="983">
        <f>DataBase!L38</f>
        <v>0</v>
      </c>
      <c r="M46" s="983">
        <f>DataBase!M38</f>
        <v>0</v>
      </c>
      <c r="N46" s="983">
        <f>DataBase!N38</f>
        <v>0</v>
      </c>
      <c r="O46" s="615">
        <f t="shared" si="8"/>
        <v>0</v>
      </c>
      <c r="P46" s="293">
        <f t="shared" si="9"/>
        <v>0</v>
      </c>
      <c r="Q46" s="607">
        <f t="shared" si="10"/>
        <v>0</v>
      </c>
    </row>
    <row r="47" spans="1:19" x14ac:dyDescent="0.2">
      <c r="A47" s="635" t="s">
        <v>1008</v>
      </c>
      <c r="B47" s="732" t="s">
        <v>635</v>
      </c>
      <c r="C47" s="983">
        <f>DataBase!C39</f>
        <v>0</v>
      </c>
      <c r="D47" s="983">
        <f>DataBase!D39</f>
        <v>0</v>
      </c>
      <c r="E47" s="983">
        <f>DataBase!E39</f>
        <v>0</v>
      </c>
      <c r="F47" s="983">
        <f>DataBase!F39</f>
        <v>0</v>
      </c>
      <c r="G47" s="983">
        <f>DataBase!G39</f>
        <v>0</v>
      </c>
      <c r="H47" s="983">
        <f>DataBase!H39</f>
        <v>0</v>
      </c>
      <c r="I47" s="983">
        <f>DataBase!I39</f>
        <v>0</v>
      </c>
      <c r="J47" s="983">
        <f>DataBase!J39</f>
        <v>0</v>
      </c>
      <c r="K47" s="983">
        <f>DataBase!K39</f>
        <v>0</v>
      </c>
      <c r="L47" s="983">
        <f>DataBase!L39</f>
        <v>0</v>
      </c>
      <c r="M47" s="983">
        <f>DataBase!M39</f>
        <v>0</v>
      </c>
      <c r="N47" s="983">
        <f>DataBase!N39</f>
        <v>0</v>
      </c>
      <c r="O47" s="615">
        <f t="shared" si="8"/>
        <v>0</v>
      </c>
      <c r="P47" s="293">
        <f t="shared" si="9"/>
        <v>0</v>
      </c>
      <c r="Q47" s="607">
        <f t="shared" si="10"/>
        <v>0</v>
      </c>
    </row>
    <row r="48" spans="1:19" x14ac:dyDescent="0.2">
      <c r="A48" s="635" t="s">
        <v>1016</v>
      </c>
      <c r="B48" s="732" t="s">
        <v>635</v>
      </c>
      <c r="C48" s="983">
        <f>DataBase!C40</f>
        <v>0</v>
      </c>
      <c r="D48" s="983">
        <f>DataBase!D40</f>
        <v>0</v>
      </c>
      <c r="E48" s="983">
        <f>DataBase!E40</f>
        <v>0</v>
      </c>
      <c r="F48" s="983">
        <f>DataBase!F40</f>
        <v>0</v>
      </c>
      <c r="G48" s="983">
        <f>DataBase!G40</f>
        <v>0</v>
      </c>
      <c r="H48" s="983">
        <f>DataBase!H40</f>
        <v>0</v>
      </c>
      <c r="I48" s="983">
        <f>DataBase!I40</f>
        <v>0</v>
      </c>
      <c r="J48" s="983">
        <f>DataBase!J40</f>
        <v>0</v>
      </c>
      <c r="K48" s="983">
        <f>DataBase!K40</f>
        <v>0</v>
      </c>
      <c r="L48" s="983">
        <f>DataBase!L40</f>
        <v>0</v>
      </c>
      <c r="M48" s="983">
        <f>DataBase!M40</f>
        <v>0</v>
      </c>
      <c r="N48" s="983">
        <f>DataBase!N40</f>
        <v>0</v>
      </c>
      <c r="O48" s="615">
        <f t="shared" si="8"/>
        <v>0</v>
      </c>
      <c r="P48" s="293">
        <f t="shared" si="9"/>
        <v>0</v>
      </c>
      <c r="Q48" s="607">
        <f t="shared" si="10"/>
        <v>0</v>
      </c>
    </row>
    <row r="49" spans="1:17" ht="6" customHeight="1" x14ac:dyDescent="0.2">
      <c r="A49" s="635"/>
      <c r="B49" s="732"/>
      <c r="C49" s="608"/>
      <c r="D49" s="608"/>
      <c r="E49" s="608"/>
      <c r="F49" s="608"/>
      <c r="G49" s="608"/>
      <c r="H49" s="608"/>
      <c r="I49" s="608"/>
      <c r="J49" s="608"/>
      <c r="K49" s="608"/>
      <c r="L49" s="608"/>
      <c r="M49" s="608"/>
      <c r="N49" s="608"/>
      <c r="O49" s="615"/>
      <c r="P49" s="608"/>
      <c r="Q49" s="607"/>
    </row>
    <row r="50" spans="1:17" x14ac:dyDescent="0.2">
      <c r="A50" s="646" t="s">
        <v>158</v>
      </c>
      <c r="B50" s="733" t="s">
        <v>562</v>
      </c>
      <c r="C50" s="983">
        <f>DataBase!C42</f>
        <v>0</v>
      </c>
      <c r="D50" s="983">
        <f>DataBase!D42</f>
        <v>0</v>
      </c>
      <c r="E50" s="983">
        <f>DataBase!E42</f>
        <v>0</v>
      </c>
      <c r="F50" s="983">
        <f>DataBase!F42</f>
        <v>0</v>
      </c>
      <c r="G50" s="983">
        <f>DataBase!G42</f>
        <v>0</v>
      </c>
      <c r="H50" s="983">
        <f>DataBase!H42</f>
        <v>0</v>
      </c>
      <c r="I50" s="983">
        <f>DataBase!I42</f>
        <v>0</v>
      </c>
      <c r="J50" s="983">
        <f>DataBase!J42</f>
        <v>0</v>
      </c>
      <c r="K50" s="983">
        <f>DataBase!K42</f>
        <v>0</v>
      </c>
      <c r="L50" s="983">
        <f>DataBase!L42</f>
        <v>0</v>
      </c>
      <c r="M50" s="983">
        <f>DataBase!M42</f>
        <v>0</v>
      </c>
      <c r="N50" s="983">
        <f>DataBase!N42</f>
        <v>0</v>
      </c>
      <c r="O50" s="615">
        <f t="shared" ref="O50:O56" si="11">SUM(C50:N50)</f>
        <v>0</v>
      </c>
      <c r="P50" s="293">
        <f t="shared" si="9"/>
        <v>0</v>
      </c>
      <c r="Q50" s="607">
        <f t="shared" ref="Q50:Q56" si="12">O50-P50</f>
        <v>0</v>
      </c>
    </row>
    <row r="51" spans="1:17" x14ac:dyDescent="0.2">
      <c r="A51" s="635" t="s">
        <v>159</v>
      </c>
      <c r="B51" s="733" t="s">
        <v>562</v>
      </c>
      <c r="C51" s="983">
        <f>DataBase!C43</f>
        <v>0</v>
      </c>
      <c r="D51" s="983">
        <f>DataBase!D43</f>
        <v>0</v>
      </c>
      <c r="E51" s="983">
        <f>DataBase!E43</f>
        <v>0</v>
      </c>
      <c r="F51" s="983">
        <f>DataBase!F43</f>
        <v>0</v>
      </c>
      <c r="G51" s="983">
        <f>DataBase!G43</f>
        <v>0</v>
      </c>
      <c r="H51" s="983">
        <f>DataBase!H43</f>
        <v>0</v>
      </c>
      <c r="I51" s="983">
        <f>DataBase!I43</f>
        <v>0</v>
      </c>
      <c r="J51" s="983">
        <f>DataBase!J43</f>
        <v>0</v>
      </c>
      <c r="K51" s="983">
        <f>DataBase!K43</f>
        <v>0</v>
      </c>
      <c r="L51" s="983">
        <f>DataBase!L43</f>
        <v>0</v>
      </c>
      <c r="M51" s="983">
        <f>DataBase!M43</f>
        <v>0</v>
      </c>
      <c r="N51" s="983">
        <f>DataBase!N43</f>
        <v>0</v>
      </c>
      <c r="O51" s="607">
        <f t="shared" si="11"/>
        <v>0</v>
      </c>
      <c r="P51" s="293">
        <f t="shared" si="9"/>
        <v>0</v>
      </c>
      <c r="Q51" s="607">
        <f t="shared" si="12"/>
        <v>0</v>
      </c>
    </row>
    <row r="52" spans="1:17" x14ac:dyDescent="0.2">
      <c r="A52" s="635" t="s">
        <v>816</v>
      </c>
      <c r="B52" s="733" t="s">
        <v>562</v>
      </c>
      <c r="C52" s="983">
        <f>DataBase!C44</f>
        <v>24</v>
      </c>
      <c r="D52" s="983">
        <f>DataBase!D44</f>
        <v>24</v>
      </c>
      <c r="E52" s="983">
        <f>DataBase!E44</f>
        <v>23</v>
      </c>
      <c r="F52" s="983">
        <f>DataBase!F44</f>
        <v>24</v>
      </c>
      <c r="G52" s="983">
        <f>DataBase!G44</f>
        <v>24</v>
      </c>
      <c r="H52" s="983">
        <f>DataBase!H44</f>
        <v>23</v>
      </c>
      <c r="I52" s="983">
        <f>DataBase!I44</f>
        <v>24</v>
      </c>
      <c r="J52" s="983">
        <f>DataBase!J44</f>
        <v>24</v>
      </c>
      <c r="K52" s="983">
        <f>DataBase!K44</f>
        <v>23</v>
      </c>
      <c r="L52" s="983">
        <f>DataBase!L44</f>
        <v>24</v>
      </c>
      <c r="M52" s="983">
        <f>DataBase!M44</f>
        <v>24</v>
      </c>
      <c r="N52" s="983">
        <f>DataBase!N44</f>
        <v>24</v>
      </c>
      <c r="O52" s="607">
        <f t="shared" si="11"/>
        <v>285</v>
      </c>
      <c r="P52" s="293">
        <f t="shared" si="9"/>
        <v>48</v>
      </c>
      <c r="Q52" s="607">
        <f t="shared" si="12"/>
        <v>237</v>
      </c>
    </row>
    <row r="53" spans="1:17" x14ac:dyDescent="0.2">
      <c r="A53" s="635" t="s">
        <v>33</v>
      </c>
      <c r="B53" s="733" t="s">
        <v>562</v>
      </c>
      <c r="C53" s="983">
        <f>DataBase!C45</f>
        <v>0</v>
      </c>
      <c r="D53" s="983">
        <f>DataBase!D45</f>
        <v>0</v>
      </c>
      <c r="E53" s="983">
        <f>DataBase!E45</f>
        <v>0</v>
      </c>
      <c r="F53" s="983">
        <f>DataBase!F45</f>
        <v>0</v>
      </c>
      <c r="G53" s="983">
        <f>DataBase!G45</f>
        <v>0</v>
      </c>
      <c r="H53" s="983">
        <f>DataBase!H45</f>
        <v>0</v>
      </c>
      <c r="I53" s="983">
        <f>DataBase!I45</f>
        <v>0</v>
      </c>
      <c r="J53" s="983">
        <f>DataBase!J45</f>
        <v>0</v>
      </c>
      <c r="K53" s="983">
        <f>DataBase!K45</f>
        <v>0</v>
      </c>
      <c r="L53" s="983">
        <f>DataBase!L45</f>
        <v>0</v>
      </c>
      <c r="M53" s="983">
        <f>DataBase!M45</f>
        <v>0</v>
      </c>
      <c r="N53" s="983">
        <f>DataBase!N45</f>
        <v>0</v>
      </c>
      <c r="O53" s="607">
        <f t="shared" si="11"/>
        <v>0</v>
      </c>
      <c r="P53" s="293">
        <f t="shared" si="9"/>
        <v>0</v>
      </c>
      <c r="Q53" s="607">
        <f t="shared" si="12"/>
        <v>0</v>
      </c>
    </row>
    <row r="54" spans="1:17" x14ac:dyDescent="0.2">
      <c r="A54" s="635" t="s">
        <v>623</v>
      </c>
      <c r="B54" s="734"/>
      <c r="C54" s="983">
        <f>DataBase!C46</f>
        <v>0</v>
      </c>
      <c r="D54" s="983">
        <f>DataBase!D46</f>
        <v>0</v>
      </c>
      <c r="E54" s="983">
        <f>DataBase!E46</f>
        <v>0</v>
      </c>
      <c r="F54" s="983">
        <f>DataBase!F46</f>
        <v>0</v>
      </c>
      <c r="G54" s="983">
        <f>DataBase!G46</f>
        <v>0</v>
      </c>
      <c r="H54" s="983">
        <f>DataBase!H46</f>
        <v>0</v>
      </c>
      <c r="I54" s="983">
        <f>DataBase!I46</f>
        <v>0</v>
      </c>
      <c r="J54" s="983">
        <f>DataBase!J46</f>
        <v>0</v>
      </c>
      <c r="K54" s="983">
        <f>DataBase!K46</f>
        <v>0</v>
      </c>
      <c r="L54" s="983">
        <f>DataBase!L46</f>
        <v>0</v>
      </c>
      <c r="M54" s="983">
        <f>DataBase!M46</f>
        <v>0</v>
      </c>
      <c r="N54" s="983">
        <f>DataBase!N46</f>
        <v>0</v>
      </c>
      <c r="O54" s="607">
        <f t="shared" si="11"/>
        <v>0</v>
      </c>
      <c r="P54" s="293">
        <f t="shared" si="9"/>
        <v>0</v>
      </c>
      <c r="Q54" s="607">
        <f t="shared" si="12"/>
        <v>0</v>
      </c>
    </row>
    <row r="55" spans="1:17" x14ac:dyDescent="0.2">
      <c r="A55" s="635" t="s">
        <v>623</v>
      </c>
      <c r="B55" s="734"/>
      <c r="C55" s="983">
        <f>DataBase!C47</f>
        <v>0</v>
      </c>
      <c r="D55" s="983">
        <f>DataBase!D47</f>
        <v>0</v>
      </c>
      <c r="E55" s="983">
        <f>DataBase!E47</f>
        <v>0</v>
      </c>
      <c r="F55" s="983">
        <f>DataBase!F47</f>
        <v>0</v>
      </c>
      <c r="G55" s="983">
        <f>DataBase!G47</f>
        <v>0</v>
      </c>
      <c r="H55" s="983">
        <f>DataBase!H47</f>
        <v>0</v>
      </c>
      <c r="I55" s="983">
        <f>DataBase!I47</f>
        <v>0</v>
      </c>
      <c r="J55" s="983">
        <f>DataBase!J47</f>
        <v>0</v>
      </c>
      <c r="K55" s="983">
        <f>DataBase!K47</f>
        <v>0</v>
      </c>
      <c r="L55" s="983">
        <f>DataBase!L47</f>
        <v>0</v>
      </c>
      <c r="M55" s="983">
        <f>DataBase!M47</f>
        <v>0</v>
      </c>
      <c r="N55" s="983">
        <f>DataBase!N47</f>
        <v>0</v>
      </c>
      <c r="O55" s="607">
        <f t="shared" si="11"/>
        <v>0</v>
      </c>
      <c r="P55" s="293">
        <f t="shared" si="9"/>
        <v>0</v>
      </c>
      <c r="Q55" s="607">
        <f t="shared" si="12"/>
        <v>0</v>
      </c>
    </row>
    <row r="56" spans="1:17" x14ac:dyDescent="0.2">
      <c r="A56" s="636" t="s">
        <v>622</v>
      </c>
      <c r="B56" s="734"/>
      <c r="C56" s="611">
        <v>0</v>
      </c>
      <c r="D56" s="611">
        <v>0</v>
      </c>
      <c r="E56" s="611">
        <f>0</f>
        <v>0</v>
      </c>
      <c r="F56" s="611">
        <f>0</f>
        <v>0</v>
      </c>
      <c r="G56" s="611">
        <v>0</v>
      </c>
      <c r="H56" s="611">
        <v>0</v>
      </c>
      <c r="I56" s="611">
        <v>0</v>
      </c>
      <c r="J56" s="611">
        <v>0</v>
      </c>
      <c r="K56" s="611">
        <v>0</v>
      </c>
      <c r="L56" s="611">
        <v>0</v>
      </c>
      <c r="M56" s="611">
        <v>0</v>
      </c>
      <c r="N56" s="611">
        <v>0</v>
      </c>
      <c r="O56" s="610">
        <f t="shared" si="11"/>
        <v>0</v>
      </c>
      <c r="P56" s="301">
        <f t="shared" si="9"/>
        <v>0</v>
      </c>
      <c r="Q56" s="610">
        <f t="shared" si="12"/>
        <v>0</v>
      </c>
    </row>
    <row r="57" spans="1:17" ht="6" customHeight="1" x14ac:dyDescent="0.2">
      <c r="A57" s="637"/>
      <c r="B57" s="734"/>
      <c r="C57" s="608"/>
      <c r="D57" s="608"/>
      <c r="E57" s="608"/>
      <c r="F57" s="608"/>
      <c r="G57" s="608"/>
      <c r="H57" s="608"/>
      <c r="I57" s="608"/>
      <c r="J57" s="608"/>
      <c r="K57" s="608"/>
      <c r="L57" s="608"/>
      <c r="M57" s="608"/>
      <c r="N57" s="608"/>
      <c r="O57" s="607"/>
      <c r="P57" s="608"/>
      <c r="Q57" s="607"/>
    </row>
    <row r="58" spans="1:17" x14ac:dyDescent="0.2">
      <c r="A58" s="639" t="s">
        <v>636</v>
      </c>
      <c r="B58" s="735"/>
      <c r="C58" s="613">
        <f t="shared" ref="C58:Q58" si="13">SUM(C43:C57)</f>
        <v>24</v>
      </c>
      <c r="D58" s="613">
        <f t="shared" si="13"/>
        <v>24</v>
      </c>
      <c r="E58" s="613">
        <f t="shared" si="13"/>
        <v>23</v>
      </c>
      <c r="F58" s="613">
        <f t="shared" si="13"/>
        <v>24</v>
      </c>
      <c r="G58" s="613">
        <f t="shared" si="13"/>
        <v>24</v>
      </c>
      <c r="H58" s="613">
        <f t="shared" si="13"/>
        <v>23</v>
      </c>
      <c r="I58" s="613">
        <f t="shared" si="13"/>
        <v>24</v>
      </c>
      <c r="J58" s="613">
        <f t="shared" si="13"/>
        <v>24</v>
      </c>
      <c r="K58" s="613">
        <f t="shared" si="13"/>
        <v>23</v>
      </c>
      <c r="L58" s="613">
        <f t="shared" si="13"/>
        <v>24</v>
      </c>
      <c r="M58" s="613">
        <f t="shared" si="13"/>
        <v>24</v>
      </c>
      <c r="N58" s="613">
        <f t="shared" si="13"/>
        <v>24</v>
      </c>
      <c r="O58" s="613">
        <f t="shared" si="13"/>
        <v>285</v>
      </c>
      <c r="P58" s="613">
        <f t="shared" si="13"/>
        <v>48</v>
      </c>
      <c r="Q58" s="613">
        <f t="shared" si="13"/>
        <v>237</v>
      </c>
    </row>
    <row r="59" spans="1:17" x14ac:dyDescent="0.2">
      <c r="A59" s="629"/>
      <c r="B59" s="718"/>
      <c r="C59" s="613"/>
      <c r="D59" s="612"/>
      <c r="E59" s="612"/>
      <c r="F59" s="612"/>
      <c r="G59" s="612"/>
      <c r="H59" s="612"/>
      <c r="I59" s="612"/>
      <c r="J59" s="612"/>
      <c r="K59" s="612"/>
      <c r="L59" s="612"/>
      <c r="M59" s="612"/>
      <c r="N59" s="612"/>
      <c r="O59" s="612"/>
      <c r="P59" s="612"/>
      <c r="Q59" s="612"/>
    </row>
    <row r="60" spans="1:17" x14ac:dyDescent="0.2">
      <c r="A60" s="629"/>
      <c r="B60" s="718"/>
      <c r="C60" s="613"/>
      <c r="D60" s="612"/>
      <c r="E60" s="612"/>
      <c r="F60" s="612"/>
      <c r="G60" s="612"/>
      <c r="H60" s="612"/>
      <c r="I60" s="612"/>
      <c r="J60" s="612"/>
      <c r="K60" s="612"/>
      <c r="L60" s="612"/>
      <c r="M60" s="612"/>
      <c r="N60" s="612"/>
      <c r="O60" s="612"/>
      <c r="P60" s="612"/>
      <c r="Q60" s="612"/>
    </row>
    <row r="61" spans="1:17" x14ac:dyDescent="0.2">
      <c r="A61" s="629"/>
      <c r="B61" s="736"/>
      <c r="C61" s="616"/>
      <c r="D61" s="616"/>
      <c r="E61" s="616"/>
      <c r="F61" s="616"/>
      <c r="G61" s="616"/>
      <c r="H61" s="616"/>
      <c r="I61" s="616"/>
      <c r="J61" s="616"/>
      <c r="K61" s="616"/>
      <c r="L61" s="616"/>
      <c r="M61" s="616"/>
      <c r="N61" s="616"/>
      <c r="O61" s="616"/>
      <c r="P61" s="616"/>
      <c r="Q61" s="616"/>
    </row>
    <row r="62" spans="1:17" ht="15" x14ac:dyDescent="0.2">
      <c r="A62" s="640" t="s">
        <v>637</v>
      </c>
      <c r="B62" s="736"/>
      <c r="C62" s="617"/>
      <c r="D62" s="617"/>
      <c r="E62" s="617"/>
      <c r="F62" s="617"/>
      <c r="G62" s="618"/>
      <c r="H62" s="617"/>
      <c r="I62" s="617"/>
      <c r="J62" s="617"/>
      <c r="K62" s="617"/>
      <c r="L62" s="617"/>
      <c r="M62" s="617"/>
      <c r="N62" s="617"/>
      <c r="O62" s="617"/>
      <c r="P62" s="619"/>
      <c r="Q62" s="616"/>
    </row>
    <row r="63" spans="1:17" ht="15" x14ac:dyDescent="0.2">
      <c r="A63" s="641" t="s">
        <v>638</v>
      </c>
      <c r="B63" s="736"/>
      <c r="C63" s="617"/>
      <c r="D63" s="617"/>
      <c r="E63" s="617"/>
      <c r="F63" s="617"/>
      <c r="G63" s="617"/>
      <c r="H63" s="617"/>
      <c r="I63" s="617"/>
      <c r="J63" s="617"/>
      <c r="K63" s="617"/>
      <c r="L63" s="617"/>
      <c r="M63" s="617"/>
      <c r="N63" s="617"/>
      <c r="O63" s="617"/>
      <c r="P63" s="619"/>
      <c r="Q63" s="616"/>
    </row>
    <row r="64" spans="1:17" ht="15" x14ac:dyDescent="0.2">
      <c r="A64" s="642" t="str">
        <f>A3</f>
        <v>2002 OPERATING PLAN</v>
      </c>
      <c r="B64" s="737">
        <f ca="1">NOW()</f>
        <v>37189.6149224537</v>
      </c>
      <c r="C64" s="620" t="str">
        <f>C3</f>
        <v>PLAN</v>
      </c>
      <c r="D64" s="620" t="str">
        <f t="shared" ref="D64:O64" si="14">D3</f>
        <v>PLAN</v>
      </c>
      <c r="E64" s="620" t="str">
        <f t="shared" si="14"/>
        <v>ACT.</v>
      </c>
      <c r="F64" s="620" t="str">
        <f t="shared" si="14"/>
        <v>PLAN</v>
      </c>
      <c r="G64" s="620" t="str">
        <f t="shared" si="14"/>
        <v>PLAN</v>
      </c>
      <c r="H64" s="620" t="str">
        <f t="shared" si="14"/>
        <v>PLAN</v>
      </c>
      <c r="I64" s="620" t="str">
        <f t="shared" si="14"/>
        <v>PLAN</v>
      </c>
      <c r="J64" s="620" t="str">
        <f t="shared" si="14"/>
        <v>PLAN</v>
      </c>
      <c r="K64" s="620" t="str">
        <f t="shared" si="14"/>
        <v>PLAN</v>
      </c>
      <c r="L64" s="620" t="str">
        <f t="shared" si="14"/>
        <v>PLAN</v>
      </c>
      <c r="M64" s="620" t="str">
        <f t="shared" si="14"/>
        <v>PLAN</v>
      </c>
      <c r="N64" s="620" t="str">
        <f t="shared" si="14"/>
        <v>PLAN</v>
      </c>
      <c r="O64" s="620" t="str">
        <f t="shared" si="14"/>
        <v>TOTAL</v>
      </c>
      <c r="P64" s="621"/>
      <c r="Q64" s="616"/>
    </row>
    <row r="65" spans="1:17" ht="15" x14ac:dyDescent="0.2">
      <c r="A65" s="643"/>
      <c r="B65" s="738">
        <f ca="1">NOW()</f>
        <v>37189.6149224537</v>
      </c>
      <c r="C65" s="622" t="str">
        <f>C4</f>
        <v>JAN</v>
      </c>
      <c r="D65" s="622" t="str">
        <f t="shared" ref="D65:O65" si="15">D4</f>
        <v>FEB</v>
      </c>
      <c r="E65" s="622" t="str">
        <f t="shared" si="15"/>
        <v>MAR</v>
      </c>
      <c r="F65" s="622" t="str">
        <f t="shared" si="15"/>
        <v>APR</v>
      </c>
      <c r="G65" s="622" t="str">
        <f t="shared" si="15"/>
        <v>MAY</v>
      </c>
      <c r="H65" s="622" t="str">
        <f t="shared" si="15"/>
        <v>JUN</v>
      </c>
      <c r="I65" s="622" t="str">
        <f t="shared" si="15"/>
        <v>JUL</v>
      </c>
      <c r="J65" s="622" t="str">
        <f t="shared" si="15"/>
        <v>AUG</v>
      </c>
      <c r="K65" s="622" t="str">
        <f t="shared" si="15"/>
        <v>SEP</v>
      </c>
      <c r="L65" s="622" t="str">
        <f t="shared" si="15"/>
        <v>OCT</v>
      </c>
      <c r="M65" s="622" t="str">
        <f t="shared" si="15"/>
        <v>NOV</v>
      </c>
      <c r="N65" s="622" t="str">
        <f t="shared" si="15"/>
        <v>DEC</v>
      </c>
      <c r="O65" s="622">
        <f t="shared" si="15"/>
        <v>2002</v>
      </c>
      <c r="P65" s="619"/>
      <c r="Q65" s="616"/>
    </row>
    <row r="66" spans="1:17" ht="6" customHeight="1" x14ac:dyDescent="0.2">
      <c r="A66" s="629"/>
      <c r="B66" s="736"/>
      <c r="C66" s="623"/>
      <c r="D66" s="623"/>
      <c r="E66" s="623"/>
      <c r="F66" s="623"/>
      <c r="G66" s="623"/>
      <c r="H66" s="623"/>
      <c r="I66" s="623"/>
      <c r="J66" s="623"/>
      <c r="K66" s="623"/>
      <c r="L66" s="623"/>
      <c r="M66" s="623"/>
      <c r="N66" s="623"/>
      <c r="O66" s="623"/>
      <c r="P66" s="619"/>
      <c r="Q66" s="616"/>
    </row>
    <row r="67" spans="1:17" ht="12.75" customHeight="1" x14ac:dyDescent="0.2">
      <c r="A67" s="639" t="s">
        <v>641</v>
      </c>
      <c r="B67" s="736"/>
      <c r="C67" s="616"/>
      <c r="D67" s="616"/>
      <c r="E67" s="616"/>
      <c r="F67" s="616"/>
      <c r="G67" s="616"/>
      <c r="H67" s="616"/>
      <c r="I67" s="616"/>
      <c r="J67" s="616"/>
      <c r="K67" s="616"/>
      <c r="L67" s="616"/>
      <c r="M67" s="616"/>
      <c r="N67" s="616"/>
      <c r="O67" s="616"/>
      <c r="P67" s="619"/>
      <c r="Q67" s="616"/>
    </row>
    <row r="68" spans="1:17" ht="12.75" customHeight="1" x14ac:dyDescent="0.2">
      <c r="A68" s="644" t="s">
        <v>642</v>
      </c>
      <c r="B68" s="736"/>
      <c r="C68" s="624">
        <v>0</v>
      </c>
      <c r="D68" s="624">
        <v>0</v>
      </c>
      <c r="E68" s="624">
        <v>0</v>
      </c>
      <c r="F68" s="624">
        <v>0</v>
      </c>
      <c r="G68" s="624">
        <v>0</v>
      </c>
      <c r="H68" s="624">
        <v>0</v>
      </c>
      <c r="I68" s="624">
        <v>0</v>
      </c>
      <c r="J68" s="624">
        <v>0</v>
      </c>
      <c r="K68" s="624">
        <v>0</v>
      </c>
      <c r="L68" s="624">
        <v>0</v>
      </c>
      <c r="M68" s="624">
        <v>0</v>
      </c>
      <c r="N68" s="624">
        <v>0</v>
      </c>
      <c r="O68" s="607">
        <f>SUM(C68:N68)</f>
        <v>0</v>
      </c>
      <c r="P68" s="619"/>
      <c r="Q68" s="616"/>
    </row>
    <row r="69" spans="1:17" ht="12.75" customHeight="1" x14ac:dyDescent="0.2">
      <c r="A69" s="644" t="s">
        <v>643</v>
      </c>
      <c r="B69" s="736"/>
      <c r="C69" s="624">
        <v>0</v>
      </c>
      <c r="D69" s="624">
        <v>0</v>
      </c>
      <c r="E69" s="624">
        <v>0</v>
      </c>
      <c r="F69" s="624">
        <v>0</v>
      </c>
      <c r="G69" s="624">
        <v>0</v>
      </c>
      <c r="H69" s="624">
        <v>0</v>
      </c>
      <c r="I69" s="624">
        <v>0</v>
      </c>
      <c r="J69" s="624">
        <v>0</v>
      </c>
      <c r="K69" s="624">
        <v>0</v>
      </c>
      <c r="L69" s="624">
        <v>0</v>
      </c>
      <c r="M69" s="624">
        <v>0</v>
      </c>
      <c r="N69" s="624">
        <v>0</v>
      </c>
      <c r="O69" s="607">
        <f>SUM(C69:N69)</f>
        <v>0</v>
      </c>
      <c r="P69" s="619"/>
      <c r="Q69" s="616"/>
    </row>
    <row r="70" spans="1:17" ht="12.75" customHeight="1" x14ac:dyDescent="0.2">
      <c r="A70" s="644" t="s">
        <v>644</v>
      </c>
      <c r="B70" s="736"/>
      <c r="C70" s="625">
        <v>0</v>
      </c>
      <c r="D70" s="625">
        <v>0</v>
      </c>
      <c r="E70" s="625">
        <v>0</v>
      </c>
      <c r="F70" s="625">
        <v>0</v>
      </c>
      <c r="G70" s="625">
        <v>0</v>
      </c>
      <c r="H70" s="625">
        <v>0</v>
      </c>
      <c r="I70" s="625">
        <v>0</v>
      </c>
      <c r="J70" s="625">
        <v>0</v>
      </c>
      <c r="K70" s="625">
        <v>0</v>
      </c>
      <c r="L70" s="625">
        <v>0</v>
      </c>
      <c r="M70" s="625">
        <v>0</v>
      </c>
      <c r="N70" s="625">
        <v>0</v>
      </c>
      <c r="O70" s="610">
        <f>SUM(C70:N70)</f>
        <v>0</v>
      </c>
      <c r="P70" s="619"/>
      <c r="Q70" s="616"/>
    </row>
    <row r="71" spans="1:17" ht="6" customHeight="1" x14ac:dyDescent="0.2">
      <c r="A71" s="629"/>
      <c r="B71" s="736"/>
      <c r="C71" s="616"/>
      <c r="D71" s="616"/>
      <c r="E71" s="616"/>
      <c r="F71" s="616"/>
      <c r="G71" s="616"/>
      <c r="H71" s="616"/>
      <c r="I71" s="616"/>
      <c r="J71" s="616"/>
      <c r="K71" s="616"/>
      <c r="L71" s="616"/>
      <c r="M71" s="616"/>
      <c r="N71" s="616"/>
      <c r="O71" s="616"/>
      <c r="P71" s="619"/>
      <c r="Q71" s="616"/>
    </row>
    <row r="72" spans="1:17" ht="12.75" customHeight="1" x14ac:dyDescent="0.2">
      <c r="A72" s="644" t="s">
        <v>645</v>
      </c>
      <c r="B72" s="736"/>
      <c r="C72" s="607">
        <f t="shared" ref="C72:N72" si="16">C68+C69+C70</f>
        <v>0</v>
      </c>
      <c r="D72" s="607">
        <f t="shared" si="16"/>
        <v>0</v>
      </c>
      <c r="E72" s="607">
        <f t="shared" si="16"/>
        <v>0</v>
      </c>
      <c r="F72" s="607">
        <f t="shared" si="16"/>
        <v>0</v>
      </c>
      <c r="G72" s="607">
        <f t="shared" si="16"/>
        <v>0</v>
      </c>
      <c r="H72" s="607">
        <f t="shared" si="16"/>
        <v>0</v>
      </c>
      <c r="I72" s="607">
        <f t="shared" si="16"/>
        <v>0</v>
      </c>
      <c r="J72" s="607">
        <f t="shared" si="16"/>
        <v>0</v>
      </c>
      <c r="K72" s="607">
        <f t="shared" si="16"/>
        <v>0</v>
      </c>
      <c r="L72" s="607">
        <f t="shared" si="16"/>
        <v>0</v>
      </c>
      <c r="M72" s="607">
        <f t="shared" si="16"/>
        <v>0</v>
      </c>
      <c r="N72" s="607">
        <f t="shared" si="16"/>
        <v>0</v>
      </c>
      <c r="O72" s="607">
        <f>SUM(C72:N72)</f>
        <v>0</v>
      </c>
      <c r="P72" s="619"/>
      <c r="Q72" s="616"/>
    </row>
    <row r="73" spans="1:17" ht="6" customHeight="1" x14ac:dyDescent="0.2">
      <c r="A73" s="629"/>
      <c r="B73" s="736"/>
      <c r="C73" s="616"/>
      <c r="D73" s="616"/>
      <c r="E73" s="616"/>
      <c r="F73" s="616"/>
      <c r="G73" s="616"/>
      <c r="H73" s="616"/>
      <c r="I73" s="616"/>
      <c r="J73" s="616"/>
      <c r="K73" s="616"/>
      <c r="L73" s="616"/>
      <c r="M73" s="616"/>
      <c r="N73" s="616"/>
      <c r="O73" s="616"/>
      <c r="P73" s="619"/>
      <c r="Q73" s="616"/>
    </row>
    <row r="74" spans="1:17" ht="12.75" customHeight="1" x14ac:dyDescent="0.2">
      <c r="A74" s="636" t="s">
        <v>646</v>
      </c>
      <c r="B74" s="736"/>
      <c r="C74" s="626" t="e">
        <f t="shared" ref="C74:O74" si="17">C76/C72</f>
        <v>#DIV/0!</v>
      </c>
      <c r="D74" s="626" t="e">
        <f t="shared" si="17"/>
        <v>#DIV/0!</v>
      </c>
      <c r="E74" s="626" t="e">
        <f t="shared" si="17"/>
        <v>#DIV/0!</v>
      </c>
      <c r="F74" s="626" t="e">
        <f t="shared" si="17"/>
        <v>#DIV/0!</v>
      </c>
      <c r="G74" s="626" t="e">
        <f t="shared" si="17"/>
        <v>#DIV/0!</v>
      </c>
      <c r="H74" s="626" t="e">
        <f t="shared" si="17"/>
        <v>#DIV/0!</v>
      </c>
      <c r="I74" s="626" t="e">
        <f t="shared" si="17"/>
        <v>#DIV/0!</v>
      </c>
      <c r="J74" s="626" t="e">
        <f t="shared" si="17"/>
        <v>#DIV/0!</v>
      </c>
      <c r="K74" s="626" t="e">
        <f t="shared" si="17"/>
        <v>#DIV/0!</v>
      </c>
      <c r="L74" s="626" t="e">
        <f t="shared" si="17"/>
        <v>#DIV/0!</v>
      </c>
      <c r="M74" s="626" t="e">
        <f t="shared" si="17"/>
        <v>#DIV/0!</v>
      </c>
      <c r="N74" s="626" t="e">
        <f t="shared" si="17"/>
        <v>#DIV/0!</v>
      </c>
      <c r="O74" s="626" t="e">
        <f t="shared" si="17"/>
        <v>#DIV/0!</v>
      </c>
      <c r="P74" s="619"/>
      <c r="Q74" s="616"/>
    </row>
    <row r="75" spans="1:17" ht="6" customHeight="1" x14ac:dyDescent="0.2">
      <c r="A75" s="629"/>
      <c r="B75" s="736"/>
      <c r="C75" s="616"/>
      <c r="D75" s="616"/>
      <c r="E75" s="616"/>
      <c r="F75" s="616"/>
      <c r="G75" s="616"/>
      <c r="H75" s="616"/>
      <c r="I75" s="616"/>
      <c r="J75" s="616"/>
      <c r="K75" s="616"/>
      <c r="L75" s="616"/>
      <c r="M75" s="616"/>
      <c r="N75" s="616"/>
      <c r="O75" s="616"/>
      <c r="P75" s="619"/>
      <c r="Q75" s="616"/>
    </row>
    <row r="76" spans="1:17" ht="12.75" customHeight="1" x14ac:dyDescent="0.2">
      <c r="A76" s="645" t="s">
        <v>649</v>
      </c>
      <c r="B76" s="739"/>
      <c r="C76" s="627">
        <v>0</v>
      </c>
      <c r="D76" s="627">
        <v>0</v>
      </c>
      <c r="E76" s="627">
        <v>0</v>
      </c>
      <c r="F76" s="627">
        <v>0</v>
      </c>
      <c r="G76" s="627">
        <v>0</v>
      </c>
      <c r="H76" s="627">
        <v>0</v>
      </c>
      <c r="I76" s="627">
        <v>0</v>
      </c>
      <c r="J76" s="627">
        <v>0</v>
      </c>
      <c r="K76" s="627">
        <v>0</v>
      </c>
      <c r="L76" s="627">
        <v>0</v>
      </c>
      <c r="M76" s="627">
        <v>0</v>
      </c>
      <c r="N76" s="627">
        <v>0</v>
      </c>
      <c r="O76" s="628">
        <f>SUM(C76:N76)</f>
        <v>0</v>
      </c>
      <c r="P76" s="619"/>
      <c r="Q76" s="616"/>
    </row>
    <row r="77" spans="1:17" ht="6" customHeight="1" x14ac:dyDescent="0.2">
      <c r="A77" s="629"/>
      <c r="B77" s="736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16"/>
      <c r="P77" s="619"/>
      <c r="Q77" s="616"/>
    </row>
    <row r="78" spans="1:17" ht="12.75" customHeight="1" x14ac:dyDescent="0.2">
      <c r="A78" s="645" t="s">
        <v>650</v>
      </c>
      <c r="B78" s="739"/>
      <c r="C78" s="630">
        <v>0</v>
      </c>
      <c r="D78" s="630">
        <v>0</v>
      </c>
      <c r="E78" s="630">
        <v>0</v>
      </c>
      <c r="F78" s="630">
        <v>0</v>
      </c>
      <c r="G78" s="630">
        <v>0</v>
      </c>
      <c r="H78" s="630">
        <v>0</v>
      </c>
      <c r="I78" s="630">
        <v>0</v>
      </c>
      <c r="J78" s="630">
        <v>0</v>
      </c>
      <c r="K78" s="630">
        <v>0</v>
      </c>
      <c r="L78" s="630">
        <v>0</v>
      </c>
      <c r="M78" s="630">
        <v>0</v>
      </c>
      <c r="N78" s="630">
        <v>0</v>
      </c>
      <c r="O78" s="631">
        <f>SUM(C78:N78)</f>
        <v>0</v>
      </c>
      <c r="P78" s="619"/>
      <c r="Q78" s="616"/>
    </row>
    <row r="79" spans="1:17" ht="6" customHeight="1" x14ac:dyDescent="0.2">
      <c r="A79" s="629"/>
      <c r="B79" s="736"/>
      <c r="C79" s="616"/>
      <c r="D79" s="616"/>
      <c r="E79" s="616"/>
      <c r="F79" s="616"/>
      <c r="G79" s="616"/>
      <c r="H79" s="616"/>
      <c r="I79" s="616"/>
      <c r="J79" s="616"/>
      <c r="K79" s="616"/>
      <c r="L79" s="616"/>
      <c r="M79" s="616"/>
      <c r="N79" s="616"/>
      <c r="O79" s="616"/>
      <c r="P79" s="619"/>
      <c r="Q79" s="616"/>
    </row>
    <row r="80" spans="1:17" ht="12.75" customHeight="1" x14ac:dyDescent="0.2">
      <c r="A80" s="636" t="s">
        <v>651</v>
      </c>
      <c r="B80" s="736"/>
      <c r="C80" s="607">
        <f t="shared" ref="C80:N80" si="18">C76-C78</f>
        <v>0</v>
      </c>
      <c r="D80" s="607">
        <f t="shared" si="18"/>
        <v>0</v>
      </c>
      <c r="E80" s="607">
        <f t="shared" si="18"/>
        <v>0</v>
      </c>
      <c r="F80" s="607">
        <f t="shared" si="18"/>
        <v>0</v>
      </c>
      <c r="G80" s="607">
        <f t="shared" si="18"/>
        <v>0</v>
      </c>
      <c r="H80" s="607">
        <f t="shared" si="18"/>
        <v>0</v>
      </c>
      <c r="I80" s="607">
        <f t="shared" si="18"/>
        <v>0</v>
      </c>
      <c r="J80" s="607">
        <f t="shared" si="18"/>
        <v>0</v>
      </c>
      <c r="K80" s="607">
        <f t="shared" si="18"/>
        <v>0</v>
      </c>
      <c r="L80" s="607">
        <f t="shared" si="18"/>
        <v>0</v>
      </c>
      <c r="M80" s="607">
        <f t="shared" si="18"/>
        <v>0</v>
      </c>
      <c r="N80" s="607">
        <f t="shared" si="18"/>
        <v>0</v>
      </c>
      <c r="O80" s="607">
        <f>SUM(C80:N80)</f>
        <v>0</v>
      </c>
      <c r="P80" s="619"/>
      <c r="Q80" s="616"/>
    </row>
    <row r="81" spans="1:17" ht="12.75" customHeight="1" x14ac:dyDescent="0.2">
      <c r="A81" s="636" t="s">
        <v>652</v>
      </c>
      <c r="B81" s="736"/>
      <c r="C81" s="608">
        <v>0</v>
      </c>
      <c r="D81" s="608">
        <v>0</v>
      </c>
      <c r="E81" s="608">
        <v>0</v>
      </c>
      <c r="F81" s="608">
        <v>0</v>
      </c>
      <c r="G81" s="608">
        <v>0</v>
      </c>
      <c r="H81" s="608">
        <v>0</v>
      </c>
      <c r="I81" s="608">
        <v>0</v>
      </c>
      <c r="J81" s="608">
        <v>0</v>
      </c>
      <c r="K81" s="608">
        <v>0</v>
      </c>
      <c r="L81" s="608">
        <v>0</v>
      </c>
      <c r="M81" s="608">
        <v>0</v>
      </c>
      <c r="N81" s="608">
        <v>0</v>
      </c>
      <c r="O81" s="607">
        <f>SUM(C81:N81)</f>
        <v>0</v>
      </c>
      <c r="P81" s="619"/>
      <c r="Q81" s="616"/>
    </row>
    <row r="82" spans="1:17" ht="12.75" customHeight="1" x14ac:dyDescent="0.2">
      <c r="A82" s="646" t="s">
        <v>623</v>
      </c>
      <c r="B82" s="736"/>
      <c r="C82" s="608">
        <v>0</v>
      </c>
      <c r="D82" s="608">
        <v>0</v>
      </c>
      <c r="E82" s="608">
        <v>0</v>
      </c>
      <c r="F82" s="608">
        <v>0</v>
      </c>
      <c r="G82" s="608">
        <v>0</v>
      </c>
      <c r="H82" s="608">
        <v>0</v>
      </c>
      <c r="I82" s="608">
        <v>0</v>
      </c>
      <c r="J82" s="608">
        <v>0</v>
      </c>
      <c r="K82" s="608">
        <v>0</v>
      </c>
      <c r="L82" s="608">
        <v>0</v>
      </c>
      <c r="M82" s="608">
        <v>0</v>
      </c>
      <c r="N82" s="608">
        <v>0</v>
      </c>
      <c r="O82" s="607">
        <f>SUM(C82:N82)</f>
        <v>0</v>
      </c>
      <c r="P82" s="619"/>
      <c r="Q82" s="616"/>
    </row>
    <row r="83" spans="1:17" ht="12.75" customHeight="1" x14ac:dyDescent="0.2">
      <c r="A83" s="644" t="s">
        <v>653</v>
      </c>
      <c r="B83" s="736"/>
      <c r="C83" s="611">
        <v>0</v>
      </c>
      <c r="D83" s="611">
        <v>0</v>
      </c>
      <c r="E83" s="611">
        <v>0</v>
      </c>
      <c r="F83" s="611">
        <v>0</v>
      </c>
      <c r="G83" s="611">
        <v>0</v>
      </c>
      <c r="H83" s="611">
        <v>0</v>
      </c>
      <c r="I83" s="611">
        <v>0</v>
      </c>
      <c r="J83" s="611">
        <v>0</v>
      </c>
      <c r="K83" s="611">
        <v>0</v>
      </c>
      <c r="L83" s="611">
        <v>0</v>
      </c>
      <c r="M83" s="611">
        <v>0</v>
      </c>
      <c r="N83" s="611">
        <v>0</v>
      </c>
      <c r="O83" s="610">
        <f>SUM(C83:N83)</f>
        <v>0</v>
      </c>
      <c r="P83" s="619"/>
      <c r="Q83" s="616"/>
    </row>
    <row r="84" spans="1:17" ht="6" customHeight="1" x14ac:dyDescent="0.2">
      <c r="A84" s="629"/>
      <c r="B84" s="736"/>
      <c r="C84" s="616"/>
      <c r="D84" s="616"/>
      <c r="E84" s="616"/>
      <c r="F84" s="616"/>
      <c r="G84" s="616"/>
      <c r="H84" s="616"/>
      <c r="I84" s="616"/>
      <c r="J84" s="616"/>
      <c r="K84" s="616"/>
      <c r="L84" s="616"/>
      <c r="M84" s="616"/>
      <c r="N84" s="616"/>
      <c r="O84" s="616"/>
      <c r="P84" s="619"/>
      <c r="Q84" s="616"/>
    </row>
    <row r="85" spans="1:17" ht="12.75" customHeight="1" x14ac:dyDescent="0.2">
      <c r="A85" s="638" t="s">
        <v>654</v>
      </c>
      <c r="B85" s="739"/>
      <c r="C85" s="628">
        <f t="shared" ref="C85:N85" si="19">SUM(C80:C83)</f>
        <v>0</v>
      </c>
      <c r="D85" s="628">
        <f t="shared" si="19"/>
        <v>0</v>
      </c>
      <c r="E85" s="628">
        <f t="shared" si="19"/>
        <v>0</v>
      </c>
      <c r="F85" s="628">
        <f t="shared" si="19"/>
        <v>0</v>
      </c>
      <c r="G85" s="628">
        <f t="shared" si="19"/>
        <v>0</v>
      </c>
      <c r="H85" s="628">
        <f t="shared" si="19"/>
        <v>0</v>
      </c>
      <c r="I85" s="628">
        <f t="shared" si="19"/>
        <v>0</v>
      </c>
      <c r="J85" s="628">
        <f t="shared" si="19"/>
        <v>0</v>
      </c>
      <c r="K85" s="628">
        <f t="shared" si="19"/>
        <v>0</v>
      </c>
      <c r="L85" s="628">
        <f t="shared" si="19"/>
        <v>0</v>
      </c>
      <c r="M85" s="628">
        <f t="shared" si="19"/>
        <v>0</v>
      </c>
      <c r="N85" s="628">
        <f t="shared" si="19"/>
        <v>0</v>
      </c>
      <c r="O85" s="628">
        <f>SUM(C85:N85)</f>
        <v>0</v>
      </c>
      <c r="P85" s="619"/>
      <c r="Q85" s="616"/>
    </row>
    <row r="86" spans="1:17" ht="6" customHeight="1" x14ac:dyDescent="0.2">
      <c r="A86" s="629"/>
      <c r="B86" s="736"/>
      <c r="C86" s="616"/>
      <c r="D86" s="616"/>
      <c r="E86" s="616"/>
      <c r="F86" s="616"/>
      <c r="G86" s="616"/>
      <c r="H86" s="616"/>
      <c r="I86" s="616"/>
      <c r="J86" s="616"/>
      <c r="K86" s="616"/>
      <c r="L86" s="616"/>
      <c r="M86" s="616"/>
      <c r="N86" s="616"/>
      <c r="O86" s="616"/>
      <c r="P86" s="619"/>
      <c r="Q86" s="616"/>
    </row>
    <row r="87" spans="1:17" ht="12.75" customHeight="1" x14ac:dyDescent="0.2">
      <c r="A87" s="639" t="s">
        <v>655</v>
      </c>
      <c r="B87" s="739"/>
      <c r="C87" s="628">
        <f t="shared" ref="C87:N87" si="20">-1*C85</f>
        <v>0</v>
      </c>
      <c r="D87" s="628">
        <f t="shared" si="20"/>
        <v>0</v>
      </c>
      <c r="E87" s="628">
        <f t="shared" si="20"/>
        <v>0</v>
      </c>
      <c r="F87" s="628">
        <f t="shared" si="20"/>
        <v>0</v>
      </c>
      <c r="G87" s="628">
        <f t="shared" si="20"/>
        <v>0</v>
      </c>
      <c r="H87" s="628">
        <f t="shared" si="20"/>
        <v>0</v>
      </c>
      <c r="I87" s="628">
        <f t="shared" si="20"/>
        <v>0</v>
      </c>
      <c r="J87" s="628">
        <f t="shared" si="20"/>
        <v>0</v>
      </c>
      <c r="K87" s="628">
        <f t="shared" si="20"/>
        <v>0</v>
      </c>
      <c r="L87" s="628">
        <f t="shared" si="20"/>
        <v>0</v>
      </c>
      <c r="M87" s="628">
        <f t="shared" si="20"/>
        <v>0</v>
      </c>
      <c r="N87" s="628">
        <f t="shared" si="20"/>
        <v>0</v>
      </c>
      <c r="O87" s="628">
        <f>SUM(C87:N87)</f>
        <v>0</v>
      </c>
      <c r="P87" s="619"/>
      <c r="Q87" s="616"/>
    </row>
    <row r="88" spans="1:17" ht="12.75" customHeight="1" x14ac:dyDescent="0.2">
      <c r="A88" s="629"/>
      <c r="B88" s="736"/>
      <c r="C88" s="616"/>
      <c r="D88" s="616"/>
      <c r="E88" s="616"/>
      <c r="F88" s="616"/>
      <c r="G88" s="616"/>
      <c r="H88" s="616"/>
      <c r="I88" s="616"/>
      <c r="J88" s="616"/>
      <c r="K88" s="616"/>
      <c r="L88" s="616"/>
      <c r="M88" s="616"/>
      <c r="N88" s="616"/>
      <c r="O88" s="616"/>
      <c r="P88" s="619"/>
      <c r="Q88" s="616"/>
    </row>
    <row r="89" spans="1:17" ht="12.75" customHeight="1" x14ac:dyDescent="0.2">
      <c r="A89" s="647"/>
      <c r="B89" s="740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2"/>
      <c r="P89" s="619"/>
      <c r="Q89" s="616"/>
    </row>
    <row r="90" spans="1:17" ht="12.75" customHeight="1" x14ac:dyDescent="0.2">
      <c r="A90" s="629"/>
      <c r="B90" s="736"/>
      <c r="C90" s="616"/>
      <c r="D90" s="616"/>
      <c r="E90" s="616"/>
      <c r="F90" s="616"/>
      <c r="G90" s="616"/>
      <c r="H90" s="616"/>
      <c r="I90" s="616"/>
      <c r="J90" s="616"/>
      <c r="K90" s="616"/>
      <c r="L90" s="616"/>
      <c r="M90" s="616"/>
      <c r="N90" s="616"/>
      <c r="O90" s="616"/>
      <c r="P90" s="619"/>
      <c r="Q90" s="616"/>
    </row>
    <row r="91" spans="1:17" ht="12.75" customHeight="1" x14ac:dyDescent="0.2">
      <c r="A91" s="648" t="s">
        <v>656</v>
      </c>
      <c r="B91" s="678" t="s">
        <v>985</v>
      </c>
      <c r="C91" s="617"/>
      <c r="D91" s="617"/>
      <c r="E91" s="617"/>
      <c r="F91" s="617"/>
      <c r="G91" s="617"/>
      <c r="H91" s="617"/>
      <c r="I91" s="617"/>
      <c r="J91" s="617"/>
      <c r="K91" s="617"/>
      <c r="L91" s="617"/>
      <c r="M91" s="617"/>
      <c r="N91" s="617"/>
      <c r="O91" s="617"/>
      <c r="P91" s="619"/>
      <c r="Q91" s="616"/>
    </row>
    <row r="92" spans="1:17" ht="6" customHeight="1" x14ac:dyDescent="0.2">
      <c r="A92" s="629"/>
      <c r="B92" s="736"/>
      <c r="C92" s="616"/>
      <c r="D92" s="616"/>
      <c r="E92" s="616"/>
      <c r="F92" s="616"/>
      <c r="G92" s="616"/>
      <c r="H92" s="616"/>
      <c r="I92" s="616"/>
      <c r="J92" s="616"/>
      <c r="K92" s="616"/>
      <c r="L92" s="616"/>
      <c r="M92" s="616"/>
      <c r="N92" s="616"/>
      <c r="O92" s="616"/>
      <c r="P92" s="619"/>
      <c r="Q92" s="616"/>
    </row>
    <row r="93" spans="1:17" ht="12.75" customHeight="1" x14ac:dyDescent="0.2">
      <c r="A93" s="639" t="s">
        <v>657</v>
      </c>
      <c r="B93" s="736"/>
      <c r="C93" s="607">
        <f t="shared" ref="C93:N93" si="21">B100</f>
        <v>0</v>
      </c>
      <c r="D93" s="607">
        <f t="shared" si="21"/>
        <v>0</v>
      </c>
      <c r="E93" s="607">
        <f t="shared" si="21"/>
        <v>0</v>
      </c>
      <c r="F93" s="607">
        <f t="shared" si="21"/>
        <v>0</v>
      </c>
      <c r="G93" s="607">
        <f t="shared" si="21"/>
        <v>0</v>
      </c>
      <c r="H93" s="607">
        <f t="shared" si="21"/>
        <v>0</v>
      </c>
      <c r="I93" s="607">
        <f t="shared" si="21"/>
        <v>0</v>
      </c>
      <c r="J93" s="607">
        <f t="shared" si="21"/>
        <v>0</v>
      </c>
      <c r="K93" s="607">
        <f t="shared" si="21"/>
        <v>0</v>
      </c>
      <c r="L93" s="607">
        <f t="shared" si="21"/>
        <v>0</v>
      </c>
      <c r="M93" s="607">
        <f t="shared" si="21"/>
        <v>0</v>
      </c>
      <c r="N93" s="607">
        <f t="shared" si="21"/>
        <v>0</v>
      </c>
      <c r="O93" s="616"/>
      <c r="P93" s="619"/>
      <c r="Q93" s="616"/>
    </row>
    <row r="94" spans="1:17" ht="6" customHeight="1" x14ac:dyDescent="0.2">
      <c r="A94" s="629"/>
      <c r="B94" s="736"/>
      <c r="C94" s="616"/>
      <c r="D94" s="616"/>
      <c r="E94" s="616"/>
      <c r="F94" s="616"/>
      <c r="G94" s="616"/>
      <c r="H94" s="616"/>
      <c r="I94" s="616"/>
      <c r="J94" s="616"/>
      <c r="K94" s="616"/>
      <c r="L94" s="616"/>
      <c r="M94" s="616"/>
      <c r="N94" s="616"/>
      <c r="O94" s="616"/>
      <c r="P94" s="619"/>
      <c r="Q94" s="616"/>
    </row>
    <row r="95" spans="1:17" ht="15" customHeight="1" x14ac:dyDescent="0.2">
      <c r="A95" s="646" t="s">
        <v>658</v>
      </c>
      <c r="B95" s="736"/>
      <c r="C95" s="608">
        <v>0</v>
      </c>
      <c r="D95" s="608">
        <v>0</v>
      </c>
      <c r="E95" s="608">
        <v>0</v>
      </c>
      <c r="F95" s="608">
        <v>0</v>
      </c>
      <c r="G95" s="608">
        <v>0</v>
      </c>
      <c r="H95" s="608">
        <v>0</v>
      </c>
      <c r="I95" s="608">
        <v>0</v>
      </c>
      <c r="J95" s="608">
        <v>0</v>
      </c>
      <c r="K95" s="608">
        <v>0</v>
      </c>
      <c r="L95" s="608">
        <v>0</v>
      </c>
      <c r="M95" s="608">
        <v>0</v>
      </c>
      <c r="N95" s="608">
        <v>0</v>
      </c>
      <c r="O95" s="607">
        <f>SUM(C95:N95)</f>
        <v>0</v>
      </c>
      <c r="P95" s="619"/>
      <c r="Q95" s="616"/>
    </row>
    <row r="96" spans="1:17" ht="15" customHeight="1" x14ac:dyDescent="0.2">
      <c r="A96" s="644" t="s">
        <v>659</v>
      </c>
      <c r="B96" s="736"/>
      <c r="C96" s="607">
        <f t="shared" ref="C96:N96" si="22">C87</f>
        <v>0</v>
      </c>
      <c r="D96" s="607">
        <f t="shared" si="22"/>
        <v>0</v>
      </c>
      <c r="E96" s="607">
        <f t="shared" si="22"/>
        <v>0</v>
      </c>
      <c r="F96" s="607">
        <f t="shared" si="22"/>
        <v>0</v>
      </c>
      <c r="G96" s="607">
        <f t="shared" si="22"/>
        <v>0</v>
      </c>
      <c r="H96" s="607">
        <f t="shared" si="22"/>
        <v>0</v>
      </c>
      <c r="I96" s="607">
        <f t="shared" si="22"/>
        <v>0</v>
      </c>
      <c r="J96" s="607">
        <f t="shared" si="22"/>
        <v>0</v>
      </c>
      <c r="K96" s="607">
        <f t="shared" si="22"/>
        <v>0</v>
      </c>
      <c r="L96" s="607">
        <f t="shared" si="22"/>
        <v>0</v>
      </c>
      <c r="M96" s="607">
        <f t="shared" si="22"/>
        <v>0</v>
      </c>
      <c r="N96" s="607">
        <f t="shared" si="22"/>
        <v>0</v>
      </c>
      <c r="O96" s="607">
        <f>SUM(C96:N96)</f>
        <v>0</v>
      </c>
      <c r="P96" s="619"/>
      <c r="Q96" s="616"/>
    </row>
    <row r="97" spans="1:17" ht="15" customHeight="1" x14ac:dyDescent="0.2">
      <c r="A97" s="646" t="s">
        <v>660</v>
      </c>
      <c r="B97" s="736"/>
      <c r="C97" s="608">
        <v>0</v>
      </c>
      <c r="D97" s="608">
        <v>0</v>
      </c>
      <c r="E97" s="608">
        <v>0</v>
      </c>
      <c r="F97" s="608">
        <v>0</v>
      </c>
      <c r="G97" s="608">
        <v>0</v>
      </c>
      <c r="H97" s="608">
        <v>0</v>
      </c>
      <c r="I97" s="608">
        <v>0</v>
      </c>
      <c r="J97" s="608">
        <v>0</v>
      </c>
      <c r="K97" s="608">
        <v>0</v>
      </c>
      <c r="L97" s="608">
        <v>0</v>
      </c>
      <c r="M97" s="608">
        <v>0</v>
      </c>
      <c r="N97" s="608">
        <v>0</v>
      </c>
      <c r="O97" s="607">
        <f>SUM(C97:N97)</f>
        <v>0</v>
      </c>
      <c r="P97" s="619"/>
      <c r="Q97" s="616"/>
    </row>
    <row r="98" spans="1:17" ht="15" customHeight="1" x14ac:dyDescent="0.2">
      <c r="A98" s="644" t="s">
        <v>661</v>
      </c>
      <c r="B98" s="736"/>
      <c r="C98" s="610">
        <f t="shared" ref="C98:N98" si="23">C105</f>
        <v>0</v>
      </c>
      <c r="D98" s="610">
        <f t="shared" si="23"/>
        <v>0</v>
      </c>
      <c r="E98" s="610">
        <f t="shared" si="23"/>
        <v>0</v>
      </c>
      <c r="F98" s="610">
        <f t="shared" si="23"/>
        <v>0</v>
      </c>
      <c r="G98" s="610">
        <f t="shared" si="23"/>
        <v>0</v>
      </c>
      <c r="H98" s="610">
        <f t="shared" si="23"/>
        <v>0</v>
      </c>
      <c r="I98" s="610">
        <f t="shared" si="23"/>
        <v>0</v>
      </c>
      <c r="J98" s="610">
        <f t="shared" si="23"/>
        <v>0</v>
      </c>
      <c r="K98" s="610">
        <f t="shared" si="23"/>
        <v>0</v>
      </c>
      <c r="L98" s="610">
        <f t="shared" si="23"/>
        <v>0</v>
      </c>
      <c r="M98" s="610">
        <f t="shared" si="23"/>
        <v>0</v>
      </c>
      <c r="N98" s="610">
        <f t="shared" si="23"/>
        <v>0</v>
      </c>
      <c r="O98" s="607">
        <f>SUM(C98:N98)</f>
        <v>0</v>
      </c>
      <c r="P98" s="619"/>
      <c r="Q98" s="616"/>
    </row>
    <row r="99" spans="1:17" ht="6" customHeight="1" x14ac:dyDescent="0.2">
      <c r="A99" s="629"/>
      <c r="B99" s="736"/>
      <c r="C99" s="616"/>
      <c r="D99" s="616"/>
      <c r="E99" s="616"/>
      <c r="F99" s="616"/>
      <c r="G99" s="616"/>
      <c r="H99" s="616"/>
      <c r="I99" s="616"/>
      <c r="J99" s="616"/>
      <c r="K99" s="616"/>
      <c r="L99" s="616"/>
      <c r="M99" s="616"/>
      <c r="N99" s="616"/>
      <c r="O99" s="616"/>
      <c r="P99" s="619"/>
      <c r="Q99" s="616"/>
    </row>
    <row r="100" spans="1:17" ht="12.75" customHeight="1" x14ac:dyDescent="0.2">
      <c r="A100" s="639" t="s">
        <v>662</v>
      </c>
      <c r="B100" s="829">
        <v>0</v>
      </c>
      <c r="C100" s="631">
        <f t="shared" ref="C100:N100" si="24">SUM(C93:C98)</f>
        <v>0</v>
      </c>
      <c r="D100" s="631">
        <f t="shared" si="24"/>
        <v>0</v>
      </c>
      <c r="E100" s="631">
        <f t="shared" si="24"/>
        <v>0</v>
      </c>
      <c r="F100" s="631">
        <f t="shared" si="24"/>
        <v>0</v>
      </c>
      <c r="G100" s="631">
        <f t="shared" si="24"/>
        <v>0</v>
      </c>
      <c r="H100" s="631">
        <f t="shared" si="24"/>
        <v>0</v>
      </c>
      <c r="I100" s="631">
        <f t="shared" si="24"/>
        <v>0</v>
      </c>
      <c r="J100" s="631">
        <f t="shared" si="24"/>
        <v>0</v>
      </c>
      <c r="K100" s="631">
        <f t="shared" si="24"/>
        <v>0</v>
      </c>
      <c r="L100" s="631">
        <f t="shared" si="24"/>
        <v>0</v>
      </c>
      <c r="M100" s="631">
        <f t="shared" si="24"/>
        <v>0</v>
      </c>
      <c r="N100" s="631">
        <f t="shared" si="24"/>
        <v>0</v>
      </c>
      <c r="O100" s="631"/>
      <c r="P100" s="619"/>
      <c r="Q100" s="616"/>
    </row>
    <row r="101" spans="1:17" ht="12.75" customHeight="1" x14ac:dyDescent="0.2">
      <c r="A101" s="629"/>
      <c r="B101" s="736"/>
      <c r="C101" s="616"/>
      <c r="D101" s="616"/>
      <c r="E101" s="616"/>
      <c r="F101" s="616"/>
      <c r="G101" s="616"/>
      <c r="H101" s="616"/>
      <c r="I101" s="616"/>
      <c r="J101" s="616"/>
      <c r="K101" s="616"/>
      <c r="L101" s="616"/>
      <c r="M101" s="616"/>
      <c r="N101" s="616"/>
      <c r="O101" s="616"/>
      <c r="P101" s="619"/>
      <c r="Q101" s="616"/>
    </row>
    <row r="102" spans="1:17" ht="12.75" customHeight="1" x14ac:dyDescent="0.2">
      <c r="A102" s="644" t="s">
        <v>663</v>
      </c>
      <c r="B102" s="736"/>
      <c r="C102" s="633">
        <v>0</v>
      </c>
      <c r="D102" s="633">
        <v>0</v>
      </c>
      <c r="E102" s="633">
        <v>0</v>
      </c>
      <c r="F102" s="633">
        <v>0</v>
      </c>
      <c r="G102" s="633">
        <v>0</v>
      </c>
      <c r="H102" s="633">
        <v>0</v>
      </c>
      <c r="I102" s="633">
        <v>0</v>
      </c>
      <c r="J102" s="633">
        <v>0</v>
      </c>
      <c r="K102" s="633">
        <v>0</v>
      </c>
      <c r="L102" s="633">
        <v>0</v>
      </c>
      <c r="M102" s="633">
        <v>0</v>
      </c>
      <c r="N102" s="633">
        <v>0</v>
      </c>
      <c r="O102" s="616"/>
      <c r="P102" s="619"/>
      <c r="Q102" s="616"/>
    </row>
    <row r="103" spans="1:17" ht="12.75" customHeight="1" x14ac:dyDescent="0.2">
      <c r="A103" s="644" t="s">
        <v>664</v>
      </c>
      <c r="B103" s="736"/>
      <c r="C103" s="634">
        <f>ROUND((C102/365)*31,4)</f>
        <v>0</v>
      </c>
      <c r="D103" s="634">
        <f>ROUND((D102/365)*28,4)</f>
        <v>0</v>
      </c>
      <c r="E103" s="634">
        <f>ROUND((E102/365)*31,4)</f>
        <v>0</v>
      </c>
      <c r="F103" s="634">
        <f>ROUND((F102/365)*30,4)</f>
        <v>0</v>
      </c>
      <c r="G103" s="634">
        <f>ROUND((G102/365)*31,4)</f>
        <v>0</v>
      </c>
      <c r="H103" s="634">
        <f>ROUND((H102/365)*30,4)</f>
        <v>0</v>
      </c>
      <c r="I103" s="634">
        <f>ROUND((I102/365)*31,4)</f>
        <v>0</v>
      </c>
      <c r="J103" s="634">
        <f>ROUND((J102/365)*31,4)</f>
        <v>0</v>
      </c>
      <c r="K103" s="634">
        <f>ROUND((K102/365)*30,4)</f>
        <v>0</v>
      </c>
      <c r="L103" s="634">
        <f>ROUND((L102/365)*31,4)</f>
        <v>0</v>
      </c>
      <c r="M103" s="634">
        <f>ROUND((M102/365)*30,4)</f>
        <v>0</v>
      </c>
      <c r="N103" s="634">
        <f>ROUND((N102/365)*31,4)</f>
        <v>0</v>
      </c>
      <c r="O103" s="616"/>
      <c r="P103" s="619"/>
      <c r="Q103" s="616"/>
    </row>
    <row r="104" spans="1:17" ht="12.75" customHeight="1" x14ac:dyDescent="0.2">
      <c r="A104" s="629"/>
      <c r="B104" s="736"/>
      <c r="C104" s="616"/>
      <c r="D104" s="616"/>
      <c r="E104" s="616"/>
      <c r="F104" s="616"/>
      <c r="G104" s="616"/>
      <c r="H104" s="616"/>
      <c r="I104" s="616"/>
      <c r="J104" s="616"/>
      <c r="K104" s="616"/>
      <c r="L104" s="616"/>
      <c r="M104" s="616"/>
      <c r="N104" s="616"/>
      <c r="O104" s="616"/>
      <c r="P104" s="619"/>
      <c r="Q104" s="616"/>
    </row>
    <row r="105" spans="1:17" ht="12.75" customHeight="1" x14ac:dyDescent="0.2">
      <c r="A105" s="639" t="s">
        <v>665</v>
      </c>
      <c r="B105" s="739"/>
      <c r="C105" s="628">
        <f t="shared" ref="C105:N105" si="25">ROUND(B100*C103,0)</f>
        <v>0</v>
      </c>
      <c r="D105" s="628">
        <f t="shared" si="25"/>
        <v>0</v>
      </c>
      <c r="E105" s="628">
        <f t="shared" si="25"/>
        <v>0</v>
      </c>
      <c r="F105" s="628">
        <f t="shared" si="25"/>
        <v>0</v>
      </c>
      <c r="G105" s="628">
        <f t="shared" si="25"/>
        <v>0</v>
      </c>
      <c r="H105" s="628">
        <f t="shared" si="25"/>
        <v>0</v>
      </c>
      <c r="I105" s="628">
        <f t="shared" si="25"/>
        <v>0</v>
      </c>
      <c r="J105" s="628">
        <f t="shared" si="25"/>
        <v>0</v>
      </c>
      <c r="K105" s="628">
        <f t="shared" si="25"/>
        <v>0</v>
      </c>
      <c r="L105" s="628">
        <f t="shared" si="25"/>
        <v>0</v>
      </c>
      <c r="M105" s="628">
        <f t="shared" si="25"/>
        <v>0</v>
      </c>
      <c r="N105" s="628">
        <f t="shared" si="25"/>
        <v>0</v>
      </c>
      <c r="O105" s="628">
        <f>SUM(C105:N105)</f>
        <v>0</v>
      </c>
      <c r="P105" s="619"/>
      <c r="Q105" s="616"/>
    </row>
    <row r="106" spans="1:17" ht="6" customHeight="1" x14ac:dyDescent="0.2">
      <c r="A106" s="629"/>
      <c r="B106" s="736"/>
      <c r="C106" s="616"/>
      <c r="D106" s="616"/>
      <c r="E106" s="616"/>
      <c r="F106" s="616"/>
      <c r="G106" s="616"/>
      <c r="H106" s="616"/>
      <c r="I106" s="616"/>
      <c r="J106" s="616"/>
      <c r="K106" s="616"/>
      <c r="L106" s="616"/>
      <c r="M106" s="616"/>
      <c r="N106" s="616"/>
      <c r="O106" s="616"/>
      <c r="P106" s="619"/>
      <c r="Q106" s="616"/>
    </row>
    <row r="107" spans="1:17" ht="12.75" customHeight="1" x14ac:dyDescent="0.2">
      <c r="A107" s="639" t="s">
        <v>666</v>
      </c>
      <c r="B107" s="736"/>
      <c r="C107" s="607">
        <f>C105</f>
        <v>0</v>
      </c>
      <c r="D107" s="607">
        <f t="shared" ref="D107:N107" si="26">D105+C107</f>
        <v>0</v>
      </c>
      <c r="E107" s="607">
        <f t="shared" si="26"/>
        <v>0</v>
      </c>
      <c r="F107" s="607">
        <f t="shared" si="26"/>
        <v>0</v>
      </c>
      <c r="G107" s="607">
        <f t="shared" si="26"/>
        <v>0</v>
      </c>
      <c r="H107" s="607">
        <f t="shared" si="26"/>
        <v>0</v>
      </c>
      <c r="I107" s="607">
        <f t="shared" si="26"/>
        <v>0</v>
      </c>
      <c r="J107" s="607">
        <f t="shared" si="26"/>
        <v>0</v>
      </c>
      <c r="K107" s="607">
        <f t="shared" si="26"/>
        <v>0</v>
      </c>
      <c r="L107" s="607">
        <f t="shared" si="26"/>
        <v>0</v>
      </c>
      <c r="M107" s="607">
        <f t="shared" si="26"/>
        <v>0</v>
      </c>
      <c r="N107" s="607">
        <f t="shared" si="26"/>
        <v>0</v>
      </c>
      <c r="O107" s="616"/>
      <c r="P107" s="619"/>
      <c r="Q107" s="616"/>
    </row>
    <row r="108" spans="1:17" ht="15" x14ac:dyDescent="0.2">
      <c r="A108" s="307"/>
      <c r="B108" s="741"/>
      <c r="C108" s="616"/>
      <c r="D108" s="616"/>
      <c r="E108" s="616"/>
      <c r="F108" s="616"/>
      <c r="G108" s="616"/>
      <c r="H108" s="616"/>
      <c r="I108" s="616"/>
      <c r="J108" s="616"/>
      <c r="K108" s="616"/>
      <c r="L108" s="616"/>
      <c r="M108" s="616"/>
      <c r="N108" s="616"/>
      <c r="O108" s="616"/>
      <c r="P108" s="619"/>
      <c r="Q108" s="616"/>
    </row>
  </sheetData>
  <phoneticPr fontId="0" type="noConversion"/>
  <printOptions horizontalCentered="1" gridLinesSet="0"/>
  <pageMargins left="0.5" right="0.5" top="0.25" bottom="0.25" header="0" footer="0"/>
  <pageSetup paperSize="5" scale="89" fitToHeight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20"/>
  <sheetViews>
    <sheetView showGridLines="0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O7" sqref="O7"/>
    </sheetView>
  </sheetViews>
  <sheetFormatPr defaultColWidth="9.7109375" defaultRowHeight="12.75" x14ac:dyDescent="0.2"/>
  <cols>
    <col min="1" max="1" width="45.7109375" style="16" customWidth="1"/>
    <col min="2" max="2" width="8.7109375" style="753" customWidth="1"/>
    <col min="3" max="14" width="8.7109375" style="16" customWidth="1"/>
    <col min="15" max="17" width="9.7109375" style="16" customWidth="1"/>
    <col min="18" max="18" width="9.7109375" style="16"/>
    <col min="19" max="19" width="9.7109375" style="16" customWidth="1"/>
    <col min="20" max="20" width="9.7109375" style="16"/>
    <col min="21" max="21" width="9.7109375" style="16" customWidth="1"/>
    <col min="22" max="22" width="9.7109375" style="16"/>
    <col min="23" max="23" width="3.7109375" style="16" customWidth="1"/>
    <col min="24" max="24" width="9.7109375" style="16"/>
    <col min="25" max="25" width="9.7109375" style="16" customWidth="1"/>
    <col min="26" max="16384" width="9.7109375" style="16"/>
  </cols>
  <sheetData>
    <row r="1" spans="1:70" ht="12.75" customHeight="1" x14ac:dyDescent="0.25">
      <c r="A1" s="548" t="str">
        <f ca="1">CELL("FILENAME")</f>
        <v>P:\Finance\2002 Plan\[EMTW02PL.XLS]IncomeState</v>
      </c>
      <c r="B1" s="743"/>
      <c r="C1" s="309"/>
      <c r="D1" s="309"/>
      <c r="E1" s="309"/>
      <c r="F1" s="309"/>
      <c r="G1" s="309"/>
      <c r="H1" s="309"/>
      <c r="I1" s="309"/>
      <c r="J1" s="309"/>
      <c r="K1" s="310" t="s">
        <v>667</v>
      </c>
      <c r="L1" s="311"/>
      <c r="M1" s="311"/>
      <c r="N1" s="311"/>
      <c r="O1" s="312"/>
      <c r="P1" s="311"/>
      <c r="Q1" s="313"/>
      <c r="R1" s="17"/>
      <c r="S1" s="18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70" ht="12.75" customHeight="1" x14ac:dyDescent="0.25">
      <c r="A2" s="314" t="s">
        <v>668</v>
      </c>
      <c r="B2" s="743"/>
      <c r="C2" s="311"/>
      <c r="D2" s="311"/>
      <c r="E2" s="311"/>
      <c r="F2" s="311"/>
      <c r="G2" s="320"/>
      <c r="H2" s="311"/>
      <c r="I2" s="311"/>
      <c r="J2" s="311"/>
      <c r="K2" s="311"/>
      <c r="L2" s="311"/>
      <c r="M2" s="311"/>
      <c r="N2" s="315"/>
      <c r="O2" s="316"/>
      <c r="P2" s="311"/>
      <c r="Q2" s="313"/>
      <c r="R2" s="17"/>
      <c r="S2" s="18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70" ht="12.75" customHeight="1" x14ac:dyDescent="0.25">
      <c r="A3" s="551" t="str">
        <f>IncomeState!A3</f>
        <v>2002 OPERATING PLAN</v>
      </c>
      <c r="B3" s="744">
        <f ca="1">NOW()</f>
        <v>37189.6149224537</v>
      </c>
      <c r="C3" s="552" t="str">
        <f>DataBase!C2</f>
        <v>PLAN</v>
      </c>
      <c r="D3" s="552" t="str">
        <f>DataBase!D2</f>
        <v>PLAN</v>
      </c>
      <c r="E3" s="552" t="s">
        <v>2</v>
      </c>
      <c r="F3" s="552" t="str">
        <f>DataBase!F2</f>
        <v>PLAN</v>
      </c>
      <c r="G3" s="552" t="str">
        <f>DataBase!G2</f>
        <v>PLAN</v>
      </c>
      <c r="H3" s="552" t="str">
        <f>DataBase!H2</f>
        <v>PLAN</v>
      </c>
      <c r="I3" s="552" t="str">
        <f>DataBase!I2</f>
        <v>PLAN</v>
      </c>
      <c r="J3" s="552" t="str">
        <f>DataBase!J2</f>
        <v>PLAN</v>
      </c>
      <c r="K3" s="552" t="str">
        <f>DataBase!K2</f>
        <v>PLAN</v>
      </c>
      <c r="L3" s="552" t="str">
        <f>DataBase!L2</f>
        <v>PLAN</v>
      </c>
      <c r="M3" s="552" t="str">
        <f>DataBase!M2</f>
        <v>PLAN</v>
      </c>
      <c r="N3" s="552" t="str">
        <f>DataBase!N2</f>
        <v>PLAN</v>
      </c>
      <c r="O3" s="552" t="str">
        <f>DataBase!O2</f>
        <v>TOTAL</v>
      </c>
      <c r="P3" s="552" t="str">
        <f>IncomeState!P6</f>
        <v>FEB.</v>
      </c>
      <c r="Q3" s="552" t="str">
        <f>IncomeState!Q6</f>
        <v>ESTIMATE</v>
      </c>
      <c r="R3" s="17"/>
      <c r="S3" s="402" t="s">
        <v>932</v>
      </c>
      <c r="T3" s="402" t="s">
        <v>933</v>
      </c>
      <c r="U3" s="402" t="s">
        <v>934</v>
      </c>
      <c r="V3" s="402" t="s">
        <v>935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70" ht="12" customHeight="1" x14ac:dyDescent="0.25">
      <c r="A4" s="317"/>
      <c r="B4" s="745">
        <f ca="1">NOW()</f>
        <v>37189.6149224537</v>
      </c>
      <c r="C4" s="996" t="s">
        <v>609</v>
      </c>
      <c r="D4" s="996" t="s">
        <v>610</v>
      </c>
      <c r="E4" s="996" t="s">
        <v>611</v>
      </c>
      <c r="F4" s="996" t="s">
        <v>612</v>
      </c>
      <c r="G4" s="996" t="s">
        <v>613</v>
      </c>
      <c r="H4" s="996" t="s">
        <v>614</v>
      </c>
      <c r="I4" s="996" t="s">
        <v>615</v>
      </c>
      <c r="J4" s="996" t="s">
        <v>616</v>
      </c>
      <c r="K4" s="996" t="s">
        <v>617</v>
      </c>
      <c r="L4" s="996" t="s">
        <v>618</v>
      </c>
      <c r="M4" s="996" t="s">
        <v>619</v>
      </c>
      <c r="N4" s="996" t="s">
        <v>620</v>
      </c>
      <c r="O4" s="997">
        <f>DataBase!O3</f>
        <v>2002</v>
      </c>
      <c r="P4" s="997" t="str">
        <f>IncomeState!P7</f>
        <v>Y-T-D</v>
      </c>
      <c r="Q4" s="997" t="str">
        <f>IncomeState!Q7</f>
        <v>R.M.</v>
      </c>
      <c r="R4" s="17"/>
      <c r="S4" s="404" t="s">
        <v>938</v>
      </c>
      <c r="T4" s="404" t="s">
        <v>938</v>
      </c>
      <c r="U4" s="404" t="s">
        <v>938</v>
      </c>
      <c r="V4" s="404" t="s">
        <v>938</v>
      </c>
      <c r="W4" s="17"/>
      <c r="X4" s="404" t="s">
        <v>563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</row>
    <row r="5" spans="1:70" ht="3.95" customHeight="1" x14ac:dyDescent="0.25">
      <c r="A5" s="318"/>
      <c r="B5" s="743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0" ht="12.75" customHeight="1" x14ac:dyDescent="0.25">
      <c r="A6" s="830" t="s">
        <v>669</v>
      </c>
      <c r="B6" s="743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19"/>
      <c r="R6" s="17"/>
      <c r="S6" s="17"/>
      <c r="T6" s="19"/>
      <c r="U6" s="17"/>
      <c r="V6" s="19"/>
      <c r="W6" s="17"/>
      <c r="X6" s="19"/>
      <c r="Y6" s="17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</row>
    <row r="7" spans="1:70" ht="12.75" customHeight="1" x14ac:dyDescent="0.25">
      <c r="A7" s="850" t="s">
        <v>5</v>
      </c>
      <c r="B7" s="743"/>
      <c r="C7" s="851">
        <f>-DataBase!C93-C8</f>
        <v>219</v>
      </c>
      <c r="D7" s="851">
        <f>-DataBase!D93-D8</f>
        <v>252</v>
      </c>
      <c r="E7" s="851">
        <f>-DataBase!E93-E8</f>
        <v>214</v>
      </c>
      <c r="F7" s="851">
        <f>-DataBase!F93-F8</f>
        <v>219</v>
      </c>
      <c r="G7" s="851">
        <f>-DataBase!G93-G8</f>
        <v>229</v>
      </c>
      <c r="H7" s="851">
        <f>-DataBase!H93-H8</f>
        <v>234</v>
      </c>
      <c r="I7" s="851">
        <f>-DataBase!I93-I8</f>
        <v>210</v>
      </c>
      <c r="J7" s="851">
        <f>-DataBase!J93-J8</f>
        <v>210</v>
      </c>
      <c r="K7" s="851">
        <f>-DataBase!K93-K8</f>
        <v>248</v>
      </c>
      <c r="L7" s="851">
        <f>-DataBase!L93-L8</f>
        <v>213</v>
      </c>
      <c r="M7" s="851">
        <f>-DataBase!M93-M8</f>
        <v>218</v>
      </c>
      <c r="N7" s="851">
        <f>-DataBase!N93-N8</f>
        <v>232</v>
      </c>
      <c r="O7" s="689">
        <f t="shared" ref="O7:O22" si="0">SUM(C7:N7)</f>
        <v>2698</v>
      </c>
      <c r="P7" s="690">
        <f>SUM(C7:D7)</f>
        <v>471</v>
      </c>
      <c r="Q7" s="689">
        <f t="shared" ref="Q7:Q22" si="1">O7-P7</f>
        <v>2227</v>
      </c>
      <c r="R7" s="17"/>
      <c r="S7" s="835">
        <f t="shared" ref="S7:S22" si="2">SUM(C7:E7)</f>
        <v>685</v>
      </c>
      <c r="T7" s="835">
        <f t="shared" ref="T7:T22" si="3">SUM(F7:H7)</f>
        <v>682</v>
      </c>
      <c r="U7" s="835">
        <f t="shared" ref="U7:U22" si="4">SUM(I7:K7)</f>
        <v>668</v>
      </c>
      <c r="V7" s="835">
        <f t="shared" ref="V7:V22" si="5">SUM(L7:N7)</f>
        <v>663</v>
      </c>
      <c r="W7" s="837"/>
      <c r="X7" s="694">
        <f t="shared" ref="X7:X22" si="6">SUM(S7:V7)</f>
        <v>2698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</row>
    <row r="8" spans="1:70" ht="12.75" customHeight="1" x14ac:dyDescent="0.25">
      <c r="A8" s="713" t="s">
        <v>624</v>
      </c>
      <c r="B8" s="743"/>
      <c r="C8" s="863">
        <v>0</v>
      </c>
      <c r="D8" s="863">
        <v>0</v>
      </c>
      <c r="E8" s="863">
        <v>0</v>
      </c>
      <c r="F8" s="863">
        <v>0</v>
      </c>
      <c r="G8" s="863">
        <v>0</v>
      </c>
      <c r="H8" s="863">
        <v>0</v>
      </c>
      <c r="I8" s="863">
        <v>0</v>
      </c>
      <c r="J8" s="863">
        <v>0</v>
      </c>
      <c r="K8" s="863">
        <v>0</v>
      </c>
      <c r="L8" s="863">
        <v>0</v>
      </c>
      <c r="M8" s="863">
        <v>0</v>
      </c>
      <c r="N8" s="863">
        <v>0</v>
      </c>
      <c r="O8" s="689">
        <f>SUM(C8:N8)</f>
        <v>0</v>
      </c>
      <c r="P8" s="690">
        <f t="shared" ref="P8:P27" si="7">SUM(C8:D8)</f>
        <v>0</v>
      </c>
      <c r="Q8" s="689">
        <f>O8-P8</f>
        <v>0</v>
      </c>
      <c r="R8" s="17"/>
      <c r="S8" s="835">
        <f>SUM(C8:E8)</f>
        <v>0</v>
      </c>
      <c r="T8" s="835">
        <f>SUM(F8:H8)</f>
        <v>0</v>
      </c>
      <c r="U8" s="835">
        <f>SUM(I8:K8)</f>
        <v>0</v>
      </c>
      <c r="V8" s="835">
        <f>SUM(L8:N8)</f>
        <v>0</v>
      </c>
      <c r="W8" s="836"/>
      <c r="X8" s="694">
        <f>SUM(S8:V8)</f>
        <v>0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ht="12.75" customHeight="1" x14ac:dyDescent="0.25">
      <c r="A9" s="704" t="s">
        <v>869</v>
      </c>
      <c r="B9" s="743"/>
      <c r="C9" s="851">
        <f>-DataBase!C142-C10</f>
        <v>173</v>
      </c>
      <c r="D9" s="851">
        <f>-DataBase!D142-D10</f>
        <v>147</v>
      </c>
      <c r="E9" s="851">
        <f>-DataBase!E142-E10</f>
        <v>148</v>
      </c>
      <c r="F9" s="851">
        <f>-DataBase!F142-F10</f>
        <v>147</v>
      </c>
      <c r="G9" s="851">
        <f>-DataBase!G142-G10</f>
        <v>148</v>
      </c>
      <c r="H9" s="851">
        <f>-DataBase!H142-H10</f>
        <v>148</v>
      </c>
      <c r="I9" s="851">
        <f>-DataBase!I142-I10</f>
        <v>147</v>
      </c>
      <c r="J9" s="851">
        <f>-DataBase!J142-J10</f>
        <v>150</v>
      </c>
      <c r="K9" s="851">
        <f>-DataBase!K142-K10</f>
        <v>148</v>
      </c>
      <c r="L9" s="851">
        <f>-DataBase!L142-L10</f>
        <v>148</v>
      </c>
      <c r="M9" s="851">
        <f>-DataBase!M142-M10</f>
        <v>147</v>
      </c>
      <c r="N9" s="851">
        <f>-DataBase!N142-N10</f>
        <v>148</v>
      </c>
      <c r="O9" s="689">
        <f t="shared" si="0"/>
        <v>1799</v>
      </c>
      <c r="P9" s="690">
        <f t="shared" si="7"/>
        <v>320</v>
      </c>
      <c r="Q9" s="689">
        <f t="shared" si="1"/>
        <v>1479</v>
      </c>
      <c r="R9" s="17"/>
      <c r="S9" s="835">
        <f t="shared" si="2"/>
        <v>468</v>
      </c>
      <c r="T9" s="835">
        <f t="shared" si="3"/>
        <v>443</v>
      </c>
      <c r="U9" s="835">
        <f t="shared" si="4"/>
        <v>445</v>
      </c>
      <c r="V9" s="835">
        <f t="shared" si="5"/>
        <v>443</v>
      </c>
      <c r="W9" s="837"/>
      <c r="X9" s="694">
        <f t="shared" si="6"/>
        <v>1799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12.75" customHeight="1" x14ac:dyDescent="0.25">
      <c r="A10" s="713" t="s">
        <v>624</v>
      </c>
      <c r="B10" s="743"/>
      <c r="C10" s="863">
        <v>0</v>
      </c>
      <c r="D10" s="863">
        <v>0</v>
      </c>
      <c r="E10" s="863">
        <v>0</v>
      </c>
      <c r="F10" s="863">
        <v>0</v>
      </c>
      <c r="G10" s="863">
        <v>0</v>
      </c>
      <c r="H10" s="863">
        <v>0</v>
      </c>
      <c r="I10" s="863">
        <v>0</v>
      </c>
      <c r="J10" s="863">
        <v>0</v>
      </c>
      <c r="K10" s="863">
        <v>0</v>
      </c>
      <c r="L10" s="863">
        <v>0</v>
      </c>
      <c r="M10" s="863">
        <v>0</v>
      </c>
      <c r="N10" s="863">
        <v>0</v>
      </c>
      <c r="O10" s="689">
        <f>SUM(C10:N10)</f>
        <v>0</v>
      </c>
      <c r="P10" s="690">
        <f t="shared" si="7"/>
        <v>0</v>
      </c>
      <c r="Q10" s="689">
        <f>O10-P10</f>
        <v>0</v>
      </c>
      <c r="R10" s="17"/>
      <c r="S10" s="835">
        <f>SUM(C10:E10)</f>
        <v>0</v>
      </c>
      <c r="T10" s="835">
        <f>SUM(F10:H10)</f>
        <v>0</v>
      </c>
      <c r="U10" s="835">
        <f>SUM(I10:K10)</f>
        <v>0</v>
      </c>
      <c r="V10" s="835">
        <f>SUM(L10:N10)</f>
        <v>0</v>
      </c>
      <c r="W10" s="836"/>
      <c r="X10" s="694">
        <f>SUM(S10:V10)</f>
        <v>0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12.75" customHeight="1" x14ac:dyDescent="0.25">
      <c r="A11" s="704" t="s">
        <v>670</v>
      </c>
      <c r="B11" s="743"/>
      <c r="C11" s="851">
        <f>-DataBase!C170-SUM(C12:C14)</f>
        <v>2117</v>
      </c>
      <c r="D11" s="851">
        <f>-DataBase!D170-SUM(D12:D14)</f>
        <v>2128</v>
      </c>
      <c r="E11" s="851">
        <f>-DataBase!E170-SUM(E12:E14)</f>
        <v>2094</v>
      </c>
      <c r="F11" s="851">
        <f>-DataBase!F170-SUM(F12:F14)</f>
        <v>2072</v>
      </c>
      <c r="G11" s="851">
        <f>-DataBase!G170-SUM(G12:G14)</f>
        <v>2101</v>
      </c>
      <c r="H11" s="851">
        <f>-DataBase!H170-SUM(H12:H14)</f>
        <v>2124</v>
      </c>
      <c r="I11" s="851">
        <f>-DataBase!I170-SUM(I12:I14)</f>
        <v>2764</v>
      </c>
      <c r="J11" s="851">
        <f>-DataBase!J170-SUM(J12:J14)</f>
        <v>2782</v>
      </c>
      <c r="K11" s="851">
        <f>-DataBase!K170-SUM(K12:K14)</f>
        <v>2773</v>
      </c>
      <c r="L11" s="851">
        <f>-DataBase!L170-SUM(L12:L14)</f>
        <v>2769</v>
      </c>
      <c r="M11" s="851">
        <f>-DataBase!M170-SUM(M12:M14)</f>
        <v>2740</v>
      </c>
      <c r="N11" s="851">
        <f>-DataBase!N170-SUM(N12:N14)</f>
        <v>2821</v>
      </c>
      <c r="O11" s="689">
        <f>SUM(C11:N11)</f>
        <v>29285</v>
      </c>
      <c r="P11" s="690">
        <f t="shared" si="7"/>
        <v>4245</v>
      </c>
      <c r="Q11" s="689">
        <f t="shared" si="1"/>
        <v>25040</v>
      </c>
      <c r="R11" s="17"/>
      <c r="S11" s="835">
        <f>SUM(C11:E11)</f>
        <v>6339</v>
      </c>
      <c r="T11" s="835">
        <f>SUM(F11:H11)</f>
        <v>6297</v>
      </c>
      <c r="U11" s="835">
        <f>SUM(I11:K11)</f>
        <v>8319</v>
      </c>
      <c r="V11" s="835">
        <f>SUM(L11:N11)</f>
        <v>8330</v>
      </c>
      <c r="W11" s="836"/>
      <c r="X11" s="694">
        <f>SUM(S11:V11)</f>
        <v>29285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12.75" customHeight="1" x14ac:dyDescent="0.25">
      <c r="A12" s="988" t="s">
        <v>624</v>
      </c>
      <c r="B12" s="746"/>
      <c r="C12" s="863">
        <v>0</v>
      </c>
      <c r="D12" s="863">
        <v>0</v>
      </c>
      <c r="E12" s="863">
        <v>0</v>
      </c>
      <c r="F12" s="863">
        <v>0</v>
      </c>
      <c r="G12" s="863">
        <v>0</v>
      </c>
      <c r="H12" s="863">
        <v>0</v>
      </c>
      <c r="I12" s="863">
        <v>0</v>
      </c>
      <c r="J12" s="863">
        <v>0</v>
      </c>
      <c r="K12" s="863">
        <v>0</v>
      </c>
      <c r="L12" s="863">
        <v>0</v>
      </c>
      <c r="M12" s="863">
        <v>0</v>
      </c>
      <c r="N12" s="863">
        <v>0</v>
      </c>
      <c r="O12" s="689">
        <f>SUM(C12:N12)</f>
        <v>0</v>
      </c>
      <c r="P12" s="690">
        <f t="shared" si="7"/>
        <v>0</v>
      </c>
      <c r="Q12" s="689">
        <f t="shared" si="1"/>
        <v>0</v>
      </c>
      <c r="R12" s="17"/>
      <c r="S12" s="835">
        <f>SUM(C12:E12)</f>
        <v>0</v>
      </c>
      <c r="T12" s="835">
        <f>SUM(F12:H12)</f>
        <v>0</v>
      </c>
      <c r="U12" s="835">
        <f>SUM(I12:K12)</f>
        <v>0</v>
      </c>
      <c r="V12" s="835">
        <f>SUM(L12:N12)</f>
        <v>0</v>
      </c>
      <c r="W12" s="836"/>
      <c r="X12" s="694">
        <f>SUM(S12:V12)</f>
        <v>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12.75" customHeight="1" x14ac:dyDescent="0.25">
      <c r="A13" s="988" t="s">
        <v>624</v>
      </c>
      <c r="B13" s="743"/>
      <c r="C13" s="863">
        <v>0</v>
      </c>
      <c r="D13" s="863">
        <v>0</v>
      </c>
      <c r="E13" s="863">
        <v>0</v>
      </c>
      <c r="F13" s="863">
        <v>0</v>
      </c>
      <c r="G13" s="863">
        <v>0</v>
      </c>
      <c r="H13" s="863">
        <v>0</v>
      </c>
      <c r="I13" s="863">
        <v>0</v>
      </c>
      <c r="J13" s="863">
        <v>0</v>
      </c>
      <c r="K13" s="863">
        <v>0</v>
      </c>
      <c r="L13" s="863">
        <v>0</v>
      </c>
      <c r="M13" s="863">
        <v>0</v>
      </c>
      <c r="N13" s="863">
        <v>0</v>
      </c>
      <c r="O13" s="689">
        <f>SUM(C13:N13)</f>
        <v>0</v>
      </c>
      <c r="P13" s="690">
        <f t="shared" si="7"/>
        <v>0</v>
      </c>
      <c r="Q13" s="689">
        <f t="shared" si="1"/>
        <v>0</v>
      </c>
      <c r="R13" s="17"/>
      <c r="S13" s="835">
        <f>SUM(C13:E13)</f>
        <v>0</v>
      </c>
      <c r="T13" s="835">
        <f>SUM(F13:H13)</f>
        <v>0</v>
      </c>
      <c r="U13" s="835">
        <f>SUM(I13:K13)</f>
        <v>0</v>
      </c>
      <c r="V13" s="835">
        <f>SUM(L13:N13)</f>
        <v>0</v>
      </c>
      <c r="W13" s="836"/>
      <c r="X13" s="694">
        <f>SUM(S13:V13)</f>
        <v>0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12.75" customHeight="1" x14ac:dyDescent="0.25">
      <c r="A14" s="988" t="s">
        <v>624</v>
      </c>
      <c r="B14" s="747"/>
      <c r="C14" s="863">
        <v>0</v>
      </c>
      <c r="D14" s="863">
        <v>0</v>
      </c>
      <c r="E14" s="863">
        <v>0</v>
      </c>
      <c r="F14" s="863">
        <v>0</v>
      </c>
      <c r="G14" s="863">
        <v>0</v>
      </c>
      <c r="H14" s="863">
        <v>0</v>
      </c>
      <c r="I14" s="863">
        <v>0</v>
      </c>
      <c r="J14" s="863">
        <v>0</v>
      </c>
      <c r="K14" s="863">
        <v>0</v>
      </c>
      <c r="L14" s="863">
        <v>0</v>
      </c>
      <c r="M14" s="863">
        <v>0</v>
      </c>
      <c r="N14" s="863">
        <v>0</v>
      </c>
      <c r="O14" s="689">
        <f>SUM(C14:N14)</f>
        <v>0</v>
      </c>
      <c r="P14" s="690">
        <f t="shared" si="7"/>
        <v>0</v>
      </c>
      <c r="Q14" s="689">
        <f t="shared" si="1"/>
        <v>0</v>
      </c>
      <c r="R14" s="17"/>
      <c r="S14" s="835">
        <f>SUM(C14:E14)</f>
        <v>0</v>
      </c>
      <c r="T14" s="835">
        <f>SUM(F14:H14)</f>
        <v>0</v>
      </c>
      <c r="U14" s="835">
        <f>SUM(I14:K14)</f>
        <v>0</v>
      </c>
      <c r="V14" s="835">
        <f>SUM(L14:N14)</f>
        <v>0</v>
      </c>
      <c r="W14" s="837"/>
      <c r="X14" s="694">
        <f>SUM(S14:V14)</f>
        <v>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12.75" customHeight="1" x14ac:dyDescent="0.25">
      <c r="A15" s="713" t="s">
        <v>1078</v>
      </c>
      <c r="B15" s="743"/>
      <c r="C15" s="851">
        <f>-DataBase!C200-SUM(C16:C19)</f>
        <v>469</v>
      </c>
      <c r="D15" s="851">
        <f>-DataBase!D200-SUM(D16:D19)</f>
        <v>479</v>
      </c>
      <c r="E15" s="851">
        <f>-DataBase!E200-SUM(E16:E19)</f>
        <v>485</v>
      </c>
      <c r="F15" s="851">
        <f>-DataBase!F200-SUM(F16:F19)</f>
        <v>475</v>
      </c>
      <c r="G15" s="851">
        <f>-DataBase!G200-SUM(G16:G19)</f>
        <v>474</v>
      </c>
      <c r="H15" s="851">
        <f>-DataBase!H200-SUM(H16:H19)</f>
        <v>485</v>
      </c>
      <c r="I15" s="851">
        <f>-DataBase!I200-SUM(I16:I19)</f>
        <v>477</v>
      </c>
      <c r="J15" s="851">
        <f>-DataBase!J200-SUM(J16:J19)</f>
        <v>474</v>
      </c>
      <c r="K15" s="851">
        <f>-DataBase!K200-SUM(K16:K19)</f>
        <v>482</v>
      </c>
      <c r="L15" s="851">
        <f>-DataBase!L200-SUM(L16:L19)</f>
        <v>476</v>
      </c>
      <c r="M15" s="851">
        <f>-DataBase!M200-SUM(M16:M19)</f>
        <v>474</v>
      </c>
      <c r="N15" s="851">
        <f>-DataBase!N200-SUM(N16:N19)</f>
        <v>476</v>
      </c>
      <c r="O15" s="689">
        <f t="shared" si="0"/>
        <v>5726</v>
      </c>
      <c r="P15" s="690">
        <f t="shared" si="7"/>
        <v>948</v>
      </c>
      <c r="Q15" s="689">
        <f t="shared" si="1"/>
        <v>4778</v>
      </c>
      <c r="R15" s="17"/>
      <c r="S15" s="835">
        <f t="shared" si="2"/>
        <v>1433</v>
      </c>
      <c r="T15" s="835">
        <f t="shared" si="3"/>
        <v>1434</v>
      </c>
      <c r="U15" s="835">
        <f t="shared" si="4"/>
        <v>1433</v>
      </c>
      <c r="V15" s="835">
        <f t="shared" si="5"/>
        <v>1426</v>
      </c>
      <c r="W15" s="837"/>
      <c r="X15" s="694">
        <f t="shared" si="6"/>
        <v>5726</v>
      </c>
      <c r="Y15" s="20"/>
      <c r="Z15" s="20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12.75" customHeight="1" x14ac:dyDescent="0.25">
      <c r="A16" s="704" t="s">
        <v>672</v>
      </c>
      <c r="B16" s="743"/>
      <c r="C16" s="863">
        <v>0</v>
      </c>
      <c r="D16" s="863">
        <v>0</v>
      </c>
      <c r="E16" s="863">
        <v>0</v>
      </c>
      <c r="F16" s="863">
        <v>0</v>
      </c>
      <c r="G16" s="863">
        <v>0</v>
      </c>
      <c r="H16" s="863">
        <v>0</v>
      </c>
      <c r="I16" s="863">
        <v>0</v>
      </c>
      <c r="J16" s="863">
        <v>0</v>
      </c>
      <c r="K16" s="863">
        <v>0</v>
      </c>
      <c r="L16" s="863">
        <v>0</v>
      </c>
      <c r="M16" s="863">
        <v>0</v>
      </c>
      <c r="N16" s="863">
        <v>0</v>
      </c>
      <c r="O16" s="689">
        <f t="shared" si="0"/>
        <v>0</v>
      </c>
      <c r="P16" s="690">
        <f t="shared" si="7"/>
        <v>0</v>
      </c>
      <c r="Q16" s="689">
        <f t="shared" si="1"/>
        <v>0</v>
      </c>
      <c r="R16" s="17"/>
      <c r="S16" s="835">
        <f t="shared" si="2"/>
        <v>0</v>
      </c>
      <c r="T16" s="835">
        <f t="shared" si="3"/>
        <v>0</v>
      </c>
      <c r="U16" s="835">
        <f t="shared" si="4"/>
        <v>0</v>
      </c>
      <c r="V16" s="835">
        <f t="shared" si="5"/>
        <v>0</v>
      </c>
      <c r="W16" s="836"/>
      <c r="X16" s="694">
        <f t="shared" si="6"/>
        <v>0</v>
      </c>
      <c r="Y16" s="20"/>
      <c r="Z16" s="20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12.75" customHeight="1" x14ac:dyDescent="0.25">
      <c r="A17" s="704" t="s">
        <v>671</v>
      </c>
      <c r="B17" s="843" t="s">
        <v>1050</v>
      </c>
      <c r="C17" s="863">
        <v>0</v>
      </c>
      <c r="D17" s="863">
        <v>0</v>
      </c>
      <c r="E17" s="863">
        <v>0</v>
      </c>
      <c r="F17" s="863">
        <v>0</v>
      </c>
      <c r="G17" s="863">
        <v>0</v>
      </c>
      <c r="H17" s="863">
        <v>0</v>
      </c>
      <c r="I17" s="863">
        <v>0</v>
      </c>
      <c r="J17" s="863">
        <v>0</v>
      </c>
      <c r="K17" s="863">
        <v>0</v>
      </c>
      <c r="L17" s="863">
        <v>0</v>
      </c>
      <c r="M17" s="863">
        <v>0</v>
      </c>
      <c r="N17" s="863">
        <v>0</v>
      </c>
      <c r="O17" s="689">
        <f t="shared" si="0"/>
        <v>0</v>
      </c>
      <c r="P17" s="690">
        <f t="shared" si="7"/>
        <v>0</v>
      </c>
      <c r="Q17" s="689">
        <f t="shared" si="1"/>
        <v>0</v>
      </c>
      <c r="R17" s="17"/>
      <c r="S17" s="835">
        <f t="shared" si="2"/>
        <v>0</v>
      </c>
      <c r="T17" s="835">
        <f t="shared" si="3"/>
        <v>0</v>
      </c>
      <c r="U17" s="835">
        <f t="shared" si="4"/>
        <v>0</v>
      </c>
      <c r="V17" s="835">
        <f t="shared" si="5"/>
        <v>0</v>
      </c>
      <c r="W17" s="836"/>
      <c r="X17" s="694">
        <f t="shared" si="6"/>
        <v>0</v>
      </c>
      <c r="Y17" s="20"/>
      <c r="Z17" s="20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12.75" customHeight="1" x14ac:dyDescent="0.25">
      <c r="A18" s="988" t="s">
        <v>624</v>
      </c>
      <c r="B18" s="747"/>
      <c r="C18" s="863">
        <v>0</v>
      </c>
      <c r="D18" s="863">
        <v>0</v>
      </c>
      <c r="E18" s="863">
        <v>0</v>
      </c>
      <c r="F18" s="863">
        <v>0</v>
      </c>
      <c r="G18" s="863">
        <v>0</v>
      </c>
      <c r="H18" s="863">
        <v>0</v>
      </c>
      <c r="I18" s="863">
        <v>0</v>
      </c>
      <c r="J18" s="863">
        <v>0</v>
      </c>
      <c r="K18" s="863">
        <v>0</v>
      </c>
      <c r="L18" s="863">
        <v>0</v>
      </c>
      <c r="M18" s="863">
        <v>0</v>
      </c>
      <c r="N18" s="863">
        <v>0</v>
      </c>
      <c r="O18" s="689">
        <f>SUM(C18:N18)</f>
        <v>0</v>
      </c>
      <c r="P18" s="690">
        <f t="shared" si="7"/>
        <v>0</v>
      </c>
      <c r="Q18" s="689">
        <f>O18-P18</f>
        <v>0</v>
      </c>
      <c r="R18" s="17"/>
      <c r="S18" s="835">
        <f>SUM(C18:E18)</f>
        <v>0</v>
      </c>
      <c r="T18" s="835">
        <f>SUM(F18:H18)</f>
        <v>0</v>
      </c>
      <c r="U18" s="835">
        <f>SUM(I18:K18)</f>
        <v>0</v>
      </c>
      <c r="V18" s="835">
        <f>SUM(L18:N18)</f>
        <v>0</v>
      </c>
      <c r="W18" s="837"/>
      <c r="X18" s="694">
        <f>SUM(S18:V18)</f>
        <v>0</v>
      </c>
      <c r="Y18" s="20"/>
      <c r="Z18" s="20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12.75" customHeight="1" x14ac:dyDescent="0.25">
      <c r="A19" s="858" t="s">
        <v>6</v>
      </c>
      <c r="B19" s="859"/>
      <c r="C19" s="860">
        <v>0</v>
      </c>
      <c r="D19" s="860">
        <v>0</v>
      </c>
      <c r="E19" s="860">
        <v>0</v>
      </c>
      <c r="F19" s="860">
        <v>0</v>
      </c>
      <c r="G19" s="860">
        <v>0</v>
      </c>
      <c r="H19" s="860">
        <v>0</v>
      </c>
      <c r="I19" s="698">
        <v>0</v>
      </c>
      <c r="J19" s="698">
        <v>0</v>
      </c>
      <c r="K19" s="698">
        <v>0</v>
      </c>
      <c r="L19" s="698">
        <v>0</v>
      </c>
      <c r="M19" s="698">
        <v>0</v>
      </c>
      <c r="N19" s="860">
        <f>-600+600</f>
        <v>0</v>
      </c>
      <c r="O19" s="689">
        <f t="shared" si="0"/>
        <v>0</v>
      </c>
      <c r="P19" s="690">
        <f t="shared" si="7"/>
        <v>0</v>
      </c>
      <c r="Q19" s="689">
        <f t="shared" si="1"/>
        <v>0</v>
      </c>
      <c r="R19" s="689"/>
      <c r="S19" s="835">
        <f t="shared" si="2"/>
        <v>0</v>
      </c>
      <c r="T19" s="835">
        <f t="shared" si="3"/>
        <v>0</v>
      </c>
      <c r="U19" s="835">
        <f t="shared" si="4"/>
        <v>0</v>
      </c>
      <c r="V19" s="835">
        <f t="shared" si="5"/>
        <v>0</v>
      </c>
      <c r="W19" s="836"/>
      <c r="X19" s="694">
        <f t="shared" si="6"/>
        <v>0</v>
      </c>
      <c r="Y19" s="20"/>
      <c r="Z19" s="20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12.75" customHeight="1" x14ac:dyDescent="0.25">
      <c r="A20" s="713" t="s">
        <v>23</v>
      </c>
      <c r="B20" s="743"/>
      <c r="C20" s="989">
        <f>-DataBase!C207</f>
        <v>0</v>
      </c>
      <c r="D20" s="989">
        <f>-DataBase!D207</f>
        <v>0</v>
      </c>
      <c r="E20" s="989">
        <f>-DataBase!E207</f>
        <v>0</v>
      </c>
      <c r="F20" s="989">
        <f>-DataBase!F207</f>
        <v>0</v>
      </c>
      <c r="G20" s="989">
        <f>-DataBase!G207</f>
        <v>0</v>
      </c>
      <c r="H20" s="989">
        <f>-DataBase!H207</f>
        <v>0</v>
      </c>
      <c r="I20" s="989">
        <f>-DataBase!I207</f>
        <v>0</v>
      </c>
      <c r="J20" s="989">
        <f>-DataBase!J207</f>
        <v>0</v>
      </c>
      <c r="K20" s="989">
        <f>-DataBase!K207</f>
        <v>0</v>
      </c>
      <c r="L20" s="989">
        <f>-DataBase!L207</f>
        <v>0</v>
      </c>
      <c r="M20" s="989">
        <f>-DataBase!M207</f>
        <v>0</v>
      </c>
      <c r="N20" s="989">
        <f>-DataBase!N207</f>
        <v>0</v>
      </c>
      <c r="O20" s="689">
        <f>SUM(C20:N20)</f>
        <v>0</v>
      </c>
      <c r="P20" s="690">
        <f t="shared" si="7"/>
        <v>0</v>
      </c>
      <c r="Q20" s="689">
        <f>O20-P20</f>
        <v>0</v>
      </c>
      <c r="R20" s="17"/>
      <c r="S20" s="835">
        <f>SUM(C20:E20)</f>
        <v>0</v>
      </c>
      <c r="T20" s="835">
        <f>SUM(F20:H20)</f>
        <v>0</v>
      </c>
      <c r="U20" s="835">
        <f>SUM(I20:K20)</f>
        <v>0</v>
      </c>
      <c r="V20" s="835">
        <f>SUM(L20:N20)</f>
        <v>0</v>
      </c>
      <c r="W20" s="836"/>
      <c r="X20" s="694">
        <f>SUM(S20:V20)</f>
        <v>0</v>
      </c>
      <c r="Y20" s="20"/>
      <c r="Z20" s="20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12.75" customHeight="1" x14ac:dyDescent="0.25">
      <c r="A21" s="713" t="s">
        <v>1077</v>
      </c>
      <c r="B21" s="743"/>
      <c r="C21" s="851">
        <f>-DataBase!C277-C22</f>
        <v>360</v>
      </c>
      <c r="D21" s="851">
        <f>-DataBase!D277-D22</f>
        <v>371</v>
      </c>
      <c r="E21" s="851">
        <f>-DataBase!E277-E22</f>
        <v>365</v>
      </c>
      <c r="F21" s="851">
        <f>-DataBase!F277-F22</f>
        <v>384</v>
      </c>
      <c r="G21" s="851">
        <f>-DataBase!G277-G22</f>
        <v>383</v>
      </c>
      <c r="H21" s="851">
        <f>-DataBase!H277-H22</f>
        <v>410</v>
      </c>
      <c r="I21" s="851">
        <f>-DataBase!I277-I22</f>
        <v>388</v>
      </c>
      <c r="J21" s="851">
        <f>-DataBase!J277-J22</f>
        <v>391</v>
      </c>
      <c r="K21" s="851">
        <f>-DataBase!K277-K22</f>
        <v>386</v>
      </c>
      <c r="L21" s="851">
        <f>-DataBase!L277-L22</f>
        <v>381</v>
      </c>
      <c r="M21" s="851">
        <f>-DataBase!M277-M22</f>
        <v>381</v>
      </c>
      <c r="N21" s="851">
        <f>-DataBase!N277-N22</f>
        <v>394</v>
      </c>
      <c r="O21" s="689">
        <f t="shared" si="0"/>
        <v>4594</v>
      </c>
      <c r="P21" s="690">
        <f t="shared" si="7"/>
        <v>731</v>
      </c>
      <c r="Q21" s="689">
        <f t="shared" si="1"/>
        <v>3863</v>
      </c>
      <c r="R21" s="17"/>
      <c r="S21" s="835">
        <f t="shared" si="2"/>
        <v>1096</v>
      </c>
      <c r="T21" s="835">
        <f t="shared" si="3"/>
        <v>1177</v>
      </c>
      <c r="U21" s="835">
        <f t="shared" si="4"/>
        <v>1165</v>
      </c>
      <c r="V21" s="835">
        <f t="shared" si="5"/>
        <v>1156</v>
      </c>
      <c r="W21" s="837"/>
      <c r="X21" s="694">
        <f t="shared" si="6"/>
        <v>4594</v>
      </c>
      <c r="Y21" s="20"/>
      <c r="Z21" s="20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12.75" customHeight="1" x14ac:dyDescent="0.25">
      <c r="A22" s="988" t="s">
        <v>624</v>
      </c>
      <c r="B22" s="743"/>
      <c r="C22" s="863">
        <v>0</v>
      </c>
      <c r="D22" s="863">
        <v>0</v>
      </c>
      <c r="E22" s="863">
        <v>0</v>
      </c>
      <c r="F22" s="863">
        <v>0</v>
      </c>
      <c r="G22" s="863">
        <v>0</v>
      </c>
      <c r="H22" s="863">
        <v>0</v>
      </c>
      <c r="I22" s="863">
        <v>0</v>
      </c>
      <c r="J22" s="863">
        <v>0</v>
      </c>
      <c r="K22" s="863">
        <v>0</v>
      </c>
      <c r="L22" s="863">
        <v>0</v>
      </c>
      <c r="M22" s="863">
        <v>0</v>
      </c>
      <c r="N22" s="863">
        <v>0</v>
      </c>
      <c r="O22" s="689">
        <f t="shared" si="0"/>
        <v>0</v>
      </c>
      <c r="P22" s="690">
        <f t="shared" si="7"/>
        <v>0</v>
      </c>
      <c r="Q22" s="689">
        <f t="shared" si="1"/>
        <v>0</v>
      </c>
      <c r="R22" s="17"/>
      <c r="S22" s="835">
        <f t="shared" si="2"/>
        <v>0</v>
      </c>
      <c r="T22" s="835">
        <f t="shared" si="3"/>
        <v>0</v>
      </c>
      <c r="U22" s="835">
        <f t="shared" si="4"/>
        <v>0</v>
      </c>
      <c r="V22" s="835">
        <f t="shared" si="5"/>
        <v>0</v>
      </c>
      <c r="W22" s="836"/>
      <c r="X22" s="694">
        <f t="shared" si="6"/>
        <v>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12.75" customHeight="1" x14ac:dyDescent="0.25">
      <c r="A23" s="713" t="s">
        <v>1079</v>
      </c>
      <c r="B23" s="731"/>
      <c r="C23" s="688"/>
      <c r="D23" s="688"/>
      <c r="E23" s="688"/>
      <c r="F23" s="688"/>
      <c r="G23" s="688"/>
      <c r="H23" s="688"/>
      <c r="I23" s="688"/>
      <c r="J23" s="688"/>
      <c r="K23" s="688"/>
      <c r="L23" s="688"/>
      <c r="M23" s="688"/>
      <c r="N23" s="688"/>
      <c r="O23" s="614"/>
      <c r="P23" s="614"/>
      <c r="Q23" s="614"/>
      <c r="R23" s="17"/>
      <c r="S23" s="835"/>
      <c r="T23" s="835"/>
      <c r="U23" s="835"/>
      <c r="V23" s="835"/>
      <c r="W23" s="837"/>
      <c r="X23" s="694"/>
      <c r="Y23" s="20"/>
      <c r="Z23" s="20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12.75" customHeight="1" x14ac:dyDescent="0.25">
      <c r="A24" s="713" t="s">
        <v>36</v>
      </c>
      <c r="B24" s="743"/>
      <c r="C24" s="863">
        <v>0</v>
      </c>
      <c r="D24" s="863">
        <v>0</v>
      </c>
      <c r="E24" s="863">
        <v>0</v>
      </c>
      <c r="F24" s="863">
        <v>0</v>
      </c>
      <c r="G24" s="863">
        <v>0</v>
      </c>
      <c r="H24" s="863">
        <v>0</v>
      </c>
      <c r="I24" s="863">
        <v>0</v>
      </c>
      <c r="J24" s="863">
        <v>0</v>
      </c>
      <c r="K24" s="863">
        <v>0</v>
      </c>
      <c r="L24" s="863">
        <v>0</v>
      </c>
      <c r="M24" s="863">
        <v>0</v>
      </c>
      <c r="N24" s="863">
        <v>0</v>
      </c>
      <c r="O24" s="689">
        <f>SUM(C24:N24)</f>
        <v>0</v>
      </c>
      <c r="P24" s="690">
        <f t="shared" si="7"/>
        <v>0</v>
      </c>
      <c r="Q24" s="689">
        <f>O24-P24</f>
        <v>0</v>
      </c>
      <c r="R24" s="17"/>
      <c r="S24" s="835">
        <f>SUM(C24:E24)</f>
        <v>0</v>
      </c>
      <c r="T24" s="835">
        <f>SUM(F24:H24)</f>
        <v>0</v>
      </c>
      <c r="U24" s="835">
        <f>SUM(I24:K24)</f>
        <v>0</v>
      </c>
      <c r="V24" s="835">
        <f>SUM(L24:N24)</f>
        <v>0</v>
      </c>
      <c r="W24" s="836"/>
      <c r="X24" s="694">
        <f>SUM(S24:V24)</f>
        <v>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12.75" customHeight="1" x14ac:dyDescent="0.25">
      <c r="A25" s="713" t="s">
        <v>1080</v>
      </c>
      <c r="B25" s="743"/>
      <c r="C25" s="863">
        <v>0</v>
      </c>
      <c r="D25" s="863">
        <v>0</v>
      </c>
      <c r="E25" s="863">
        <v>0</v>
      </c>
      <c r="F25" s="863">
        <v>0</v>
      </c>
      <c r="G25" s="863">
        <v>0</v>
      </c>
      <c r="H25" s="863">
        <v>0</v>
      </c>
      <c r="I25" s="863">
        <v>0</v>
      </c>
      <c r="J25" s="863">
        <v>0</v>
      </c>
      <c r="K25" s="863">
        <v>0</v>
      </c>
      <c r="L25" s="863">
        <v>0</v>
      </c>
      <c r="M25" s="863">
        <v>0</v>
      </c>
      <c r="N25" s="863">
        <v>0</v>
      </c>
      <c r="O25" s="689">
        <f>SUM(C25:N25)</f>
        <v>0</v>
      </c>
      <c r="P25" s="690">
        <f t="shared" si="7"/>
        <v>0</v>
      </c>
      <c r="Q25" s="689">
        <f>O25-P25</f>
        <v>0</v>
      </c>
      <c r="R25" s="17"/>
      <c r="S25" s="835">
        <f>SUM(C25:E25)</f>
        <v>0</v>
      </c>
      <c r="T25" s="835">
        <f>SUM(F25:H25)</f>
        <v>0</v>
      </c>
      <c r="U25" s="835">
        <f>SUM(I25:K25)</f>
        <v>0</v>
      </c>
      <c r="V25" s="835">
        <f>SUM(L25:N25)</f>
        <v>0</v>
      </c>
      <c r="W25" s="836"/>
      <c r="X25" s="694">
        <f>SUM(S25:V25)</f>
        <v>0</v>
      </c>
      <c r="Y25" s="20"/>
      <c r="Z25" s="20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12.75" customHeight="1" x14ac:dyDescent="0.25">
      <c r="A26" s="713" t="s">
        <v>951</v>
      </c>
      <c r="B26" s="743"/>
      <c r="C26" s="863">
        <v>0</v>
      </c>
      <c r="D26" s="863">
        <v>0</v>
      </c>
      <c r="E26" s="863">
        <v>0</v>
      </c>
      <c r="F26" s="863">
        <v>0</v>
      </c>
      <c r="G26" s="863">
        <v>0</v>
      </c>
      <c r="H26" s="863">
        <v>0</v>
      </c>
      <c r="I26" s="863">
        <v>0</v>
      </c>
      <c r="J26" s="863">
        <v>0</v>
      </c>
      <c r="K26" s="863">
        <v>0</v>
      </c>
      <c r="L26" s="863">
        <v>0</v>
      </c>
      <c r="M26" s="863">
        <v>0</v>
      </c>
      <c r="N26" s="863">
        <v>0</v>
      </c>
      <c r="O26" s="689">
        <f>SUM(C26:N26)</f>
        <v>0</v>
      </c>
      <c r="P26" s="690">
        <f t="shared" si="7"/>
        <v>0</v>
      </c>
      <c r="Q26" s="689">
        <f>O26-P26</f>
        <v>0</v>
      </c>
      <c r="R26" s="17"/>
      <c r="S26" s="835">
        <f>SUM(C26:E26)</f>
        <v>0</v>
      </c>
      <c r="T26" s="835">
        <f>SUM(F26:H26)</f>
        <v>0</v>
      </c>
      <c r="U26" s="835">
        <f>SUM(I26:K26)</f>
        <v>0</v>
      </c>
      <c r="V26" s="835">
        <f>SUM(L26:N26)</f>
        <v>0</v>
      </c>
      <c r="W26" s="836"/>
      <c r="X26" s="694">
        <f>SUM(S26:V26)</f>
        <v>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12.75" customHeight="1" x14ac:dyDescent="0.25">
      <c r="A27" s="706" t="s">
        <v>622</v>
      </c>
      <c r="B27" s="743"/>
      <c r="C27" s="864">
        <f>0</f>
        <v>0</v>
      </c>
      <c r="D27" s="864">
        <f>0</f>
        <v>0</v>
      </c>
      <c r="E27" s="864">
        <f>0</f>
        <v>0</v>
      </c>
      <c r="F27" s="864">
        <f>0</f>
        <v>0</v>
      </c>
      <c r="G27" s="864">
        <f>0</f>
        <v>0</v>
      </c>
      <c r="H27" s="864">
        <f>0</f>
        <v>0</v>
      </c>
      <c r="I27" s="864">
        <f>0</f>
        <v>0</v>
      </c>
      <c r="J27" s="864">
        <f>0</f>
        <v>0</v>
      </c>
      <c r="K27" s="864">
        <f>0</f>
        <v>0</v>
      </c>
      <c r="L27" s="864">
        <f>0</f>
        <v>0</v>
      </c>
      <c r="M27" s="864">
        <f>0</f>
        <v>0</v>
      </c>
      <c r="N27" s="864">
        <f>0</f>
        <v>0</v>
      </c>
      <c r="O27" s="691">
        <f>SUM(C27:N27)</f>
        <v>0</v>
      </c>
      <c r="P27" s="692">
        <f t="shared" si="7"/>
        <v>0</v>
      </c>
      <c r="Q27" s="691">
        <f>O27-P27</f>
        <v>0</v>
      </c>
      <c r="R27" s="22"/>
      <c r="S27" s="838">
        <f>SUM(C27:E27)</f>
        <v>0</v>
      </c>
      <c r="T27" s="838">
        <f>SUM(F27:H27)</f>
        <v>0</v>
      </c>
      <c r="U27" s="838">
        <f>SUM(I27:K27)</f>
        <v>0</v>
      </c>
      <c r="V27" s="838">
        <f>SUM(L27:N27)</f>
        <v>0</v>
      </c>
      <c r="W27" s="836"/>
      <c r="X27" s="693">
        <f>SUM(S27:V27)</f>
        <v>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3.95" customHeight="1" x14ac:dyDescent="0.25">
      <c r="A28" s="694"/>
      <c r="B28" s="743"/>
      <c r="C28" s="693"/>
      <c r="D28" s="693"/>
      <c r="E28" s="693"/>
      <c r="F28" s="693"/>
      <c r="G28" s="693"/>
      <c r="H28" s="693"/>
      <c r="I28" s="693"/>
      <c r="J28" s="693"/>
      <c r="K28" s="693"/>
      <c r="L28" s="693"/>
      <c r="M28" s="693"/>
      <c r="N28" s="693"/>
      <c r="O28" s="693"/>
      <c r="P28" s="693"/>
      <c r="Q28" s="694"/>
      <c r="R28" s="17"/>
      <c r="S28" s="835"/>
      <c r="T28" s="835"/>
      <c r="U28" s="835"/>
      <c r="V28" s="835"/>
      <c r="W28" s="836"/>
      <c r="X28" s="836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ht="12.75" customHeight="1" x14ac:dyDescent="0.25">
      <c r="A29" s="711" t="s">
        <v>945</v>
      </c>
      <c r="B29" s="748"/>
      <c r="C29" s="695">
        <f t="shared" ref="C29:N29" si="8">ROUND(SUM(C7:C27),0)</f>
        <v>3338</v>
      </c>
      <c r="D29" s="695">
        <f t="shared" si="8"/>
        <v>3377</v>
      </c>
      <c r="E29" s="695">
        <f t="shared" si="8"/>
        <v>3306</v>
      </c>
      <c r="F29" s="695">
        <f t="shared" si="8"/>
        <v>3297</v>
      </c>
      <c r="G29" s="695">
        <f t="shared" si="8"/>
        <v>3335</v>
      </c>
      <c r="H29" s="695">
        <f t="shared" si="8"/>
        <v>3401</v>
      </c>
      <c r="I29" s="695">
        <f t="shared" si="8"/>
        <v>3986</v>
      </c>
      <c r="J29" s="695">
        <f t="shared" si="8"/>
        <v>4007</v>
      </c>
      <c r="K29" s="695">
        <f t="shared" si="8"/>
        <v>4037</v>
      </c>
      <c r="L29" s="695">
        <f t="shared" si="8"/>
        <v>3987</v>
      </c>
      <c r="M29" s="695">
        <f t="shared" si="8"/>
        <v>3960</v>
      </c>
      <c r="N29" s="695">
        <f t="shared" si="8"/>
        <v>4071</v>
      </c>
      <c r="O29" s="695">
        <f>SUM(O7:O27)</f>
        <v>44102</v>
      </c>
      <c r="P29" s="695">
        <f>SUM(P7:P27)</f>
        <v>6715</v>
      </c>
      <c r="Q29" s="695">
        <f>SUM(Q7:Q27)</f>
        <v>37387</v>
      </c>
      <c r="R29" s="17"/>
      <c r="S29" s="695">
        <f>SUM(S7:S27)</f>
        <v>10021</v>
      </c>
      <c r="T29" s="695">
        <f>SUM(T7:T27)</f>
        <v>10033</v>
      </c>
      <c r="U29" s="695">
        <f>SUM(U7:U27)</f>
        <v>12030</v>
      </c>
      <c r="V29" s="695">
        <f>SUM(V7:V27)</f>
        <v>12018</v>
      </c>
      <c r="W29" s="836"/>
      <c r="X29" s="695">
        <f>SUM(X7:X27)</f>
        <v>44102</v>
      </c>
      <c r="Y29" s="17"/>
      <c r="Z29" s="694">
        <f>X29-SUM(S29:V29)</f>
        <v>0</v>
      </c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ht="12.75" customHeight="1" x14ac:dyDescent="0.25">
      <c r="A30" s="707"/>
      <c r="B30" s="743"/>
      <c r="C30" s="689"/>
      <c r="D30" s="689"/>
      <c r="E30" s="689"/>
      <c r="F30" s="689"/>
      <c r="G30" s="689"/>
      <c r="H30" s="689"/>
      <c r="I30" s="689"/>
      <c r="J30" s="689"/>
      <c r="K30" s="689"/>
      <c r="L30" s="689"/>
      <c r="M30" s="689"/>
      <c r="N30" s="689"/>
      <c r="O30" s="689"/>
      <c r="P30" s="689"/>
      <c r="Q30" s="689"/>
      <c r="R30" s="17"/>
      <c r="S30" s="694"/>
      <c r="T30" s="694"/>
      <c r="U30" s="694"/>
      <c r="V30" s="694"/>
      <c r="W30" s="836"/>
      <c r="X30" s="836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ht="12.75" customHeight="1" x14ac:dyDescent="0.25">
      <c r="A31" s="712" t="s">
        <v>944</v>
      </c>
      <c r="B31" s="749"/>
      <c r="C31" s="696"/>
      <c r="D31" s="696"/>
      <c r="E31" s="696"/>
      <c r="F31" s="696"/>
      <c r="G31" s="696"/>
      <c r="H31" s="696"/>
      <c r="I31" s="696"/>
      <c r="J31" s="696"/>
      <c r="K31" s="696"/>
      <c r="L31" s="696"/>
      <c r="M31" s="696"/>
      <c r="N31" s="696"/>
      <c r="O31" s="689"/>
      <c r="P31" s="689"/>
      <c r="Q31" s="689"/>
      <c r="R31" s="17"/>
      <c r="S31" s="694"/>
      <c r="T31" s="694"/>
      <c r="U31" s="694"/>
      <c r="V31" s="694"/>
      <c r="W31" s="836"/>
      <c r="X31" s="836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ht="12.75" customHeight="1" x14ac:dyDescent="0.25">
      <c r="A32" s="713" t="s">
        <v>7</v>
      </c>
      <c r="B32" s="861"/>
      <c r="C32" s="688">
        <f>-DataBase!C292</f>
        <v>105</v>
      </c>
      <c r="D32" s="688">
        <f>-DataBase!D292</f>
        <v>122</v>
      </c>
      <c r="E32" s="688">
        <f>-DataBase!E292</f>
        <v>108</v>
      </c>
      <c r="F32" s="688">
        <f>-DataBase!F292</f>
        <v>108</v>
      </c>
      <c r="G32" s="688">
        <f>-DataBase!G292</f>
        <v>107</v>
      </c>
      <c r="H32" s="688">
        <f>-DataBase!H292</f>
        <v>108</v>
      </c>
      <c r="I32" s="688">
        <f>-DataBase!I292</f>
        <v>108</v>
      </c>
      <c r="J32" s="688">
        <f>-DataBase!J292</f>
        <v>107</v>
      </c>
      <c r="K32" s="688">
        <f>-DataBase!K292</f>
        <v>108</v>
      </c>
      <c r="L32" s="688">
        <f>-DataBase!L292</f>
        <v>108</v>
      </c>
      <c r="M32" s="688">
        <f>-DataBase!M292</f>
        <v>107</v>
      </c>
      <c r="N32" s="688">
        <f>-DataBase!N292</f>
        <v>107</v>
      </c>
      <c r="O32" s="689">
        <f t="shared" ref="O32:O37" si="9">SUM(C32:N32)</f>
        <v>1303</v>
      </c>
      <c r="P32" s="690">
        <f t="shared" ref="P32:P37" si="10">SUM(C32:D32)</f>
        <v>227</v>
      </c>
      <c r="Q32" s="689">
        <f t="shared" ref="Q32:Q37" si="11">O32-P32</f>
        <v>1076</v>
      </c>
      <c r="R32" s="689"/>
      <c r="S32" s="835">
        <f t="shared" ref="S32:S37" si="12">SUM(C32:E32)</f>
        <v>335</v>
      </c>
      <c r="T32" s="835">
        <f t="shared" ref="T32:T37" si="13">SUM(F32:H32)</f>
        <v>323</v>
      </c>
      <c r="U32" s="835">
        <f t="shared" ref="U32:U37" si="14">SUM(I32:K32)</f>
        <v>323</v>
      </c>
      <c r="V32" s="835">
        <f t="shared" ref="V32:V37" si="15">SUM(L32:N32)</f>
        <v>322</v>
      </c>
      <c r="W32" s="836"/>
      <c r="X32" s="694">
        <f t="shared" ref="X32:X37" si="16">SUM(S32:V32)</f>
        <v>1303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ht="12.75" customHeight="1" x14ac:dyDescent="0.25">
      <c r="A33" s="713" t="s">
        <v>8</v>
      </c>
      <c r="B33" s="861"/>
      <c r="C33" s="688">
        <f>-DataBase!C306</f>
        <v>23</v>
      </c>
      <c r="D33" s="688">
        <f>-DataBase!D306</f>
        <v>23</v>
      </c>
      <c r="E33" s="688">
        <f>-DataBase!E306</f>
        <v>22</v>
      </c>
      <c r="F33" s="688">
        <f>-DataBase!F306</f>
        <v>23</v>
      </c>
      <c r="G33" s="688">
        <f>-DataBase!G306</f>
        <v>23</v>
      </c>
      <c r="H33" s="688">
        <f>-DataBase!H306</f>
        <v>22</v>
      </c>
      <c r="I33" s="688">
        <f>-DataBase!I306</f>
        <v>23</v>
      </c>
      <c r="J33" s="688">
        <f>-DataBase!J306</f>
        <v>23</v>
      </c>
      <c r="K33" s="688">
        <f>-DataBase!K306</f>
        <v>22</v>
      </c>
      <c r="L33" s="688">
        <f>-DataBase!L306</f>
        <v>23</v>
      </c>
      <c r="M33" s="688">
        <f>-DataBase!M306</f>
        <v>23</v>
      </c>
      <c r="N33" s="688">
        <f>-DataBase!N306</f>
        <v>23</v>
      </c>
      <c r="O33" s="689">
        <f t="shared" si="9"/>
        <v>273</v>
      </c>
      <c r="P33" s="690">
        <f t="shared" si="10"/>
        <v>46</v>
      </c>
      <c r="Q33" s="689">
        <f t="shared" si="11"/>
        <v>227</v>
      </c>
      <c r="R33" s="689"/>
      <c r="S33" s="835">
        <f t="shared" si="12"/>
        <v>68</v>
      </c>
      <c r="T33" s="835">
        <f t="shared" si="13"/>
        <v>68</v>
      </c>
      <c r="U33" s="835">
        <f t="shared" si="14"/>
        <v>68</v>
      </c>
      <c r="V33" s="835">
        <f t="shared" si="15"/>
        <v>69</v>
      </c>
      <c r="W33" s="836"/>
      <c r="X33" s="694">
        <f t="shared" si="16"/>
        <v>273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ht="12.75" customHeight="1" x14ac:dyDescent="0.25">
      <c r="A34" s="713" t="s">
        <v>9</v>
      </c>
      <c r="B34" s="861"/>
      <c r="C34" s="688">
        <f>-DataBase!C323</f>
        <v>32</v>
      </c>
      <c r="D34" s="688">
        <f>-DataBase!D323</f>
        <v>36</v>
      </c>
      <c r="E34" s="688">
        <f>-DataBase!E323</f>
        <v>32</v>
      </c>
      <c r="F34" s="688">
        <f>-DataBase!F323</f>
        <v>33</v>
      </c>
      <c r="G34" s="688">
        <f>-DataBase!G323</f>
        <v>32</v>
      </c>
      <c r="H34" s="688">
        <f>-DataBase!H323</f>
        <v>34</v>
      </c>
      <c r="I34" s="688">
        <f>-DataBase!I323</f>
        <v>32</v>
      </c>
      <c r="J34" s="688">
        <f>-DataBase!J323</f>
        <v>33</v>
      </c>
      <c r="K34" s="688">
        <f>-DataBase!K323</f>
        <v>32</v>
      </c>
      <c r="L34" s="688">
        <f>-DataBase!L323</f>
        <v>34</v>
      </c>
      <c r="M34" s="688">
        <f>-DataBase!M323</f>
        <v>32</v>
      </c>
      <c r="N34" s="688">
        <f>-DataBase!N323</f>
        <v>33</v>
      </c>
      <c r="O34" s="689">
        <f t="shared" si="9"/>
        <v>395</v>
      </c>
      <c r="P34" s="690">
        <f t="shared" si="10"/>
        <v>68</v>
      </c>
      <c r="Q34" s="689">
        <f t="shared" si="11"/>
        <v>327</v>
      </c>
      <c r="R34" s="689"/>
      <c r="S34" s="835">
        <f t="shared" si="12"/>
        <v>100</v>
      </c>
      <c r="T34" s="835">
        <f t="shared" si="13"/>
        <v>99</v>
      </c>
      <c r="U34" s="835">
        <f t="shared" si="14"/>
        <v>97</v>
      </c>
      <c r="V34" s="835">
        <f t="shared" si="15"/>
        <v>99</v>
      </c>
      <c r="W34" s="836"/>
      <c r="X34" s="694">
        <f t="shared" si="16"/>
        <v>395</v>
      </c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ht="12.75" customHeight="1" x14ac:dyDescent="0.25">
      <c r="A35" s="704" t="s">
        <v>623</v>
      </c>
      <c r="B35" s="743"/>
      <c r="C35" s="698">
        <f>0</f>
        <v>0</v>
      </c>
      <c r="D35" s="698">
        <f>0</f>
        <v>0</v>
      </c>
      <c r="E35" s="698">
        <f>0</f>
        <v>0</v>
      </c>
      <c r="F35" s="698">
        <f>0</f>
        <v>0</v>
      </c>
      <c r="G35" s="698">
        <f>0</f>
        <v>0</v>
      </c>
      <c r="H35" s="698">
        <f>0</f>
        <v>0</v>
      </c>
      <c r="I35" s="698">
        <f>0</f>
        <v>0</v>
      </c>
      <c r="J35" s="698">
        <f>0</f>
        <v>0</v>
      </c>
      <c r="K35" s="698">
        <f>0</f>
        <v>0</v>
      </c>
      <c r="L35" s="698">
        <f>0</f>
        <v>0</v>
      </c>
      <c r="M35" s="698">
        <f>0</f>
        <v>0</v>
      </c>
      <c r="N35" s="698">
        <f>0</f>
        <v>0</v>
      </c>
      <c r="O35" s="689">
        <f t="shared" si="9"/>
        <v>0</v>
      </c>
      <c r="P35" s="690">
        <f t="shared" si="10"/>
        <v>0</v>
      </c>
      <c r="Q35" s="689">
        <f t="shared" si="11"/>
        <v>0</v>
      </c>
      <c r="R35" s="17"/>
      <c r="S35" s="835">
        <f t="shared" si="12"/>
        <v>0</v>
      </c>
      <c r="T35" s="835">
        <f t="shared" si="13"/>
        <v>0</v>
      </c>
      <c r="U35" s="835">
        <f t="shared" si="14"/>
        <v>0</v>
      </c>
      <c r="V35" s="835">
        <f t="shared" si="15"/>
        <v>0</v>
      </c>
      <c r="W35" s="836"/>
      <c r="X35" s="694">
        <f t="shared" si="16"/>
        <v>0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ht="12.75" customHeight="1" x14ac:dyDescent="0.25">
      <c r="A36" s="704" t="s">
        <v>623</v>
      </c>
      <c r="B36" s="743"/>
      <c r="C36" s="698">
        <f>0</f>
        <v>0</v>
      </c>
      <c r="D36" s="698">
        <f>0</f>
        <v>0</v>
      </c>
      <c r="E36" s="698">
        <f>0</f>
        <v>0</v>
      </c>
      <c r="F36" s="698">
        <f>0</f>
        <v>0</v>
      </c>
      <c r="G36" s="698">
        <f>0</f>
        <v>0</v>
      </c>
      <c r="H36" s="698">
        <f>0</f>
        <v>0</v>
      </c>
      <c r="I36" s="698">
        <f>0</f>
        <v>0</v>
      </c>
      <c r="J36" s="698">
        <f>0</f>
        <v>0</v>
      </c>
      <c r="K36" s="698">
        <f>0</f>
        <v>0</v>
      </c>
      <c r="L36" s="698">
        <f>0</f>
        <v>0</v>
      </c>
      <c r="M36" s="698">
        <f>0</f>
        <v>0</v>
      </c>
      <c r="N36" s="698">
        <f>0</f>
        <v>0</v>
      </c>
      <c r="O36" s="689">
        <f t="shared" si="9"/>
        <v>0</v>
      </c>
      <c r="P36" s="690">
        <f t="shared" si="10"/>
        <v>0</v>
      </c>
      <c r="Q36" s="689">
        <f t="shared" si="11"/>
        <v>0</v>
      </c>
      <c r="R36" s="17"/>
      <c r="S36" s="835">
        <f t="shared" si="12"/>
        <v>0</v>
      </c>
      <c r="T36" s="835">
        <f t="shared" si="13"/>
        <v>0</v>
      </c>
      <c r="U36" s="835">
        <f t="shared" si="14"/>
        <v>0</v>
      </c>
      <c r="V36" s="835">
        <f t="shared" si="15"/>
        <v>0</v>
      </c>
      <c r="W36" s="836"/>
      <c r="X36" s="694">
        <f t="shared" si="16"/>
        <v>0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ht="12.75" customHeight="1" x14ac:dyDescent="0.25">
      <c r="A37" s="708" t="s">
        <v>674</v>
      </c>
      <c r="B37" s="731"/>
      <c r="C37" s="703">
        <f>0</f>
        <v>0</v>
      </c>
      <c r="D37" s="703">
        <f>0</f>
        <v>0</v>
      </c>
      <c r="E37" s="703">
        <f>0</f>
        <v>0</v>
      </c>
      <c r="F37" s="703">
        <f>0</f>
        <v>0</v>
      </c>
      <c r="G37" s="703">
        <f>0</f>
        <v>0</v>
      </c>
      <c r="H37" s="703">
        <f>0</f>
        <v>0</v>
      </c>
      <c r="I37" s="703">
        <f>0</f>
        <v>0</v>
      </c>
      <c r="J37" s="703">
        <f>0</f>
        <v>0</v>
      </c>
      <c r="K37" s="703">
        <f>0</f>
        <v>0</v>
      </c>
      <c r="L37" s="703">
        <f>0</f>
        <v>0</v>
      </c>
      <c r="M37" s="703">
        <f>0</f>
        <v>0</v>
      </c>
      <c r="N37" s="703">
        <f>0</f>
        <v>0</v>
      </c>
      <c r="O37" s="691">
        <f t="shared" si="9"/>
        <v>0</v>
      </c>
      <c r="P37" s="692">
        <f t="shared" si="10"/>
        <v>0</v>
      </c>
      <c r="Q37" s="691">
        <f t="shared" si="11"/>
        <v>0</v>
      </c>
      <c r="R37" s="17"/>
      <c r="S37" s="838">
        <f t="shared" si="12"/>
        <v>0</v>
      </c>
      <c r="T37" s="838">
        <f t="shared" si="13"/>
        <v>0</v>
      </c>
      <c r="U37" s="838">
        <f t="shared" si="14"/>
        <v>0</v>
      </c>
      <c r="V37" s="838">
        <f t="shared" si="15"/>
        <v>0</v>
      </c>
      <c r="W37" s="836"/>
      <c r="X37" s="693">
        <f t="shared" si="16"/>
        <v>0</v>
      </c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ht="3.95" customHeight="1" x14ac:dyDescent="0.25">
      <c r="A38" s="694"/>
      <c r="B38" s="743"/>
      <c r="C38" s="693"/>
      <c r="D38" s="693"/>
      <c r="E38" s="693"/>
      <c r="F38" s="693"/>
      <c r="G38" s="693"/>
      <c r="H38" s="693"/>
      <c r="I38" s="693"/>
      <c r="J38" s="693"/>
      <c r="K38" s="693"/>
      <c r="L38" s="693"/>
      <c r="M38" s="693"/>
      <c r="N38" s="693"/>
      <c r="O38" s="693"/>
      <c r="P38" s="693"/>
      <c r="Q38" s="694"/>
      <c r="R38" s="17"/>
      <c r="S38" s="835"/>
      <c r="T38" s="835"/>
      <c r="U38" s="835"/>
      <c r="V38" s="835"/>
      <c r="W38" s="836"/>
      <c r="X38" s="836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  <row r="39" spans="1:70" ht="12.75" customHeight="1" x14ac:dyDescent="0.25">
      <c r="A39" s="711" t="s">
        <v>948</v>
      </c>
      <c r="B39" s="750"/>
      <c r="C39" s="697">
        <f t="shared" ref="C39:Q39" si="17">SUM(C32:C37)</f>
        <v>160</v>
      </c>
      <c r="D39" s="697">
        <f t="shared" si="17"/>
        <v>181</v>
      </c>
      <c r="E39" s="697">
        <f t="shared" si="17"/>
        <v>162</v>
      </c>
      <c r="F39" s="697">
        <f t="shared" si="17"/>
        <v>164</v>
      </c>
      <c r="G39" s="697">
        <f t="shared" si="17"/>
        <v>162</v>
      </c>
      <c r="H39" s="697">
        <f t="shared" si="17"/>
        <v>164</v>
      </c>
      <c r="I39" s="697">
        <f t="shared" si="17"/>
        <v>163</v>
      </c>
      <c r="J39" s="697">
        <f t="shared" si="17"/>
        <v>163</v>
      </c>
      <c r="K39" s="697">
        <f t="shared" si="17"/>
        <v>162</v>
      </c>
      <c r="L39" s="697">
        <f t="shared" si="17"/>
        <v>165</v>
      </c>
      <c r="M39" s="697">
        <f t="shared" si="17"/>
        <v>162</v>
      </c>
      <c r="N39" s="697">
        <f t="shared" si="17"/>
        <v>163</v>
      </c>
      <c r="O39" s="697">
        <f t="shared" si="17"/>
        <v>1971</v>
      </c>
      <c r="P39" s="697">
        <f t="shared" si="17"/>
        <v>341</v>
      </c>
      <c r="Q39" s="697">
        <f t="shared" si="17"/>
        <v>1630</v>
      </c>
      <c r="R39" s="17"/>
      <c r="S39" s="697">
        <f>SUM(S32:S37)</f>
        <v>503</v>
      </c>
      <c r="T39" s="697">
        <f>SUM(T32:T37)</f>
        <v>490</v>
      </c>
      <c r="U39" s="697">
        <f>SUM(U32:U37)</f>
        <v>488</v>
      </c>
      <c r="V39" s="697">
        <f>SUM(V32:V37)</f>
        <v>490</v>
      </c>
      <c r="W39" s="836"/>
      <c r="X39" s="697">
        <f>SUM(X32:X37)</f>
        <v>1971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</row>
    <row r="40" spans="1:70" ht="12.75" customHeight="1" x14ac:dyDescent="0.25">
      <c r="A40" s="709"/>
      <c r="B40" s="743"/>
      <c r="C40" s="689"/>
      <c r="D40" s="689"/>
      <c r="E40" s="689"/>
      <c r="F40" s="689"/>
      <c r="G40" s="689"/>
      <c r="H40" s="689"/>
      <c r="I40" s="689"/>
      <c r="J40" s="689"/>
      <c r="K40" s="689"/>
      <c r="L40" s="689"/>
      <c r="M40" s="689"/>
      <c r="N40" s="689"/>
      <c r="O40" s="689"/>
      <c r="P40" s="689"/>
      <c r="Q40" s="689"/>
      <c r="R40" s="17"/>
      <c r="S40" s="694"/>
      <c r="T40" s="694"/>
      <c r="U40" s="694"/>
      <c r="V40" s="694"/>
      <c r="W40" s="836"/>
      <c r="X40" s="836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</row>
    <row r="41" spans="1:70" ht="12.75" customHeight="1" x14ac:dyDescent="0.25">
      <c r="A41" s="711" t="s">
        <v>946</v>
      </c>
      <c r="B41" s="743"/>
      <c r="C41" s="689"/>
      <c r="D41" s="689"/>
      <c r="E41" s="689"/>
      <c r="F41" s="689"/>
      <c r="G41" s="689"/>
      <c r="H41" s="689"/>
      <c r="I41" s="689"/>
      <c r="J41" s="689"/>
      <c r="K41" s="689"/>
      <c r="L41" s="689"/>
      <c r="M41" s="689"/>
      <c r="N41" s="689"/>
      <c r="O41" s="689"/>
      <c r="P41" s="689"/>
      <c r="Q41" s="689"/>
      <c r="R41" s="17"/>
      <c r="S41" s="694"/>
      <c r="T41" s="694"/>
      <c r="U41" s="694"/>
      <c r="V41" s="694"/>
      <c r="W41" s="837"/>
      <c r="X41" s="837"/>
      <c r="Y41" s="20"/>
      <c r="Z41" s="20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</row>
    <row r="42" spans="1:70" ht="12.75" customHeight="1" x14ac:dyDescent="0.25">
      <c r="A42" s="713" t="s">
        <v>947</v>
      </c>
      <c r="B42" s="743"/>
      <c r="C42" s="851">
        <f>-DataBase!C205-SUM(C43:C44)</f>
        <v>580</v>
      </c>
      <c r="D42" s="851">
        <f>-DataBase!D205-SUM(D43:D44)</f>
        <v>580</v>
      </c>
      <c r="E42" s="851">
        <f>-DataBase!E205-SUM(E43:E44)</f>
        <v>581</v>
      </c>
      <c r="F42" s="851">
        <f>-DataBase!F205-SUM(F43:F44)</f>
        <v>580</v>
      </c>
      <c r="G42" s="851">
        <f>-DataBase!G205-SUM(G43:G44)</f>
        <v>580</v>
      </c>
      <c r="H42" s="851">
        <f>-DataBase!H205-SUM(H43:H44)</f>
        <v>581</v>
      </c>
      <c r="I42" s="851">
        <f>-DataBase!I205-SUM(I43:I44)</f>
        <v>580</v>
      </c>
      <c r="J42" s="851">
        <f>-DataBase!J205-SUM(J43:J44)</f>
        <v>580</v>
      </c>
      <c r="K42" s="851">
        <f>-DataBase!K205-SUM(K43:K44)</f>
        <v>581</v>
      </c>
      <c r="L42" s="851">
        <f>-DataBase!L205-SUM(L43:L44)</f>
        <v>580</v>
      </c>
      <c r="M42" s="851">
        <f>-DataBase!M205-SUM(M43:M44)</f>
        <v>580</v>
      </c>
      <c r="N42" s="851">
        <f>-DataBase!N205-SUM(N43:N44)</f>
        <v>581</v>
      </c>
      <c r="O42" s="689">
        <f>SUM(C42:N42)</f>
        <v>6964</v>
      </c>
      <c r="P42" s="690">
        <f>SUM(C42:D42)</f>
        <v>1160</v>
      </c>
      <c r="Q42" s="689">
        <f>O42-P42</f>
        <v>5804</v>
      </c>
      <c r="R42" s="17"/>
      <c r="S42" s="835">
        <f>SUM(C42:E42)</f>
        <v>1741</v>
      </c>
      <c r="T42" s="835">
        <f>SUM(F42:H42)</f>
        <v>1741</v>
      </c>
      <c r="U42" s="835">
        <f>SUM(I42:K42)</f>
        <v>1741</v>
      </c>
      <c r="V42" s="835">
        <f>SUM(L42:N42)</f>
        <v>1741</v>
      </c>
      <c r="W42" s="836"/>
      <c r="X42" s="694">
        <f>SUM(S42:V42)</f>
        <v>6964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 spans="1:70" ht="12.75" customHeight="1" x14ac:dyDescent="0.25">
      <c r="A43" s="713" t="s">
        <v>560</v>
      </c>
      <c r="B43" s="743"/>
      <c r="C43" s="698">
        <f>0</f>
        <v>0</v>
      </c>
      <c r="D43" s="698">
        <f>0</f>
        <v>0</v>
      </c>
      <c r="E43" s="698">
        <f>0</f>
        <v>0</v>
      </c>
      <c r="F43" s="698">
        <f>0</f>
        <v>0</v>
      </c>
      <c r="G43" s="698">
        <f>0</f>
        <v>0</v>
      </c>
      <c r="H43" s="698">
        <f>0</f>
        <v>0</v>
      </c>
      <c r="I43" s="698">
        <f>0</f>
        <v>0</v>
      </c>
      <c r="J43" s="698">
        <f>0</f>
        <v>0</v>
      </c>
      <c r="K43" s="698">
        <f>0</f>
        <v>0</v>
      </c>
      <c r="L43" s="698">
        <f>0</f>
        <v>0</v>
      </c>
      <c r="M43" s="698">
        <f>0</f>
        <v>0</v>
      </c>
      <c r="N43" s="698">
        <f>0</f>
        <v>0</v>
      </c>
      <c r="O43" s="689">
        <f>SUM(C43:N43)</f>
        <v>0</v>
      </c>
      <c r="P43" s="690">
        <f>SUM(C43:D43)</f>
        <v>0</v>
      </c>
      <c r="Q43" s="689">
        <f>O43-P43</f>
        <v>0</v>
      </c>
      <c r="R43" s="17"/>
      <c r="S43" s="835">
        <f>SUM(C43:E43)</f>
        <v>0</v>
      </c>
      <c r="T43" s="835">
        <f>SUM(F43:H43)</f>
        <v>0</v>
      </c>
      <c r="U43" s="835">
        <f>SUM(I43:K43)</f>
        <v>0</v>
      </c>
      <c r="V43" s="835">
        <f>SUM(L43:N43)</f>
        <v>0</v>
      </c>
      <c r="W43" s="836"/>
      <c r="X43" s="694">
        <f>SUM(S43:V43)</f>
        <v>0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</row>
    <row r="44" spans="1:70" ht="12.75" customHeight="1" x14ac:dyDescent="0.25">
      <c r="A44" s="705" t="s">
        <v>673</v>
      </c>
      <c r="B44" s="743"/>
      <c r="C44" s="703">
        <f>0</f>
        <v>0</v>
      </c>
      <c r="D44" s="703">
        <f>0</f>
        <v>0</v>
      </c>
      <c r="E44" s="703">
        <f>0</f>
        <v>0</v>
      </c>
      <c r="F44" s="703">
        <f>0</f>
        <v>0</v>
      </c>
      <c r="G44" s="703">
        <f>0</f>
        <v>0</v>
      </c>
      <c r="H44" s="703">
        <f>0</f>
        <v>0</v>
      </c>
      <c r="I44" s="703">
        <f>0</f>
        <v>0</v>
      </c>
      <c r="J44" s="703">
        <f>0</f>
        <v>0</v>
      </c>
      <c r="K44" s="703">
        <f>0</f>
        <v>0</v>
      </c>
      <c r="L44" s="703">
        <f>0</f>
        <v>0</v>
      </c>
      <c r="M44" s="703">
        <f>0</f>
        <v>0</v>
      </c>
      <c r="N44" s="703">
        <f>0</f>
        <v>0</v>
      </c>
      <c r="O44" s="691">
        <f>SUM(C44:N44)</f>
        <v>0</v>
      </c>
      <c r="P44" s="692">
        <f>SUM(C44:D44)</f>
        <v>0</v>
      </c>
      <c r="Q44" s="691">
        <f>O44-P44</f>
        <v>0</v>
      </c>
      <c r="R44" s="17"/>
      <c r="S44" s="838">
        <f>SUM(C44:E44)</f>
        <v>0</v>
      </c>
      <c r="T44" s="838">
        <f>SUM(F44:H44)</f>
        <v>0</v>
      </c>
      <c r="U44" s="838">
        <f>SUM(I44:K44)</f>
        <v>0</v>
      </c>
      <c r="V44" s="838">
        <f>SUM(L44:N44)</f>
        <v>0</v>
      </c>
      <c r="W44" s="836"/>
      <c r="X44" s="693">
        <f>SUM(S44:V44)</f>
        <v>0</v>
      </c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 spans="1:70" ht="3.95" customHeight="1" x14ac:dyDescent="0.25">
      <c r="A45" s="694"/>
      <c r="B45" s="743"/>
      <c r="C45" s="694"/>
      <c r="D45" s="694"/>
      <c r="E45" s="694"/>
      <c r="F45" s="694"/>
      <c r="G45" s="694"/>
      <c r="H45" s="694"/>
      <c r="I45" s="694"/>
      <c r="J45" s="694"/>
      <c r="K45" s="694"/>
      <c r="L45" s="694"/>
      <c r="M45" s="694"/>
      <c r="N45" s="694"/>
      <c r="O45" s="694"/>
      <c r="P45" s="694"/>
      <c r="Q45" s="694"/>
      <c r="R45" s="17"/>
      <c r="S45" s="835"/>
      <c r="T45" s="835"/>
      <c r="U45" s="835"/>
      <c r="V45" s="835"/>
      <c r="W45" s="836"/>
      <c r="X45" s="836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</row>
    <row r="46" spans="1:70" ht="12.75" customHeight="1" x14ac:dyDescent="0.25">
      <c r="A46" s="711" t="s">
        <v>949</v>
      </c>
      <c r="B46" s="750"/>
      <c r="C46" s="691">
        <f t="shared" ref="C46:N46" si="18">SUM(C42:C44)</f>
        <v>580</v>
      </c>
      <c r="D46" s="691">
        <f t="shared" si="18"/>
        <v>580</v>
      </c>
      <c r="E46" s="691">
        <f t="shared" si="18"/>
        <v>581</v>
      </c>
      <c r="F46" s="691">
        <f t="shared" si="18"/>
        <v>580</v>
      </c>
      <c r="G46" s="691">
        <f t="shared" si="18"/>
        <v>580</v>
      </c>
      <c r="H46" s="691">
        <f t="shared" si="18"/>
        <v>581</v>
      </c>
      <c r="I46" s="691">
        <f t="shared" si="18"/>
        <v>580</v>
      </c>
      <c r="J46" s="691">
        <f t="shared" si="18"/>
        <v>580</v>
      </c>
      <c r="K46" s="691">
        <f t="shared" si="18"/>
        <v>581</v>
      </c>
      <c r="L46" s="691">
        <f t="shared" si="18"/>
        <v>580</v>
      </c>
      <c r="M46" s="691">
        <f t="shared" si="18"/>
        <v>580</v>
      </c>
      <c r="N46" s="691">
        <f t="shared" si="18"/>
        <v>581</v>
      </c>
      <c r="O46" s="691">
        <f>SUM(O41:O44)</f>
        <v>6964</v>
      </c>
      <c r="P46" s="691">
        <f>SUM(P41:P44)</f>
        <v>1160</v>
      </c>
      <c r="Q46" s="691">
        <f>SUM(Q41:Q44)</f>
        <v>5804</v>
      </c>
      <c r="R46" s="17"/>
      <c r="S46" s="691">
        <f>SUM(S42:S44)</f>
        <v>1741</v>
      </c>
      <c r="T46" s="691">
        <f>SUM(T42:T44)</f>
        <v>1741</v>
      </c>
      <c r="U46" s="691">
        <f>SUM(U42:U44)</f>
        <v>1741</v>
      </c>
      <c r="V46" s="691">
        <f>SUM(V42:V44)</f>
        <v>1741</v>
      </c>
      <c r="W46" s="836"/>
      <c r="X46" s="691">
        <f>SUM(X42:X44)</f>
        <v>6964</v>
      </c>
      <c r="Y46" s="20"/>
      <c r="Z46" s="20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</row>
    <row r="47" spans="1:70" ht="6" customHeight="1" x14ac:dyDescent="0.25">
      <c r="A47" s="710"/>
      <c r="B47" s="748"/>
      <c r="C47" s="699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89"/>
      <c r="R47" s="17"/>
      <c r="S47" s="835"/>
      <c r="T47" s="835"/>
      <c r="U47" s="835"/>
      <c r="V47" s="835"/>
      <c r="W47" s="836"/>
      <c r="X47" s="837"/>
      <c r="Y47" s="20"/>
      <c r="Z47" s="20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</row>
    <row r="48" spans="1:70" ht="12.75" customHeight="1" x14ac:dyDescent="0.25">
      <c r="A48" s="711" t="s">
        <v>950</v>
      </c>
      <c r="B48" s="748"/>
      <c r="C48" s="695">
        <f t="shared" ref="C48:N48" si="19">ROUND(C46+C39,0)</f>
        <v>740</v>
      </c>
      <c r="D48" s="695">
        <f t="shared" si="19"/>
        <v>761</v>
      </c>
      <c r="E48" s="695">
        <f t="shared" si="19"/>
        <v>743</v>
      </c>
      <c r="F48" s="695">
        <f t="shared" si="19"/>
        <v>744</v>
      </c>
      <c r="G48" s="695">
        <f t="shared" si="19"/>
        <v>742</v>
      </c>
      <c r="H48" s="695">
        <f t="shared" si="19"/>
        <v>745</v>
      </c>
      <c r="I48" s="695">
        <f t="shared" si="19"/>
        <v>743</v>
      </c>
      <c r="J48" s="695">
        <f t="shared" si="19"/>
        <v>743</v>
      </c>
      <c r="K48" s="695">
        <f t="shared" si="19"/>
        <v>743</v>
      </c>
      <c r="L48" s="695">
        <f t="shared" si="19"/>
        <v>745</v>
      </c>
      <c r="M48" s="695">
        <f t="shared" si="19"/>
        <v>742</v>
      </c>
      <c r="N48" s="695">
        <f t="shared" si="19"/>
        <v>744</v>
      </c>
      <c r="O48" s="695">
        <f>O46+O39</f>
        <v>8935</v>
      </c>
      <c r="P48" s="695">
        <f>P46+P39</f>
        <v>1501</v>
      </c>
      <c r="Q48" s="695">
        <f>Q46+Q39</f>
        <v>7434</v>
      </c>
      <c r="R48" s="17"/>
      <c r="S48" s="839">
        <f>S39+S46</f>
        <v>2244</v>
      </c>
      <c r="T48" s="839">
        <f>T39+T46</f>
        <v>2231</v>
      </c>
      <c r="U48" s="839">
        <f>U39+U46</f>
        <v>2229</v>
      </c>
      <c r="V48" s="839">
        <f>V39+V46</f>
        <v>2231</v>
      </c>
      <c r="W48" s="836"/>
      <c r="X48" s="839">
        <f>X39+X46</f>
        <v>8935</v>
      </c>
      <c r="Y48" s="20"/>
      <c r="Z48" s="20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 spans="1:70" ht="12.75" customHeight="1" x14ac:dyDescent="0.25">
      <c r="A49" s="707"/>
      <c r="B49" s="743"/>
      <c r="C49" s="691"/>
      <c r="D49" s="691"/>
      <c r="E49" s="691"/>
      <c r="F49" s="691"/>
      <c r="G49" s="691"/>
      <c r="H49" s="691"/>
      <c r="I49" s="691"/>
      <c r="J49" s="691"/>
      <c r="K49" s="691"/>
      <c r="L49" s="691"/>
      <c r="M49" s="691"/>
      <c r="N49" s="691"/>
      <c r="O49" s="691"/>
      <c r="P49" s="691"/>
      <c r="Q49" s="691"/>
      <c r="R49" s="17"/>
      <c r="S49" s="835"/>
      <c r="T49" s="835"/>
      <c r="U49" s="835"/>
      <c r="V49" s="835"/>
      <c r="W49" s="836"/>
      <c r="X49" s="836"/>
      <c r="Y49" s="20"/>
      <c r="Z49" s="20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 spans="1:70" ht="12" customHeight="1" x14ac:dyDescent="0.25">
      <c r="A50" s="711" t="s">
        <v>1081</v>
      </c>
      <c r="B50" s="748"/>
      <c r="C50" s="700">
        <f t="shared" ref="C50:N50" si="20">C29+C48</f>
        <v>4078</v>
      </c>
      <c r="D50" s="700">
        <f t="shared" si="20"/>
        <v>4138</v>
      </c>
      <c r="E50" s="700">
        <f t="shared" si="20"/>
        <v>4049</v>
      </c>
      <c r="F50" s="700">
        <f t="shared" si="20"/>
        <v>4041</v>
      </c>
      <c r="G50" s="700">
        <f t="shared" si="20"/>
        <v>4077</v>
      </c>
      <c r="H50" s="700">
        <f t="shared" si="20"/>
        <v>4146</v>
      </c>
      <c r="I50" s="700">
        <f t="shared" si="20"/>
        <v>4729</v>
      </c>
      <c r="J50" s="700">
        <f t="shared" si="20"/>
        <v>4750</v>
      </c>
      <c r="K50" s="700">
        <f t="shared" si="20"/>
        <v>4780</v>
      </c>
      <c r="L50" s="700">
        <f t="shared" si="20"/>
        <v>4732</v>
      </c>
      <c r="M50" s="700">
        <f t="shared" si="20"/>
        <v>4702</v>
      </c>
      <c r="N50" s="700">
        <f t="shared" si="20"/>
        <v>4815</v>
      </c>
      <c r="O50" s="701">
        <f>SUM(C50:N50)</f>
        <v>53037</v>
      </c>
      <c r="P50" s="701">
        <f>P48+P29</f>
        <v>8216</v>
      </c>
      <c r="Q50" s="701">
        <f>Q48+Q29</f>
        <v>44821</v>
      </c>
      <c r="R50" s="17"/>
      <c r="S50" s="840">
        <f>S29+S48</f>
        <v>12265</v>
      </c>
      <c r="T50" s="840">
        <f>T29+T48</f>
        <v>12264</v>
      </c>
      <c r="U50" s="840">
        <f>U29+U48</f>
        <v>14259</v>
      </c>
      <c r="V50" s="840">
        <f>V29+V48</f>
        <v>14249</v>
      </c>
      <c r="W50" s="836"/>
      <c r="X50" s="840">
        <f>X29+X48</f>
        <v>53037</v>
      </c>
      <c r="Y50" s="689">
        <f>X50-O50</f>
        <v>0</v>
      </c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 spans="1:70" ht="12.75" customHeight="1" x14ac:dyDescent="0.25">
      <c r="A51" s="702"/>
      <c r="B51" s="751"/>
      <c r="C51" s="702"/>
      <c r="D51" s="702"/>
      <c r="E51" s="702"/>
      <c r="F51" s="702"/>
      <c r="G51" s="702"/>
      <c r="H51" s="702"/>
      <c r="I51" s="702"/>
      <c r="J51" s="702"/>
      <c r="K51" s="702"/>
      <c r="L51" s="702"/>
      <c r="M51" s="702"/>
      <c r="N51" s="702"/>
      <c r="O51" s="702"/>
      <c r="P51" s="702"/>
      <c r="Q51" s="694"/>
      <c r="R51" s="17"/>
      <c r="S51" s="17"/>
      <c r="T51" s="17"/>
      <c r="U51" s="17"/>
      <c r="V51" s="17"/>
      <c r="W51" s="17"/>
      <c r="X51" s="17"/>
      <c r="Y51" s="20"/>
      <c r="Z51" s="20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 spans="1:70" ht="12.75" customHeight="1" x14ac:dyDescent="0.25">
      <c r="A52" s="711" t="s">
        <v>1082</v>
      </c>
      <c r="B52" s="752"/>
      <c r="C52" s="853">
        <v>0</v>
      </c>
      <c r="D52" s="853">
        <v>0</v>
      </c>
      <c r="E52" s="853">
        <v>0</v>
      </c>
      <c r="F52" s="853">
        <v>0</v>
      </c>
      <c r="G52" s="853">
        <v>0</v>
      </c>
      <c r="H52" s="853">
        <v>0</v>
      </c>
      <c r="I52" s="853">
        <v>0</v>
      </c>
      <c r="J52" s="853">
        <v>0</v>
      </c>
      <c r="K52" s="853">
        <v>0</v>
      </c>
      <c r="L52" s="853">
        <v>0</v>
      </c>
      <c r="M52" s="853">
        <v>0</v>
      </c>
      <c r="N52" s="853">
        <v>0</v>
      </c>
      <c r="O52" s="691">
        <f>SUM(C52:N52)</f>
        <v>0</v>
      </c>
      <c r="P52" s="692">
        <f>SUM(C52:D52)</f>
        <v>0</v>
      </c>
      <c r="Q52" s="691">
        <f>O52-P52</f>
        <v>0</v>
      </c>
      <c r="R52" s="17"/>
      <c r="S52" s="838">
        <f>SUM(C52:E52)</f>
        <v>0</v>
      </c>
      <c r="T52" s="838">
        <f>SUM(F52:H52)</f>
        <v>0</v>
      </c>
      <c r="U52" s="838">
        <f>SUM(I52:K52)</f>
        <v>0</v>
      </c>
      <c r="V52" s="838">
        <f>SUM(L52:N52)</f>
        <v>0</v>
      </c>
      <c r="W52" s="836"/>
      <c r="X52" s="693">
        <f>SUM(S52:V52)</f>
        <v>0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 spans="1:70" ht="12.75" customHeight="1" x14ac:dyDescent="0.25">
      <c r="A53" s="17"/>
      <c r="B53" s="752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 spans="1:70" ht="12.75" customHeight="1" x14ac:dyDescent="0.25">
      <c r="A54" s="852" t="s">
        <v>0</v>
      </c>
      <c r="B54" s="752"/>
      <c r="C54" s="693">
        <f>C50-C52</f>
        <v>4078</v>
      </c>
      <c r="D54" s="693">
        <f t="shared" ref="D54:X54" si="21">D50-D52</f>
        <v>4138</v>
      </c>
      <c r="E54" s="693">
        <f t="shared" si="21"/>
        <v>4049</v>
      </c>
      <c r="F54" s="693">
        <f t="shared" si="21"/>
        <v>4041</v>
      </c>
      <c r="G54" s="693">
        <f t="shared" si="21"/>
        <v>4077</v>
      </c>
      <c r="H54" s="693">
        <f t="shared" si="21"/>
        <v>4146</v>
      </c>
      <c r="I54" s="693">
        <f t="shared" si="21"/>
        <v>4729</v>
      </c>
      <c r="J54" s="693">
        <f t="shared" si="21"/>
        <v>4750</v>
      </c>
      <c r="K54" s="693">
        <f t="shared" si="21"/>
        <v>4780</v>
      </c>
      <c r="L54" s="693">
        <f t="shared" si="21"/>
        <v>4732</v>
      </c>
      <c r="M54" s="693">
        <f t="shared" si="21"/>
        <v>4702</v>
      </c>
      <c r="N54" s="693">
        <f t="shared" si="21"/>
        <v>4815</v>
      </c>
      <c r="O54" s="693">
        <f t="shared" si="21"/>
        <v>53037</v>
      </c>
      <c r="P54" s="693">
        <f t="shared" si="21"/>
        <v>8216</v>
      </c>
      <c r="Q54" s="693">
        <f t="shared" si="21"/>
        <v>44821</v>
      </c>
      <c r="R54" s="17"/>
      <c r="S54" s="693">
        <f t="shared" si="21"/>
        <v>12265</v>
      </c>
      <c r="T54" s="693">
        <f t="shared" si="21"/>
        <v>12264</v>
      </c>
      <c r="U54" s="693">
        <f t="shared" si="21"/>
        <v>14259</v>
      </c>
      <c r="V54" s="693">
        <f t="shared" si="21"/>
        <v>14249</v>
      </c>
      <c r="W54" s="17"/>
      <c r="X54" s="693">
        <f t="shared" si="21"/>
        <v>53037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 spans="1:70" ht="15.75" x14ac:dyDescent="0.25">
      <c r="A55" s="17"/>
      <c r="B55" s="752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 spans="1:70" ht="3.95" customHeight="1" x14ac:dyDescent="0.25">
      <c r="A56" s="17"/>
      <c r="B56" s="752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2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 spans="1:70" ht="15.75" x14ac:dyDescent="0.25">
      <c r="A57" s="17"/>
      <c r="B57" s="752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 spans="1:70" ht="15.75" x14ac:dyDescent="0.25">
      <c r="A58" s="17"/>
      <c r="B58" s="752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 spans="1:70" ht="15.75" x14ac:dyDescent="0.25">
      <c r="A59" s="17"/>
      <c r="B59" s="752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 spans="1:70" ht="15.75" x14ac:dyDescent="0.25">
      <c r="A60" s="17"/>
      <c r="B60" s="752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 spans="1:70" ht="15.75" x14ac:dyDescent="0.25">
      <c r="A61" s="17"/>
      <c r="B61" s="752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 spans="1:70" ht="15.75" x14ac:dyDescent="0.25">
      <c r="A62" s="17"/>
      <c r="B62" s="75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 spans="1:70" ht="15.75" x14ac:dyDescent="0.25">
      <c r="A63" s="17"/>
      <c r="B63" s="75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 spans="1:70" ht="15.75" x14ac:dyDescent="0.25">
      <c r="A64" s="17"/>
      <c r="B64" s="75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 spans="1:70" ht="15.75" x14ac:dyDescent="0.25">
      <c r="A65" s="17"/>
      <c r="B65" s="752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 spans="1:70" ht="15.75" x14ac:dyDescent="0.25">
      <c r="A66" s="17"/>
      <c r="B66" s="752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 spans="1:70" ht="15.75" x14ac:dyDescent="0.25">
      <c r="A67" s="17"/>
      <c r="B67" s="752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 spans="1:70" ht="15.75" x14ac:dyDescent="0.25">
      <c r="A68" s="17"/>
      <c r="B68" s="752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 spans="1:70" ht="15.75" x14ac:dyDescent="0.25">
      <c r="A69" s="17"/>
      <c r="B69" s="752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 spans="1:70" ht="15.75" x14ac:dyDescent="0.25">
      <c r="A70" s="17"/>
      <c r="B70" s="752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 spans="1:70" ht="15.75" x14ac:dyDescent="0.25">
      <c r="A71" s="17"/>
      <c r="B71" s="752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 spans="1:70" ht="15.75" x14ac:dyDescent="0.25">
      <c r="A72" s="17"/>
      <c r="B72" s="752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 spans="1:70" ht="15.75" x14ac:dyDescent="0.25">
      <c r="A73" s="17"/>
      <c r="B73" s="752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 spans="1:70" ht="15.75" x14ac:dyDescent="0.25">
      <c r="A74" s="17"/>
      <c r="B74" s="752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1:70" ht="15.75" x14ac:dyDescent="0.25">
      <c r="A75" s="17"/>
      <c r="B75" s="752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 spans="1:70" ht="15.75" x14ac:dyDescent="0.25">
      <c r="A76" s="17"/>
      <c r="B76" s="752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 spans="1:70" ht="15.75" x14ac:dyDescent="0.25">
      <c r="A77" s="17"/>
      <c r="B77" s="752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 spans="1:70" ht="15.75" x14ac:dyDescent="0.25">
      <c r="A78" s="17"/>
      <c r="B78" s="752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 spans="1:70" ht="15.75" x14ac:dyDescent="0.25">
      <c r="A79" s="17"/>
      <c r="B79" s="752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 spans="1:70" ht="15.75" x14ac:dyDescent="0.25">
      <c r="A80" s="17"/>
      <c r="B80" s="752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 spans="1:70" ht="15.75" x14ac:dyDescent="0.25">
      <c r="A81" s="17"/>
      <c r="B81" s="752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 spans="1:70" ht="15.75" x14ac:dyDescent="0.25">
      <c r="A82" s="17"/>
      <c r="B82" s="752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 spans="1:70" ht="15.75" x14ac:dyDescent="0.25">
      <c r="A83" s="17"/>
      <c r="B83" s="752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 spans="1:70" ht="15.75" x14ac:dyDescent="0.25">
      <c r="A84" s="17"/>
      <c r="B84" s="752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 spans="1:70" ht="15.75" x14ac:dyDescent="0.25">
      <c r="A85" s="17"/>
      <c r="B85" s="752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 spans="1:70" ht="15.75" x14ac:dyDescent="0.25">
      <c r="A86" s="17"/>
      <c r="B86" s="752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 spans="1:70" ht="15.75" x14ac:dyDescent="0.25">
      <c r="A87" s="17"/>
      <c r="B87" s="752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 spans="1:70" ht="15.75" x14ac:dyDescent="0.25">
      <c r="A88" s="17"/>
      <c r="B88" s="752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 spans="1:70" ht="15.75" x14ac:dyDescent="0.25">
      <c r="A89" s="17"/>
      <c r="B89" s="752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 spans="1:70" ht="15.75" x14ac:dyDescent="0.25">
      <c r="A90" s="17"/>
      <c r="B90" s="752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 spans="1:70" ht="15.75" x14ac:dyDescent="0.25">
      <c r="A91" s="17"/>
      <c r="B91" s="752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 spans="1:70" ht="15.75" x14ac:dyDescent="0.25">
      <c r="A92" s="17"/>
      <c r="B92" s="752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 spans="1:70" ht="15.75" x14ac:dyDescent="0.25">
      <c r="A93" s="17"/>
      <c r="B93" s="752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 spans="1:70" ht="15.75" x14ac:dyDescent="0.25">
      <c r="A94" s="17"/>
      <c r="B94" s="752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 spans="1:70" ht="15.75" x14ac:dyDescent="0.25">
      <c r="A95" s="17"/>
      <c r="B95" s="752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 spans="1:70" ht="15.75" x14ac:dyDescent="0.25">
      <c r="A96" s="17"/>
      <c r="B96" s="752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 spans="1:70" ht="15.75" x14ac:dyDescent="0.25">
      <c r="A97" s="17"/>
      <c r="B97" s="752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 spans="1:70" ht="15.75" x14ac:dyDescent="0.25">
      <c r="A98" s="17"/>
      <c r="B98" s="752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 spans="1:70" ht="15.75" x14ac:dyDescent="0.25">
      <c r="A99" s="17"/>
      <c r="B99" s="752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 spans="1:70" ht="15.75" x14ac:dyDescent="0.25">
      <c r="A100" s="17"/>
      <c r="B100" s="752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 spans="1:70" ht="15.75" x14ac:dyDescent="0.25">
      <c r="A101" s="17"/>
      <c r="B101" s="752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 spans="1:70" ht="15.75" x14ac:dyDescent="0.25">
      <c r="A102" s="17"/>
      <c r="B102" s="752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 spans="1:70" ht="15.75" x14ac:dyDescent="0.25">
      <c r="A103" s="17"/>
      <c r="B103" s="7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 spans="1:70" ht="15.75" x14ac:dyDescent="0.25">
      <c r="A104" s="17"/>
      <c r="B104" s="752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 spans="1:70" ht="15.75" x14ac:dyDescent="0.25">
      <c r="A105" s="17"/>
      <c r="B105" s="752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 spans="1:70" ht="15.75" x14ac:dyDescent="0.25">
      <c r="A106" s="17"/>
      <c r="B106" s="752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 spans="1:70" ht="15.75" x14ac:dyDescent="0.25">
      <c r="A107" s="17"/>
      <c r="B107" s="752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 spans="1:70" ht="15.75" x14ac:dyDescent="0.25">
      <c r="A108" s="17"/>
      <c r="B108" s="752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 spans="1:70" ht="15.75" x14ac:dyDescent="0.25">
      <c r="A109" s="17"/>
      <c r="B109" s="752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 spans="1:70" ht="15.75" x14ac:dyDescent="0.25">
      <c r="A110" s="17"/>
      <c r="B110" s="752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 spans="1:70" ht="15.75" x14ac:dyDescent="0.25">
      <c r="A111" s="17"/>
      <c r="B111" s="752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 spans="1:70" ht="15.75" x14ac:dyDescent="0.25">
      <c r="A112" s="17"/>
      <c r="B112" s="752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 spans="1:70" ht="15.75" x14ac:dyDescent="0.25">
      <c r="A113" s="17"/>
      <c r="B113" s="752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 spans="1:70" ht="15.75" x14ac:dyDescent="0.25">
      <c r="A114" s="17"/>
      <c r="B114" s="752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 spans="1:70" ht="15.75" x14ac:dyDescent="0.25">
      <c r="A115" s="17"/>
      <c r="B115" s="752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 spans="1:70" ht="15.75" x14ac:dyDescent="0.25">
      <c r="A116" s="17"/>
      <c r="B116" s="752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 spans="1:70" ht="15.75" x14ac:dyDescent="0.25">
      <c r="A117" s="17"/>
      <c r="B117" s="752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 spans="1:70" ht="15.75" x14ac:dyDescent="0.25">
      <c r="A118" s="17"/>
      <c r="B118" s="752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 spans="1:70" ht="15.75" x14ac:dyDescent="0.25">
      <c r="A119" s="17"/>
      <c r="B119" s="752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 spans="1:70" ht="15.75" x14ac:dyDescent="0.25">
      <c r="A120" s="17"/>
      <c r="B120" s="752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/>
  </sheetPr>
  <dimension ref="A1:BG66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0.7109375" defaultRowHeight="12.75" x14ac:dyDescent="0.2"/>
  <cols>
    <col min="1" max="1" width="45.7109375" style="58" customWidth="1"/>
    <col min="2" max="2" width="8.7109375" style="95" customWidth="1"/>
    <col min="3" max="15" width="8.7109375" style="58" customWidth="1"/>
    <col min="16" max="16" width="9.7109375" style="58" customWidth="1"/>
    <col min="17" max="18" width="8.7109375" style="58" customWidth="1"/>
    <col min="19" max="21" width="9.7109375" style="58" customWidth="1"/>
    <col min="22" max="22" width="35.7109375" style="58" customWidth="1"/>
    <col min="23" max="36" width="10.7109375" style="58"/>
    <col min="37" max="38" width="8.7109375" style="58" customWidth="1"/>
    <col min="39" max="42" width="9.7109375" style="58" customWidth="1"/>
    <col min="43" max="43" width="35.7109375" style="58" customWidth="1"/>
    <col min="44" max="57" width="10.7109375" style="58"/>
    <col min="58" max="59" width="8.7109375" style="58" customWidth="1"/>
    <col min="60" max="67" width="9.7109375" style="58" customWidth="1"/>
    <col min="68" max="16384" width="10.7109375" style="58"/>
  </cols>
  <sheetData>
    <row r="1" spans="1:17" x14ac:dyDescent="0.2">
      <c r="A1" s="548" t="str">
        <f ca="1">CELL("FILENAME")</f>
        <v>P:\Finance\2002 Plan\[EMTW02PL.XLS]IncomeState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7" x14ac:dyDescent="0.2">
      <c r="A2" s="326" t="s">
        <v>607</v>
      </c>
    </row>
    <row r="3" spans="1:17" x14ac:dyDescent="0.2">
      <c r="A3" s="551" t="str">
        <f>IncomeState!A3</f>
        <v>2002 OPERATING PLAN</v>
      </c>
      <c r="B3" s="754">
        <f ca="1">NOW()</f>
        <v>37189.6149224537</v>
      </c>
      <c r="C3" s="322" t="s">
        <v>675</v>
      </c>
      <c r="D3" s="323"/>
      <c r="E3" s="60"/>
      <c r="F3" s="60"/>
      <c r="G3" s="60"/>
      <c r="H3" s="61"/>
      <c r="I3" s="61"/>
      <c r="J3" s="61"/>
      <c r="K3" s="60"/>
      <c r="L3" s="60"/>
      <c r="M3" s="60"/>
      <c r="N3" s="60"/>
      <c r="O3" s="60"/>
      <c r="P3" s="60"/>
    </row>
    <row r="4" spans="1:17" ht="12.95" customHeight="1" x14ac:dyDescent="0.2">
      <c r="A4" s="62"/>
      <c r="B4" s="755">
        <f ca="1">NOW()</f>
        <v>37189.6149224537</v>
      </c>
      <c r="C4" s="327" t="s">
        <v>676</v>
      </c>
      <c r="D4" s="328" t="s">
        <v>609</v>
      </c>
      <c r="E4" s="328" t="s">
        <v>610</v>
      </c>
      <c r="F4" s="328" t="s">
        <v>611</v>
      </c>
      <c r="G4" s="328" t="s">
        <v>612</v>
      </c>
      <c r="H4" s="328" t="s">
        <v>613</v>
      </c>
      <c r="I4" s="328" t="s">
        <v>614</v>
      </c>
      <c r="J4" s="328" t="s">
        <v>615</v>
      </c>
      <c r="K4" s="328" t="s">
        <v>616</v>
      </c>
      <c r="L4" s="328" t="s">
        <v>617</v>
      </c>
      <c r="M4" s="328" t="s">
        <v>618</v>
      </c>
      <c r="N4" s="328" t="s">
        <v>619</v>
      </c>
      <c r="O4" s="328" t="s">
        <v>620</v>
      </c>
      <c r="P4" s="679">
        <f>DataBase!O3</f>
        <v>2002</v>
      </c>
    </row>
    <row r="5" spans="1:17" ht="3.95" customHeight="1" x14ac:dyDescent="0.2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5"/>
    </row>
    <row r="6" spans="1:17" x14ac:dyDescent="0.2">
      <c r="A6" s="335" t="s">
        <v>677</v>
      </c>
      <c r="B6" s="756"/>
    </row>
    <row r="7" spans="1:17" x14ac:dyDescent="0.2">
      <c r="A7" s="68" t="s">
        <v>678</v>
      </c>
      <c r="B7" s="756"/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70">
        <f>SUM(D7:O7)</f>
        <v>0</v>
      </c>
    </row>
    <row r="8" spans="1:17" x14ac:dyDescent="0.2">
      <c r="A8" s="336" t="s">
        <v>679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70">
        <f>SUM(D8:O8)</f>
        <v>0</v>
      </c>
    </row>
    <row r="9" spans="1:17" x14ac:dyDescent="0.2">
      <c r="A9" s="336" t="s">
        <v>680</v>
      </c>
      <c r="D9" s="257">
        <v>0</v>
      </c>
      <c r="E9" s="257">
        <v>0</v>
      </c>
      <c r="F9" s="257">
        <v>0</v>
      </c>
      <c r="G9" s="257">
        <v>0</v>
      </c>
      <c r="H9" s="257">
        <v>0</v>
      </c>
      <c r="I9" s="257">
        <v>0</v>
      </c>
      <c r="J9" s="257">
        <v>0</v>
      </c>
      <c r="K9" s="257">
        <v>0</v>
      </c>
      <c r="L9" s="257">
        <v>0</v>
      </c>
      <c r="M9" s="257">
        <v>0</v>
      </c>
      <c r="N9" s="257">
        <v>0</v>
      </c>
      <c r="O9" s="257">
        <v>0</v>
      </c>
      <c r="P9" s="72">
        <f>SUM(D9:O9)</f>
        <v>0</v>
      </c>
    </row>
    <row r="10" spans="1:17" ht="3.95" customHeight="1" x14ac:dyDescent="0.2">
      <c r="A10" s="330"/>
    </row>
    <row r="11" spans="1:17" x14ac:dyDescent="0.2">
      <c r="A11" s="68" t="s">
        <v>645</v>
      </c>
      <c r="B11" s="756"/>
      <c r="D11" s="70">
        <f t="shared" ref="D11:O11" si="0">D7+D8+D9</f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  <c r="H11" s="70">
        <f t="shared" si="0"/>
        <v>0</v>
      </c>
      <c r="I11" s="70">
        <f t="shared" si="0"/>
        <v>0</v>
      </c>
      <c r="J11" s="70">
        <f t="shared" si="0"/>
        <v>0</v>
      </c>
      <c r="K11" s="70">
        <f t="shared" si="0"/>
        <v>0</v>
      </c>
      <c r="L11" s="70">
        <f t="shared" si="0"/>
        <v>0</v>
      </c>
      <c r="M11" s="70">
        <f t="shared" si="0"/>
        <v>0</v>
      </c>
      <c r="N11" s="70">
        <f t="shared" si="0"/>
        <v>0</v>
      </c>
      <c r="O11" s="70">
        <f t="shared" si="0"/>
        <v>0</v>
      </c>
      <c r="P11" s="70">
        <f>SUM(D11:O11)</f>
        <v>0</v>
      </c>
    </row>
    <row r="12" spans="1:17" ht="3.95" customHeight="1" x14ac:dyDescent="0.2">
      <c r="A12" s="330"/>
    </row>
    <row r="13" spans="1:17" x14ac:dyDescent="0.2">
      <c r="A13" s="336" t="s">
        <v>681</v>
      </c>
      <c r="B13" s="756"/>
      <c r="D13" s="73">
        <f t="shared" ref="D13:P13" si="1">IF(D11=0,0,ROUND(D15/D11,4))</f>
        <v>0</v>
      </c>
      <c r="E13" s="73">
        <f t="shared" si="1"/>
        <v>0</v>
      </c>
      <c r="F13" s="73">
        <f t="shared" si="1"/>
        <v>0</v>
      </c>
      <c r="G13" s="73">
        <f t="shared" si="1"/>
        <v>0</v>
      </c>
      <c r="H13" s="73">
        <f t="shared" si="1"/>
        <v>0</v>
      </c>
      <c r="I13" s="73">
        <f t="shared" si="1"/>
        <v>0</v>
      </c>
      <c r="J13" s="73">
        <f t="shared" si="1"/>
        <v>0</v>
      </c>
      <c r="K13" s="73">
        <f t="shared" si="1"/>
        <v>0</v>
      </c>
      <c r="L13" s="73">
        <f t="shared" si="1"/>
        <v>0</v>
      </c>
      <c r="M13" s="73">
        <f t="shared" si="1"/>
        <v>0</v>
      </c>
      <c r="N13" s="73">
        <f t="shared" si="1"/>
        <v>0</v>
      </c>
      <c r="O13" s="73">
        <f t="shared" si="1"/>
        <v>0</v>
      </c>
      <c r="P13" s="73">
        <f t="shared" si="1"/>
        <v>0</v>
      </c>
    </row>
    <row r="14" spans="1:17" ht="3.95" customHeight="1" x14ac:dyDescent="0.2">
      <c r="A14" s="330"/>
    </row>
    <row r="15" spans="1:17" x14ac:dyDescent="0.2">
      <c r="A15" s="335" t="s">
        <v>682</v>
      </c>
      <c r="B15" s="757"/>
      <c r="C15" s="59"/>
      <c r="D15" s="348">
        <v>0</v>
      </c>
      <c r="E15" s="348">
        <v>0</v>
      </c>
      <c r="F15" s="348">
        <v>0</v>
      </c>
      <c r="G15" s="348">
        <v>0</v>
      </c>
      <c r="H15" s="348">
        <v>0</v>
      </c>
      <c r="I15" s="348">
        <v>0</v>
      </c>
      <c r="J15" s="348">
        <v>0</v>
      </c>
      <c r="K15" s="348">
        <v>0</v>
      </c>
      <c r="L15" s="348">
        <v>0</v>
      </c>
      <c r="M15" s="348">
        <v>0</v>
      </c>
      <c r="N15" s="348">
        <v>0</v>
      </c>
      <c r="O15" s="348">
        <v>0</v>
      </c>
      <c r="P15" s="75">
        <f>SUM(D15:O15)</f>
        <v>0</v>
      </c>
      <c r="Q15" s="76"/>
    </row>
    <row r="16" spans="1:17" ht="8.1" customHeight="1" x14ac:dyDescent="0.2">
      <c r="A16" s="330"/>
    </row>
    <row r="17" spans="1:17" x14ac:dyDescent="0.2">
      <c r="A17" s="335" t="s">
        <v>686</v>
      </c>
      <c r="D17" s="257">
        <v>0</v>
      </c>
      <c r="E17" s="257">
        <v>0</v>
      </c>
      <c r="F17" s="257">
        <v>0</v>
      </c>
      <c r="G17" s="257">
        <v>0</v>
      </c>
      <c r="H17" s="257">
        <v>0</v>
      </c>
      <c r="I17" s="257">
        <v>0</v>
      </c>
      <c r="J17" s="257">
        <v>0</v>
      </c>
      <c r="K17" s="257">
        <v>0</v>
      </c>
      <c r="L17" s="257">
        <v>0</v>
      </c>
      <c r="M17" s="257">
        <v>0</v>
      </c>
      <c r="N17" s="257">
        <v>0</v>
      </c>
      <c r="O17" s="257">
        <v>0</v>
      </c>
      <c r="P17" s="72">
        <f>SUM(D17:O17)</f>
        <v>0</v>
      </c>
    </row>
    <row r="18" spans="1:17" ht="6" customHeight="1" x14ac:dyDescent="0.2">
      <c r="A18" s="67"/>
      <c r="B18" s="756"/>
    </row>
    <row r="19" spans="1:17" x14ac:dyDescent="0.2">
      <c r="A19" s="68" t="s">
        <v>687</v>
      </c>
      <c r="B19" s="756"/>
      <c r="D19" s="70">
        <f t="shared" ref="D19:O19" si="2">D15-D17</f>
        <v>0</v>
      </c>
      <c r="E19" s="70">
        <f t="shared" si="2"/>
        <v>0</v>
      </c>
      <c r="F19" s="70">
        <f t="shared" si="2"/>
        <v>0</v>
      </c>
      <c r="G19" s="70">
        <f t="shared" si="2"/>
        <v>0</v>
      </c>
      <c r="H19" s="70">
        <f t="shared" si="2"/>
        <v>0</v>
      </c>
      <c r="I19" s="70">
        <f t="shared" si="2"/>
        <v>0</v>
      </c>
      <c r="J19" s="70">
        <f t="shared" si="2"/>
        <v>0</v>
      </c>
      <c r="K19" s="70">
        <f t="shared" si="2"/>
        <v>0</v>
      </c>
      <c r="L19" s="70">
        <f t="shared" si="2"/>
        <v>0</v>
      </c>
      <c r="M19" s="70">
        <f t="shared" si="2"/>
        <v>0</v>
      </c>
      <c r="N19" s="70">
        <f t="shared" si="2"/>
        <v>0</v>
      </c>
      <c r="O19" s="70">
        <f t="shared" si="2"/>
        <v>0</v>
      </c>
      <c r="P19" s="70">
        <f>SUM(D19:O19)</f>
        <v>0</v>
      </c>
      <c r="Q19" s="77"/>
    </row>
    <row r="20" spans="1:17" x14ac:dyDescent="0.2">
      <c r="A20" s="78" t="s">
        <v>623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70">
        <f>SUM(D20:O20)</f>
        <v>0</v>
      </c>
    </row>
    <row r="21" spans="1:17" x14ac:dyDescent="0.2">
      <c r="A21" s="78" t="s">
        <v>623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70">
        <f>SUM(D21:O21)</f>
        <v>0</v>
      </c>
    </row>
    <row r="22" spans="1:17" x14ac:dyDescent="0.2">
      <c r="A22" s="68" t="s">
        <v>653</v>
      </c>
      <c r="B22" s="756"/>
      <c r="D22" s="257">
        <v>0</v>
      </c>
      <c r="E22" s="257">
        <v>0</v>
      </c>
      <c r="F22" s="257">
        <v>0</v>
      </c>
      <c r="G22" s="257">
        <v>0</v>
      </c>
      <c r="H22" s="257">
        <v>0</v>
      </c>
      <c r="I22" s="257">
        <v>0</v>
      </c>
      <c r="J22" s="257">
        <v>0</v>
      </c>
      <c r="K22" s="257">
        <v>0</v>
      </c>
      <c r="L22" s="257">
        <v>0</v>
      </c>
      <c r="M22" s="257">
        <v>0</v>
      </c>
      <c r="N22" s="257">
        <v>0</v>
      </c>
      <c r="O22" s="257">
        <v>0</v>
      </c>
      <c r="P22" s="72">
        <f>SUM(D22:O22)</f>
        <v>0</v>
      </c>
      <c r="Q22" s="79"/>
    </row>
    <row r="23" spans="1:17" ht="3.95" customHeight="1" x14ac:dyDescent="0.2">
      <c r="A23" s="67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Q23" s="69"/>
    </row>
    <row r="24" spans="1:17" x14ac:dyDescent="0.2">
      <c r="A24" s="331" t="s">
        <v>654</v>
      </c>
      <c r="B24" s="757"/>
      <c r="C24" s="59"/>
      <c r="D24" s="75">
        <f t="shared" ref="D24:P24" si="3">SUM(D19:D22)</f>
        <v>0</v>
      </c>
      <c r="E24" s="75">
        <f t="shared" si="3"/>
        <v>0</v>
      </c>
      <c r="F24" s="75">
        <f t="shared" si="3"/>
        <v>0</v>
      </c>
      <c r="G24" s="75">
        <f t="shared" si="3"/>
        <v>0</v>
      </c>
      <c r="H24" s="75">
        <f t="shared" si="3"/>
        <v>0</v>
      </c>
      <c r="I24" s="75">
        <f t="shared" si="3"/>
        <v>0</v>
      </c>
      <c r="J24" s="75">
        <f t="shared" si="3"/>
        <v>0</v>
      </c>
      <c r="K24" s="75">
        <f t="shared" si="3"/>
        <v>0</v>
      </c>
      <c r="L24" s="75">
        <f t="shared" si="3"/>
        <v>0</v>
      </c>
      <c r="M24" s="75">
        <f t="shared" si="3"/>
        <v>0</v>
      </c>
      <c r="N24" s="75">
        <f t="shared" si="3"/>
        <v>0</v>
      </c>
      <c r="O24" s="75">
        <f t="shared" si="3"/>
        <v>0</v>
      </c>
      <c r="P24" s="75">
        <f t="shared" si="3"/>
        <v>0</v>
      </c>
      <c r="Q24" s="76"/>
    </row>
    <row r="25" spans="1:17" ht="8.1" customHeight="1" x14ac:dyDescent="0.2">
      <c r="A25" s="332"/>
      <c r="B25" s="757"/>
      <c r="C25" s="59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76"/>
    </row>
    <row r="26" spans="1:17" x14ac:dyDescent="0.2">
      <c r="A26" s="337" t="s">
        <v>688</v>
      </c>
      <c r="B26" s="757"/>
      <c r="C26" s="59"/>
      <c r="D26" s="75">
        <f t="shared" ref="D26:O26" si="4">-1*D24</f>
        <v>0</v>
      </c>
      <c r="E26" s="75">
        <f t="shared" si="4"/>
        <v>0</v>
      </c>
      <c r="F26" s="75">
        <f t="shared" si="4"/>
        <v>0</v>
      </c>
      <c r="G26" s="75">
        <f t="shared" si="4"/>
        <v>0</v>
      </c>
      <c r="H26" s="75">
        <f t="shared" si="4"/>
        <v>0</v>
      </c>
      <c r="I26" s="75">
        <f t="shared" si="4"/>
        <v>0</v>
      </c>
      <c r="J26" s="75">
        <f t="shared" si="4"/>
        <v>0</v>
      </c>
      <c r="K26" s="75">
        <f t="shared" si="4"/>
        <v>0</v>
      </c>
      <c r="L26" s="75">
        <f t="shared" si="4"/>
        <v>0</v>
      </c>
      <c r="M26" s="75">
        <f t="shared" si="4"/>
        <v>0</v>
      </c>
      <c r="N26" s="75">
        <f t="shared" si="4"/>
        <v>0</v>
      </c>
      <c r="O26" s="75">
        <f t="shared" si="4"/>
        <v>0</v>
      </c>
      <c r="P26" s="75">
        <f>SUM(D26:O26)</f>
        <v>0</v>
      </c>
      <c r="Q26" s="76"/>
    </row>
    <row r="27" spans="1:17" x14ac:dyDescent="0.2">
      <c r="A27" s="330"/>
    </row>
    <row r="28" spans="1:17" x14ac:dyDescent="0.2">
      <c r="A28" s="333"/>
      <c r="B28" s="758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5"/>
    </row>
    <row r="29" spans="1:17" x14ac:dyDescent="0.2">
      <c r="A29" s="334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7" x14ac:dyDescent="0.2">
      <c r="A30" s="338" t="s">
        <v>689</v>
      </c>
      <c r="B30" s="756"/>
      <c r="C30" s="679" t="s">
        <v>541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59"/>
    </row>
    <row r="31" spans="1:17" ht="3.95" customHeight="1" x14ac:dyDescent="0.2">
      <c r="A31" s="67"/>
      <c r="B31" s="756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7" x14ac:dyDescent="0.2">
      <c r="A32" s="329" t="s">
        <v>657</v>
      </c>
      <c r="B32" s="756"/>
      <c r="D32" s="70">
        <f t="shared" ref="D32:O32" si="5">C42</f>
        <v>0</v>
      </c>
      <c r="E32" s="70">
        <f t="shared" si="5"/>
        <v>0</v>
      </c>
      <c r="F32" s="70">
        <f t="shared" si="5"/>
        <v>0</v>
      </c>
      <c r="G32" s="70">
        <f t="shared" si="5"/>
        <v>0</v>
      </c>
      <c r="H32" s="70">
        <f t="shared" si="5"/>
        <v>0</v>
      </c>
      <c r="I32" s="70">
        <f t="shared" si="5"/>
        <v>0</v>
      </c>
      <c r="J32" s="70">
        <f t="shared" si="5"/>
        <v>0</v>
      </c>
      <c r="K32" s="70">
        <f t="shared" si="5"/>
        <v>0</v>
      </c>
      <c r="L32" s="70">
        <f t="shared" si="5"/>
        <v>0</v>
      </c>
      <c r="M32" s="70">
        <f t="shared" si="5"/>
        <v>0</v>
      </c>
      <c r="N32" s="70">
        <f t="shared" si="5"/>
        <v>0</v>
      </c>
      <c r="O32" s="70">
        <f t="shared" si="5"/>
        <v>0</v>
      </c>
      <c r="P32" s="70"/>
    </row>
    <row r="33" spans="1:16" ht="6" customHeight="1" x14ac:dyDescent="0.2">
      <c r="A33" s="330"/>
    </row>
    <row r="34" spans="1:16" x14ac:dyDescent="0.2">
      <c r="A34" s="98" t="s">
        <v>690</v>
      </c>
      <c r="B34" s="94"/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70">
        <f>SUM(D34:O34)</f>
        <v>0</v>
      </c>
    </row>
    <row r="35" spans="1:16" ht="6" customHeight="1" x14ac:dyDescent="0.2">
      <c r="A35" s="80"/>
      <c r="B35" s="756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</row>
    <row r="36" spans="1:16" x14ac:dyDescent="0.2">
      <c r="A36" s="98" t="s">
        <v>691</v>
      </c>
      <c r="B36" s="756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>SUM(D36:O36)</f>
        <v>0</v>
      </c>
    </row>
    <row r="37" spans="1:16" ht="6" customHeight="1" x14ac:dyDescent="0.2">
      <c r="A37" s="67"/>
      <c r="B37" s="756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6" x14ac:dyDescent="0.2">
      <c r="A38" s="68" t="s">
        <v>692</v>
      </c>
      <c r="B38" s="756"/>
      <c r="D38" s="70">
        <f t="shared" ref="D38:O38" si="6">D26</f>
        <v>0</v>
      </c>
      <c r="E38" s="70">
        <f t="shared" si="6"/>
        <v>0</v>
      </c>
      <c r="F38" s="70">
        <f t="shared" si="6"/>
        <v>0</v>
      </c>
      <c r="G38" s="70">
        <f t="shared" si="6"/>
        <v>0</v>
      </c>
      <c r="H38" s="70">
        <f t="shared" si="6"/>
        <v>0</v>
      </c>
      <c r="I38" s="70">
        <f t="shared" si="6"/>
        <v>0</v>
      </c>
      <c r="J38" s="70">
        <f t="shared" si="6"/>
        <v>0</v>
      </c>
      <c r="K38" s="70">
        <f t="shared" si="6"/>
        <v>0</v>
      </c>
      <c r="L38" s="70">
        <f t="shared" si="6"/>
        <v>0</v>
      </c>
      <c r="M38" s="70">
        <f t="shared" si="6"/>
        <v>0</v>
      </c>
      <c r="N38" s="70">
        <f t="shared" si="6"/>
        <v>0</v>
      </c>
      <c r="O38" s="70">
        <f t="shared" si="6"/>
        <v>0</v>
      </c>
      <c r="P38" s="70">
        <f>SUM(D38:O38)</f>
        <v>0</v>
      </c>
    </row>
    <row r="39" spans="1:16" ht="6" customHeight="1" x14ac:dyDescent="0.2">
      <c r="A39" s="67"/>
      <c r="B39" s="756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1:16" x14ac:dyDescent="0.2">
      <c r="A40" s="68" t="s">
        <v>693</v>
      </c>
      <c r="B40" s="756"/>
      <c r="D40" s="468">
        <f t="shared" ref="D40:O40" si="7">D48</f>
        <v>0</v>
      </c>
      <c r="E40" s="468">
        <f t="shared" si="7"/>
        <v>0</v>
      </c>
      <c r="F40" s="468">
        <f t="shared" si="7"/>
        <v>0</v>
      </c>
      <c r="G40" s="72">
        <f t="shared" si="7"/>
        <v>0</v>
      </c>
      <c r="H40" s="72">
        <f t="shared" si="7"/>
        <v>0</v>
      </c>
      <c r="I40" s="72">
        <f t="shared" si="7"/>
        <v>0</v>
      </c>
      <c r="J40" s="72">
        <f t="shared" si="7"/>
        <v>0</v>
      </c>
      <c r="K40" s="72">
        <f t="shared" si="7"/>
        <v>0</v>
      </c>
      <c r="L40" s="72">
        <f t="shared" si="7"/>
        <v>0</v>
      </c>
      <c r="M40" s="72">
        <f t="shared" si="7"/>
        <v>0</v>
      </c>
      <c r="N40" s="72">
        <f t="shared" si="7"/>
        <v>0</v>
      </c>
      <c r="O40" s="72">
        <f t="shared" si="7"/>
        <v>0</v>
      </c>
      <c r="P40" s="72">
        <f>SUM(D40:O40)</f>
        <v>0</v>
      </c>
    </row>
    <row r="41" spans="1:16" ht="3.95" customHeight="1" x14ac:dyDescent="0.2">
      <c r="A41" s="67"/>
      <c r="B41" s="756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1:16" x14ac:dyDescent="0.2">
      <c r="A42" s="329" t="s">
        <v>662</v>
      </c>
      <c r="C42" s="254">
        <v>0</v>
      </c>
      <c r="D42" s="88">
        <f t="shared" ref="D42:O42" si="8">SUM(D32:D40)</f>
        <v>0</v>
      </c>
      <c r="E42" s="88">
        <f t="shared" si="8"/>
        <v>0</v>
      </c>
      <c r="F42" s="88">
        <f t="shared" si="8"/>
        <v>0</v>
      </c>
      <c r="G42" s="88">
        <f t="shared" si="8"/>
        <v>0</v>
      </c>
      <c r="H42" s="88">
        <f t="shared" si="8"/>
        <v>0</v>
      </c>
      <c r="I42" s="88">
        <f t="shared" si="8"/>
        <v>0</v>
      </c>
      <c r="J42" s="88">
        <f t="shared" si="8"/>
        <v>0</v>
      </c>
      <c r="K42" s="88">
        <f t="shared" si="8"/>
        <v>0</v>
      </c>
      <c r="L42" s="88">
        <f t="shared" si="8"/>
        <v>0</v>
      </c>
      <c r="M42" s="88">
        <f t="shared" si="8"/>
        <v>0</v>
      </c>
      <c r="N42" s="88">
        <f t="shared" si="8"/>
        <v>0</v>
      </c>
      <c r="O42" s="88">
        <f t="shared" si="8"/>
        <v>0</v>
      </c>
      <c r="P42" s="88">
        <f>SUM(P34:P40)+D32</f>
        <v>0</v>
      </c>
    </row>
    <row r="43" spans="1:16" x14ac:dyDescent="0.2">
      <c r="A43" s="67"/>
      <c r="B43" s="756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5" spans="1:16" x14ac:dyDescent="0.2">
      <c r="A45" s="336" t="s">
        <v>694</v>
      </c>
      <c r="B45" s="756"/>
      <c r="D45" s="89">
        <v>9.0200000000000002E-2</v>
      </c>
      <c r="E45" s="89">
        <v>9.0200000000000002E-2</v>
      </c>
      <c r="F45" s="89">
        <v>9.0200000000000002E-2</v>
      </c>
      <c r="G45" s="89">
        <v>9.0200000000000002E-2</v>
      </c>
      <c r="H45" s="89">
        <v>9.0200000000000002E-2</v>
      </c>
      <c r="I45" s="89">
        <v>9.0200000000000002E-2</v>
      </c>
      <c r="J45" s="89">
        <v>9.0200000000000002E-2</v>
      </c>
      <c r="K45" s="89">
        <v>9.0200000000000002E-2</v>
      </c>
      <c r="L45" s="89">
        <v>9.0200000000000002E-2</v>
      </c>
      <c r="M45" s="89">
        <v>9.0200000000000002E-2</v>
      </c>
      <c r="N45" s="89">
        <v>9.0200000000000002E-2</v>
      </c>
      <c r="O45" s="89">
        <v>9.0200000000000002E-2</v>
      </c>
    </row>
    <row r="46" spans="1:16" x14ac:dyDescent="0.2">
      <c r="A46" s="68" t="s">
        <v>664</v>
      </c>
      <c r="B46" s="756"/>
      <c r="D46" s="461">
        <f>ROUND((D45/365)*31,4)</f>
        <v>7.7000000000000002E-3</v>
      </c>
      <c r="E46" s="461">
        <f>ROUND((E45/365)*28,4)</f>
        <v>6.8999999999999999E-3</v>
      </c>
      <c r="F46" s="461">
        <f>ROUND((F45/365)*31,4)</f>
        <v>7.7000000000000002E-3</v>
      </c>
      <c r="G46" s="461">
        <f>ROUND((G45/365)*30,4)</f>
        <v>7.4000000000000003E-3</v>
      </c>
      <c r="H46" s="461">
        <f>ROUND((H45/365)*31,4)</f>
        <v>7.7000000000000002E-3</v>
      </c>
      <c r="I46" s="461">
        <f>ROUND((I45/365)*30,4)</f>
        <v>7.4000000000000003E-3</v>
      </c>
      <c r="J46" s="461">
        <f>ROUND((J45/365)*31,4)</f>
        <v>7.7000000000000002E-3</v>
      </c>
      <c r="K46" s="461">
        <f>ROUND((K45/365)*31,4)</f>
        <v>7.7000000000000002E-3</v>
      </c>
      <c r="L46" s="461">
        <f>ROUND((L45/365)*30,4)</f>
        <v>7.4000000000000003E-3</v>
      </c>
      <c r="M46" s="461">
        <f>ROUND((M45/365)*31,4)</f>
        <v>7.7000000000000002E-3</v>
      </c>
      <c r="N46" s="461">
        <f>ROUND((N45/365)*30,4)</f>
        <v>7.4000000000000003E-3</v>
      </c>
      <c r="O46" s="461">
        <f>ROUND((O45/365)*31,4)</f>
        <v>7.7000000000000002E-3</v>
      </c>
    </row>
    <row r="47" spans="1:16" ht="12.75" customHeight="1" x14ac:dyDescent="0.2">
      <c r="A47" s="67"/>
      <c r="B47" s="756"/>
    </row>
    <row r="48" spans="1:16" x14ac:dyDescent="0.2">
      <c r="A48" s="66" t="s">
        <v>665</v>
      </c>
      <c r="C48" s="74"/>
      <c r="D48" s="75">
        <f t="shared" ref="D48:O48" si="9">ROUND(C42*D46,0)</f>
        <v>0</v>
      </c>
      <c r="E48" s="75">
        <f t="shared" si="9"/>
        <v>0</v>
      </c>
      <c r="F48" s="75">
        <f t="shared" si="9"/>
        <v>0</v>
      </c>
      <c r="G48" s="75">
        <f t="shared" si="9"/>
        <v>0</v>
      </c>
      <c r="H48" s="75">
        <f t="shared" si="9"/>
        <v>0</v>
      </c>
      <c r="I48" s="75">
        <f t="shared" si="9"/>
        <v>0</v>
      </c>
      <c r="J48" s="75">
        <f t="shared" si="9"/>
        <v>0</v>
      </c>
      <c r="K48" s="75">
        <f t="shared" si="9"/>
        <v>0</v>
      </c>
      <c r="L48" s="75">
        <f t="shared" si="9"/>
        <v>0</v>
      </c>
      <c r="M48" s="75">
        <f t="shared" si="9"/>
        <v>0</v>
      </c>
      <c r="N48" s="75">
        <f t="shared" si="9"/>
        <v>0</v>
      </c>
      <c r="O48" s="75">
        <f t="shared" si="9"/>
        <v>0</v>
      </c>
      <c r="P48" s="75">
        <f>SUM(D48:O48)</f>
        <v>0</v>
      </c>
    </row>
    <row r="49" spans="1:59" ht="6" customHeight="1" x14ac:dyDescent="0.2">
      <c r="A49" s="67"/>
      <c r="B49" s="756"/>
    </row>
    <row r="50" spans="1:59" x14ac:dyDescent="0.2">
      <c r="A50" s="66" t="s">
        <v>666</v>
      </c>
      <c r="B50" s="756"/>
      <c r="D50" s="70">
        <f>D48</f>
        <v>0</v>
      </c>
      <c r="E50" s="70">
        <f t="shared" ref="E50:O50" si="10">E48+D50</f>
        <v>0</v>
      </c>
      <c r="F50" s="70">
        <f t="shared" si="10"/>
        <v>0</v>
      </c>
      <c r="G50" s="70">
        <f t="shared" si="10"/>
        <v>0</v>
      </c>
      <c r="H50" s="70">
        <f t="shared" si="10"/>
        <v>0</v>
      </c>
      <c r="I50" s="70">
        <f t="shared" si="10"/>
        <v>0</v>
      </c>
      <c r="J50" s="70">
        <f t="shared" si="10"/>
        <v>0</v>
      </c>
      <c r="K50" s="70">
        <f t="shared" si="10"/>
        <v>0</v>
      </c>
      <c r="L50" s="70">
        <f t="shared" si="10"/>
        <v>0</v>
      </c>
      <c r="M50" s="70">
        <f t="shared" si="10"/>
        <v>0</v>
      </c>
      <c r="N50" s="70">
        <f t="shared" si="10"/>
        <v>0</v>
      </c>
      <c r="O50" s="70">
        <f t="shared" si="10"/>
        <v>0</v>
      </c>
    </row>
    <row r="52" spans="1:59" customFormat="1" x14ac:dyDescent="0.2">
      <c r="B52" s="759"/>
    </row>
    <row r="53" spans="1:59" x14ac:dyDescent="0.2">
      <c r="A53" s="553" t="str">
        <f ca="1">A1</f>
        <v>P:\Finance\2002 Plan\[EMTW02PL.XLS]IncomeState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AQ53" s="78" t="s">
        <v>695</v>
      </c>
    </row>
    <row r="54" spans="1:59" x14ac:dyDescent="0.2">
      <c r="A54" s="326" t="s">
        <v>627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59" x14ac:dyDescent="0.2">
      <c r="A55" s="340" t="str">
        <f>A3</f>
        <v>2002 OPERATING PLAN</v>
      </c>
      <c r="B55" s="754">
        <f ca="1">NOW()</f>
        <v>37189.6149224537</v>
      </c>
      <c r="C55" s="61" t="s">
        <v>696</v>
      </c>
      <c r="D55" s="61"/>
      <c r="E55" s="60"/>
      <c r="F55" s="60"/>
      <c r="G55" s="61"/>
      <c r="H55" s="61"/>
      <c r="I55" s="61"/>
      <c r="J55" s="60"/>
      <c r="K55" s="60"/>
      <c r="L55" s="60"/>
      <c r="M55" s="60"/>
      <c r="N55" s="60"/>
      <c r="O55" s="60"/>
      <c r="P55" s="91"/>
    </row>
    <row r="56" spans="1:59" ht="12.95" customHeight="1" x14ac:dyDescent="0.2">
      <c r="A56" s="62"/>
      <c r="B56" s="755">
        <f ca="1">NOW()</f>
        <v>37189.6149224537</v>
      </c>
      <c r="C56" s="324" t="str">
        <f t="shared" ref="C56:P56" si="11">C4</f>
        <v>BALANCE</v>
      </c>
      <c r="D56" s="324" t="str">
        <f t="shared" si="11"/>
        <v>JAN</v>
      </c>
      <c r="E56" s="324" t="str">
        <f t="shared" si="11"/>
        <v>FEB</v>
      </c>
      <c r="F56" s="324" t="str">
        <f t="shared" si="11"/>
        <v>MAR</v>
      </c>
      <c r="G56" s="324" t="str">
        <f t="shared" si="11"/>
        <v>APR</v>
      </c>
      <c r="H56" s="324" t="str">
        <f t="shared" si="11"/>
        <v>MAY</v>
      </c>
      <c r="I56" s="324" t="str">
        <f t="shared" si="11"/>
        <v>JUN</v>
      </c>
      <c r="J56" s="324" t="str">
        <f t="shared" si="11"/>
        <v>JUL</v>
      </c>
      <c r="K56" s="324" t="str">
        <f t="shared" si="11"/>
        <v>AUG</v>
      </c>
      <c r="L56" s="324" t="str">
        <f t="shared" si="11"/>
        <v>SEP</v>
      </c>
      <c r="M56" s="324" t="str">
        <f t="shared" si="11"/>
        <v>OCT</v>
      </c>
      <c r="N56" s="324" t="str">
        <f t="shared" si="11"/>
        <v>NOV</v>
      </c>
      <c r="O56" s="324" t="str">
        <f t="shared" si="11"/>
        <v>DEC</v>
      </c>
      <c r="P56" s="324">
        <f t="shared" si="11"/>
        <v>2002</v>
      </c>
      <c r="AQ56" s="80" t="str">
        <f>A3</f>
        <v>2002 OPERATING PLAN</v>
      </c>
      <c r="AS56" s="78" t="s">
        <v>697</v>
      </c>
      <c r="AT56" s="92" t="s">
        <v>698</v>
      </c>
      <c r="AU56" s="92" t="s">
        <v>698</v>
      </c>
      <c r="AV56" s="68" t="s">
        <v>699</v>
      </c>
      <c r="AW56" s="67"/>
      <c r="AX56" s="67"/>
      <c r="AY56" s="67"/>
      <c r="AZ56" s="67"/>
      <c r="BA56" s="78" t="s">
        <v>697</v>
      </c>
      <c r="BB56" s="92" t="s">
        <v>698</v>
      </c>
      <c r="BC56" s="92" t="s">
        <v>698</v>
      </c>
      <c r="BD56" s="92" t="s">
        <v>698</v>
      </c>
      <c r="BE56" s="92" t="s">
        <v>698</v>
      </c>
    </row>
    <row r="57" spans="1:59" ht="3.95" customHeight="1" x14ac:dyDescent="0.2"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5"/>
      <c r="AQ57" s="93">
        <f ca="1">NOW()</f>
        <v>37189.6149224537</v>
      </c>
      <c r="AS57" s="94" t="s">
        <v>700</v>
      </c>
      <c r="AT57" s="94" t="s">
        <v>700</v>
      </c>
      <c r="AU57" s="94" t="s">
        <v>700</v>
      </c>
      <c r="AV57" s="94" t="s">
        <v>700</v>
      </c>
      <c r="AW57" s="94" t="s">
        <v>700</v>
      </c>
      <c r="AX57" s="94" t="s">
        <v>700</v>
      </c>
      <c r="AY57" s="94" t="s">
        <v>700</v>
      </c>
      <c r="AZ57" s="94" t="s">
        <v>700</v>
      </c>
      <c r="BA57" s="94" t="s">
        <v>700</v>
      </c>
      <c r="BB57" s="94" t="s">
        <v>700</v>
      </c>
      <c r="BC57" s="94" t="s">
        <v>700</v>
      </c>
      <c r="BD57" s="94" t="s">
        <v>700</v>
      </c>
      <c r="BE57" s="95" t="s">
        <v>701</v>
      </c>
    </row>
    <row r="58" spans="1:59" x14ac:dyDescent="0.2">
      <c r="A58" s="329" t="s">
        <v>702</v>
      </c>
      <c r="B58" s="756"/>
    </row>
    <row r="59" spans="1:59" x14ac:dyDescent="0.2">
      <c r="A59" s="68" t="s">
        <v>642</v>
      </c>
      <c r="B59" s="756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>SUM(D59:O59)</f>
        <v>0</v>
      </c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0"/>
      <c r="BF59" s="77"/>
      <c r="BG59" s="77"/>
    </row>
    <row r="60" spans="1:59" x14ac:dyDescent="0.2">
      <c r="A60" s="336" t="s">
        <v>703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>SUM(D60:O60)</f>
        <v>0</v>
      </c>
    </row>
    <row r="61" spans="1:59" x14ac:dyDescent="0.2">
      <c r="A61" s="336" t="s">
        <v>704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2">
        <f>SUM(D61:O61)</f>
        <v>0</v>
      </c>
    </row>
    <row r="62" spans="1:59" ht="3.95" customHeight="1" x14ac:dyDescent="0.2">
      <c r="A62" s="80"/>
    </row>
    <row r="63" spans="1:59" x14ac:dyDescent="0.2">
      <c r="A63" s="68" t="s">
        <v>645</v>
      </c>
      <c r="B63" s="756"/>
      <c r="D63" s="70">
        <f t="shared" ref="D63:O63" si="12">D59+D60+D61</f>
        <v>0</v>
      </c>
      <c r="E63" s="70">
        <f t="shared" si="12"/>
        <v>0</v>
      </c>
      <c r="F63" s="70">
        <f t="shared" si="12"/>
        <v>0</v>
      </c>
      <c r="G63" s="70">
        <f t="shared" si="12"/>
        <v>0</v>
      </c>
      <c r="H63" s="70">
        <f t="shared" si="12"/>
        <v>0</v>
      </c>
      <c r="I63" s="70">
        <f t="shared" si="12"/>
        <v>0</v>
      </c>
      <c r="J63" s="70">
        <f t="shared" si="12"/>
        <v>0</v>
      </c>
      <c r="K63" s="70">
        <f t="shared" si="12"/>
        <v>0</v>
      </c>
      <c r="L63" s="70">
        <f t="shared" si="12"/>
        <v>0</v>
      </c>
      <c r="M63" s="70">
        <f t="shared" si="12"/>
        <v>0</v>
      </c>
      <c r="N63" s="70">
        <f t="shared" si="12"/>
        <v>0</v>
      </c>
      <c r="O63" s="70">
        <f t="shared" si="12"/>
        <v>0</v>
      </c>
      <c r="P63" s="70">
        <f>SUM(D63:O63)</f>
        <v>0</v>
      </c>
      <c r="AQ63" s="78" t="s">
        <v>705</v>
      </c>
      <c r="AS63" s="69">
        <v>0</v>
      </c>
      <c r="AT63" s="69">
        <v>0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0</v>
      </c>
      <c r="BD63" s="69">
        <v>0</v>
      </c>
      <c r="BE63" s="70">
        <f>SUM(AS63:BD63)</f>
        <v>0</v>
      </c>
      <c r="BF63" s="96"/>
      <c r="BG63" s="96"/>
    </row>
    <row r="64" spans="1:59" ht="3.95" customHeight="1" x14ac:dyDescent="0.2">
      <c r="A64" s="80"/>
    </row>
    <row r="65" spans="1:59" x14ac:dyDescent="0.2">
      <c r="A65" s="336" t="s">
        <v>706</v>
      </c>
      <c r="B65" s="756"/>
      <c r="D65" s="73" t="e">
        <f t="shared" ref="D65:P65" si="13">D67/D63</f>
        <v>#DIV/0!</v>
      </c>
      <c r="E65" s="73" t="e">
        <f t="shared" si="13"/>
        <v>#DIV/0!</v>
      </c>
      <c r="F65" s="73" t="e">
        <f t="shared" si="13"/>
        <v>#DIV/0!</v>
      </c>
      <c r="G65" s="73" t="e">
        <f t="shared" si="13"/>
        <v>#DIV/0!</v>
      </c>
      <c r="H65" s="73" t="e">
        <f t="shared" si="13"/>
        <v>#DIV/0!</v>
      </c>
      <c r="I65" s="73" t="e">
        <f t="shared" si="13"/>
        <v>#DIV/0!</v>
      </c>
      <c r="J65" s="73" t="e">
        <f t="shared" si="13"/>
        <v>#DIV/0!</v>
      </c>
      <c r="K65" s="73" t="e">
        <f t="shared" si="13"/>
        <v>#DIV/0!</v>
      </c>
      <c r="L65" s="73" t="e">
        <f t="shared" si="13"/>
        <v>#DIV/0!</v>
      </c>
      <c r="M65" s="73" t="e">
        <f t="shared" si="13"/>
        <v>#DIV/0!</v>
      </c>
      <c r="N65" s="73" t="e">
        <f t="shared" si="13"/>
        <v>#DIV/0!</v>
      </c>
      <c r="O65" s="73" t="e">
        <f t="shared" si="13"/>
        <v>#DIV/0!</v>
      </c>
      <c r="P65" s="73" t="e">
        <f t="shared" si="13"/>
        <v>#DIV/0!</v>
      </c>
      <c r="AL65" s="97"/>
      <c r="AQ65" s="78" t="s">
        <v>707</v>
      </c>
      <c r="AS65" s="58">
        <v>2.9359999999999999</v>
      </c>
      <c r="AT65" s="58">
        <v>2.9359999999999999</v>
      </c>
      <c r="AU65" s="58">
        <v>2.9359999999999999</v>
      </c>
      <c r="AV65" s="58">
        <v>2.9359999999999999</v>
      </c>
      <c r="AW65" s="58">
        <v>2.9359999999999999</v>
      </c>
      <c r="AX65" s="58">
        <v>2.9359999999999999</v>
      </c>
      <c r="AY65" s="58">
        <v>2.9359999999999999</v>
      </c>
      <c r="AZ65" s="58">
        <v>2.9359999999999999</v>
      </c>
      <c r="BA65" s="58">
        <v>2.9359999999999999</v>
      </c>
      <c r="BB65" s="58">
        <v>2.9359999999999999</v>
      </c>
      <c r="BC65" s="58">
        <v>2.9359999999999999</v>
      </c>
      <c r="BD65" s="58">
        <v>2.9359999999999999</v>
      </c>
      <c r="BE65" s="58">
        <v>2.9359999999999999</v>
      </c>
    </row>
    <row r="66" spans="1:59" ht="3.95" customHeight="1" x14ac:dyDescent="0.2"/>
    <row r="67" spans="1:59" x14ac:dyDescent="0.2">
      <c r="A67" s="336" t="s">
        <v>708</v>
      </c>
      <c r="B67" s="757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>SUM(D67:O67)</f>
        <v>0</v>
      </c>
      <c r="Q67" s="96"/>
      <c r="R67" s="77"/>
      <c r="AL67" s="77"/>
      <c r="BF67" s="77"/>
      <c r="BG67" s="77"/>
    </row>
    <row r="68" spans="1:59" x14ac:dyDescent="0.2">
      <c r="A68" s="78" t="s">
        <v>709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>SUM(D68:O68)</f>
        <v>0</v>
      </c>
    </row>
    <row r="69" spans="1:59" x14ac:dyDescent="0.2">
      <c r="A69" s="78" t="s">
        <v>624</v>
      </c>
      <c r="D69" s="257">
        <v>0</v>
      </c>
      <c r="E69" s="257">
        <v>0</v>
      </c>
      <c r="F69" s="257">
        <v>0</v>
      </c>
      <c r="G69" s="257">
        <v>0</v>
      </c>
      <c r="H69" s="257">
        <v>0</v>
      </c>
      <c r="I69" s="257">
        <v>0</v>
      </c>
      <c r="J69" s="257">
        <v>0</v>
      </c>
      <c r="K69" s="257">
        <v>0</v>
      </c>
      <c r="L69" s="257">
        <v>0</v>
      </c>
      <c r="M69" s="257">
        <v>0</v>
      </c>
      <c r="N69" s="257">
        <v>0</v>
      </c>
      <c r="O69" s="257">
        <v>0</v>
      </c>
      <c r="P69" s="72">
        <f>SUM(D69:O69)</f>
        <v>0</v>
      </c>
    </row>
    <row r="70" spans="1:59" ht="3.95" customHeight="1" x14ac:dyDescent="0.2"/>
    <row r="71" spans="1:59" x14ac:dyDescent="0.2">
      <c r="A71" s="335" t="s">
        <v>710</v>
      </c>
      <c r="D71" s="88">
        <f t="shared" ref="D71:P71" si="14">SUM(D67:D69)</f>
        <v>0</v>
      </c>
      <c r="E71" s="88">
        <f t="shared" si="14"/>
        <v>0</v>
      </c>
      <c r="F71" s="88">
        <f t="shared" si="14"/>
        <v>0</v>
      </c>
      <c r="G71" s="88">
        <f t="shared" si="14"/>
        <v>0</v>
      </c>
      <c r="H71" s="88">
        <f t="shared" si="14"/>
        <v>0</v>
      </c>
      <c r="I71" s="88">
        <f t="shared" si="14"/>
        <v>0</v>
      </c>
      <c r="J71" s="88">
        <f t="shared" si="14"/>
        <v>0</v>
      </c>
      <c r="K71" s="88">
        <f t="shared" si="14"/>
        <v>0</v>
      </c>
      <c r="L71" s="88">
        <f t="shared" si="14"/>
        <v>0</v>
      </c>
      <c r="M71" s="88">
        <f t="shared" si="14"/>
        <v>0</v>
      </c>
      <c r="N71" s="88">
        <f t="shared" si="14"/>
        <v>0</v>
      </c>
      <c r="O71" s="88">
        <f t="shared" si="14"/>
        <v>0</v>
      </c>
      <c r="P71" s="88">
        <f t="shared" si="14"/>
        <v>0</v>
      </c>
    </row>
    <row r="72" spans="1:59" ht="8.1" customHeight="1" x14ac:dyDescent="0.2">
      <c r="A72" s="67"/>
      <c r="B72" s="75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AL72" s="90"/>
    </row>
    <row r="73" spans="1:59" x14ac:dyDescent="0.2">
      <c r="A73" s="337" t="s">
        <v>711</v>
      </c>
    </row>
    <row r="74" spans="1:59" x14ac:dyDescent="0.2">
      <c r="A74" s="98" t="s">
        <v>712</v>
      </c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70">
        <f t="shared" ref="P74:P80" si="15">SUM(D74:O74)</f>
        <v>0</v>
      </c>
    </row>
    <row r="75" spans="1:59" x14ac:dyDescent="0.2">
      <c r="A75" s="98" t="s">
        <v>713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5"/>
        <v>0</v>
      </c>
    </row>
    <row r="76" spans="1:59" x14ac:dyDescent="0.2">
      <c r="A76" s="98" t="s">
        <v>720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5"/>
        <v>0</v>
      </c>
    </row>
    <row r="77" spans="1:59" x14ac:dyDescent="0.2">
      <c r="A77" s="98" t="s">
        <v>721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5"/>
        <v>0</v>
      </c>
    </row>
    <row r="78" spans="1:59" x14ac:dyDescent="0.2">
      <c r="A78" s="98" t="s">
        <v>722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70">
        <f t="shared" si="15"/>
        <v>0</v>
      </c>
    </row>
    <row r="79" spans="1:59" x14ac:dyDescent="0.2">
      <c r="A79" s="98" t="s">
        <v>723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5"/>
        <v>0</v>
      </c>
    </row>
    <row r="80" spans="1:59" x14ac:dyDescent="0.2">
      <c r="A80" s="98" t="s">
        <v>624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72">
        <f t="shared" si="15"/>
        <v>0</v>
      </c>
    </row>
    <row r="81" spans="1:59" ht="3.95" customHeight="1" x14ac:dyDescent="0.2">
      <c r="A81" s="80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1:59" x14ac:dyDescent="0.2">
      <c r="A82" s="335" t="s">
        <v>724</v>
      </c>
      <c r="B82" s="757"/>
      <c r="C82" s="59"/>
      <c r="D82" s="88">
        <f t="shared" ref="D82:O82" si="16">SUM(D74:D80)</f>
        <v>0</v>
      </c>
      <c r="E82" s="88">
        <f t="shared" si="16"/>
        <v>0</v>
      </c>
      <c r="F82" s="88">
        <f t="shared" si="16"/>
        <v>0</v>
      </c>
      <c r="G82" s="88">
        <f t="shared" si="16"/>
        <v>0</v>
      </c>
      <c r="H82" s="88">
        <f t="shared" si="16"/>
        <v>0</v>
      </c>
      <c r="I82" s="88">
        <f t="shared" si="16"/>
        <v>0</v>
      </c>
      <c r="J82" s="88">
        <f t="shared" si="16"/>
        <v>0</v>
      </c>
      <c r="K82" s="88">
        <f t="shared" si="16"/>
        <v>0</v>
      </c>
      <c r="L82" s="88">
        <f t="shared" si="16"/>
        <v>0</v>
      </c>
      <c r="M82" s="88">
        <f t="shared" si="16"/>
        <v>0</v>
      </c>
      <c r="N82" s="88">
        <f t="shared" si="16"/>
        <v>0</v>
      </c>
      <c r="O82" s="88">
        <f t="shared" si="16"/>
        <v>0</v>
      </c>
      <c r="P82" s="88">
        <f>SUM(D82:O82)</f>
        <v>0</v>
      </c>
      <c r="Q82" s="96"/>
      <c r="R82" s="96"/>
      <c r="AL82" s="69"/>
      <c r="BF82" s="77"/>
      <c r="BG82" s="77"/>
    </row>
    <row r="83" spans="1:59" ht="6" customHeight="1" x14ac:dyDescent="0.2">
      <c r="Q83" s="77"/>
      <c r="R83" s="96"/>
      <c r="AL83" s="77"/>
    </row>
    <row r="84" spans="1:59" x14ac:dyDescent="0.2">
      <c r="A84" s="68" t="s">
        <v>687</v>
      </c>
      <c r="B84" s="756"/>
      <c r="D84" s="70">
        <f t="shared" ref="D84:O84" si="17">D71-D82</f>
        <v>0</v>
      </c>
      <c r="E84" s="70">
        <f t="shared" si="17"/>
        <v>0</v>
      </c>
      <c r="F84" s="70">
        <f t="shared" si="17"/>
        <v>0</v>
      </c>
      <c r="G84" s="70">
        <f t="shared" si="17"/>
        <v>0</v>
      </c>
      <c r="H84" s="70">
        <f t="shared" si="17"/>
        <v>0</v>
      </c>
      <c r="I84" s="70">
        <f t="shared" si="17"/>
        <v>0</v>
      </c>
      <c r="J84" s="70">
        <f t="shared" si="17"/>
        <v>0</v>
      </c>
      <c r="K84" s="70">
        <f t="shared" si="17"/>
        <v>0</v>
      </c>
      <c r="L84" s="70">
        <f t="shared" si="17"/>
        <v>0</v>
      </c>
      <c r="M84" s="70">
        <f t="shared" si="17"/>
        <v>0</v>
      </c>
      <c r="N84" s="70">
        <f t="shared" si="17"/>
        <v>0</v>
      </c>
      <c r="O84" s="70">
        <f t="shared" si="17"/>
        <v>0</v>
      </c>
      <c r="P84" s="70">
        <f>SUM(D84:O84)</f>
        <v>0</v>
      </c>
    </row>
    <row r="85" spans="1:59" x14ac:dyDescent="0.2">
      <c r="A85" s="78" t="s">
        <v>725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70">
        <f>SUM(D85:O85)</f>
        <v>0</v>
      </c>
      <c r="Q85" s="70"/>
    </row>
    <row r="86" spans="1:59" x14ac:dyDescent="0.2">
      <c r="A86" s="78" t="s">
        <v>623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70">
        <f>SUM(D86:O86)</f>
        <v>0</v>
      </c>
      <c r="Q86" s="70"/>
    </row>
    <row r="87" spans="1:59" x14ac:dyDescent="0.2">
      <c r="A87" s="68" t="s">
        <v>653</v>
      </c>
      <c r="D87" s="257">
        <v>0</v>
      </c>
      <c r="E87" s="257">
        <v>0</v>
      </c>
      <c r="F87" s="257">
        <v>0</v>
      </c>
      <c r="G87" s="257">
        <v>0</v>
      </c>
      <c r="H87" s="257">
        <v>0</v>
      </c>
      <c r="I87" s="257">
        <v>0</v>
      </c>
      <c r="J87" s="257">
        <v>0</v>
      </c>
      <c r="K87" s="257">
        <v>0</v>
      </c>
      <c r="L87" s="257">
        <v>0</v>
      </c>
      <c r="M87" s="257">
        <v>0</v>
      </c>
      <c r="N87" s="257">
        <v>0</v>
      </c>
      <c r="O87" s="257">
        <v>0</v>
      </c>
      <c r="P87" s="72">
        <f>SUM(D87:O87)</f>
        <v>0</v>
      </c>
      <c r="Q87" s="70"/>
      <c r="V87" s="80"/>
    </row>
    <row r="88" spans="1:59" ht="3.95" customHeight="1" x14ac:dyDescent="0.2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1:59" x14ac:dyDescent="0.2">
      <c r="A89" s="57" t="str">
        <f>A24</f>
        <v xml:space="preserve">      TOTAL OVER / (UNDER) RECOVERY</v>
      </c>
      <c r="B89" s="760"/>
      <c r="C89" s="59"/>
      <c r="D89" s="75">
        <f t="shared" ref="D89:O89" si="18">SUM(D84:D87)</f>
        <v>0</v>
      </c>
      <c r="E89" s="75">
        <f t="shared" si="18"/>
        <v>0</v>
      </c>
      <c r="F89" s="75">
        <f t="shared" si="18"/>
        <v>0</v>
      </c>
      <c r="G89" s="75">
        <f t="shared" si="18"/>
        <v>0</v>
      </c>
      <c r="H89" s="75">
        <f t="shared" si="18"/>
        <v>0</v>
      </c>
      <c r="I89" s="75">
        <f t="shared" si="18"/>
        <v>0</v>
      </c>
      <c r="J89" s="75">
        <f t="shared" si="18"/>
        <v>0</v>
      </c>
      <c r="K89" s="75">
        <f t="shared" si="18"/>
        <v>0</v>
      </c>
      <c r="L89" s="75">
        <f t="shared" si="18"/>
        <v>0</v>
      </c>
      <c r="M89" s="75">
        <f t="shared" si="18"/>
        <v>0</v>
      </c>
      <c r="N89" s="75">
        <f t="shared" si="18"/>
        <v>0</v>
      </c>
      <c r="O89" s="75">
        <f t="shared" si="18"/>
        <v>0</v>
      </c>
      <c r="P89" s="75">
        <f>SUM(D89:O89)</f>
        <v>0</v>
      </c>
      <c r="Q89" s="59"/>
      <c r="V89" s="80"/>
    </row>
    <row r="90" spans="1:59" ht="8.1" customHeight="1" x14ac:dyDescent="0.2">
      <c r="A90" s="67"/>
      <c r="B90" s="756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7"/>
      <c r="R90" s="77"/>
      <c r="V90" s="67"/>
    </row>
    <row r="91" spans="1:59" x14ac:dyDescent="0.2">
      <c r="A91" s="335" t="s">
        <v>726</v>
      </c>
      <c r="B91" s="757"/>
      <c r="C91" s="59"/>
      <c r="D91" s="75">
        <f t="shared" ref="D91:O91" si="19">-1*D89</f>
        <v>0</v>
      </c>
      <c r="E91" s="75">
        <f t="shared" si="19"/>
        <v>0</v>
      </c>
      <c r="F91" s="75">
        <f t="shared" si="19"/>
        <v>0</v>
      </c>
      <c r="G91" s="75">
        <f t="shared" si="19"/>
        <v>0</v>
      </c>
      <c r="H91" s="75">
        <f t="shared" si="19"/>
        <v>0</v>
      </c>
      <c r="I91" s="75">
        <f t="shared" si="19"/>
        <v>0</v>
      </c>
      <c r="J91" s="75">
        <f t="shared" si="19"/>
        <v>0</v>
      </c>
      <c r="K91" s="75">
        <f t="shared" si="19"/>
        <v>0</v>
      </c>
      <c r="L91" s="75">
        <f t="shared" si="19"/>
        <v>0</v>
      </c>
      <c r="M91" s="75">
        <f t="shared" si="19"/>
        <v>0</v>
      </c>
      <c r="N91" s="75">
        <f t="shared" si="19"/>
        <v>0</v>
      </c>
      <c r="O91" s="75">
        <f t="shared" si="19"/>
        <v>0</v>
      </c>
      <c r="P91" s="75">
        <f>SUM(D91:O91)</f>
        <v>0</v>
      </c>
      <c r="V91" s="67"/>
    </row>
    <row r="92" spans="1:59" x14ac:dyDescent="0.2">
      <c r="R92" s="77"/>
    </row>
    <row r="93" spans="1:59" x14ac:dyDescent="0.2">
      <c r="A93" s="329" t="s">
        <v>727</v>
      </c>
      <c r="B93" s="756"/>
      <c r="D93" s="69">
        <v>0</v>
      </c>
      <c r="E93" s="69">
        <v>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75">
        <f>SUM(D93:O93)</f>
        <v>0</v>
      </c>
    </row>
    <row r="94" spans="1:59" ht="3.95" customHeight="1" x14ac:dyDescent="0.2">
      <c r="A94" s="67"/>
      <c r="B94" s="756"/>
    </row>
    <row r="95" spans="1:59" x14ac:dyDescent="0.2">
      <c r="A95" s="329" t="s">
        <v>728</v>
      </c>
      <c r="B95" s="756"/>
      <c r="D95" s="70">
        <f t="shared" ref="D95:O95" si="20">D91-D93</f>
        <v>0</v>
      </c>
      <c r="E95" s="70">
        <f t="shared" si="20"/>
        <v>0</v>
      </c>
      <c r="F95" s="70">
        <f t="shared" si="20"/>
        <v>0</v>
      </c>
      <c r="G95" s="70">
        <f t="shared" si="20"/>
        <v>0</v>
      </c>
      <c r="H95" s="70">
        <f t="shared" si="20"/>
        <v>0</v>
      </c>
      <c r="I95" s="70">
        <f t="shared" si="20"/>
        <v>0</v>
      </c>
      <c r="J95" s="70">
        <f t="shared" si="20"/>
        <v>0</v>
      </c>
      <c r="K95" s="70">
        <f t="shared" si="20"/>
        <v>0</v>
      </c>
      <c r="L95" s="70">
        <f t="shared" si="20"/>
        <v>0</v>
      </c>
      <c r="M95" s="70">
        <f t="shared" si="20"/>
        <v>0</v>
      </c>
      <c r="N95" s="70">
        <f t="shared" si="20"/>
        <v>0</v>
      </c>
      <c r="O95" s="70">
        <f t="shared" si="20"/>
        <v>0</v>
      </c>
      <c r="P95" s="75">
        <f>SUM(D95:O95)</f>
        <v>0</v>
      </c>
      <c r="Q95" s="59"/>
    </row>
    <row r="96" spans="1:59" ht="5.25" customHeight="1" x14ac:dyDescent="0.2">
      <c r="A96" s="67"/>
      <c r="B96" s="756"/>
      <c r="AW96" s="80"/>
      <c r="AX96" s="80"/>
      <c r="AY96" s="80"/>
      <c r="AZ96" s="80"/>
    </row>
    <row r="97" spans="1:59" ht="5.25" customHeight="1" x14ac:dyDescent="0.2">
      <c r="A97" s="82"/>
      <c r="B97" s="758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AX97" s="80"/>
      <c r="AY97" s="80"/>
    </row>
    <row r="98" spans="1:59" ht="5.25" customHeight="1" x14ac:dyDescent="0.2"/>
    <row r="99" spans="1:59" x14ac:dyDescent="0.2">
      <c r="A99" s="341" t="s">
        <v>729</v>
      </c>
      <c r="B99" s="761"/>
      <c r="C99" s="345" t="str">
        <f>C30</f>
        <v>12/31/99</v>
      </c>
      <c r="D99" s="86"/>
      <c r="E99" s="86"/>
      <c r="F99" s="86"/>
      <c r="G99" s="74"/>
      <c r="H99" s="74"/>
      <c r="I99" s="74"/>
      <c r="J99" s="74"/>
      <c r="K99" s="74"/>
      <c r="L99" s="86"/>
      <c r="M99" s="86"/>
      <c r="N99" s="86"/>
      <c r="O99" s="86"/>
      <c r="P99" s="86"/>
      <c r="V99" s="67"/>
      <c r="X99" s="80"/>
      <c r="Y99" s="80"/>
      <c r="Z99" s="80"/>
      <c r="AA99" s="80"/>
      <c r="AB99" s="67"/>
      <c r="AC99" s="67"/>
      <c r="AD99" s="67"/>
      <c r="AE99" s="67"/>
      <c r="AF99" s="80"/>
      <c r="AG99" s="80"/>
      <c r="AH99" s="80"/>
      <c r="AI99" s="80"/>
      <c r="AJ99" s="80"/>
    </row>
    <row r="100" spans="1:59" ht="3.95" customHeight="1" x14ac:dyDescent="0.2">
      <c r="A100" s="330"/>
      <c r="B100" s="762"/>
    </row>
    <row r="101" spans="1:59" x14ac:dyDescent="0.2">
      <c r="A101" s="329" t="s">
        <v>657</v>
      </c>
      <c r="B101" s="756"/>
      <c r="C101" s="330"/>
      <c r="D101" s="70">
        <f t="shared" ref="D101:O101" si="21">C111</f>
        <v>0</v>
      </c>
      <c r="E101" s="70">
        <f t="shared" si="21"/>
        <v>0</v>
      </c>
      <c r="F101" s="70">
        <f t="shared" si="21"/>
        <v>0</v>
      </c>
      <c r="G101" s="70">
        <f t="shared" si="21"/>
        <v>0</v>
      </c>
      <c r="H101" s="70">
        <f t="shared" si="21"/>
        <v>0</v>
      </c>
      <c r="I101" s="70">
        <f t="shared" si="21"/>
        <v>0</v>
      </c>
      <c r="J101" s="70">
        <f t="shared" si="21"/>
        <v>0</v>
      </c>
      <c r="K101" s="70">
        <f t="shared" si="21"/>
        <v>0</v>
      </c>
      <c r="L101" s="70">
        <f t="shared" si="21"/>
        <v>0</v>
      </c>
      <c r="M101" s="70">
        <f t="shared" si="21"/>
        <v>0</v>
      </c>
      <c r="N101" s="70">
        <f t="shared" si="21"/>
        <v>0</v>
      </c>
      <c r="O101" s="70">
        <f t="shared" si="21"/>
        <v>0</v>
      </c>
      <c r="P101" s="70"/>
      <c r="Q101" s="77"/>
      <c r="V101" s="67"/>
      <c r="W101" s="67"/>
      <c r="X101" s="69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Q101" s="80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</row>
    <row r="102" spans="1:59" ht="6" customHeight="1" x14ac:dyDescent="0.2">
      <c r="A102" s="330"/>
      <c r="B102" s="762"/>
      <c r="C102" s="330"/>
    </row>
    <row r="103" spans="1:59" x14ac:dyDescent="0.2">
      <c r="A103" s="98" t="s">
        <v>730</v>
      </c>
      <c r="B103" s="94"/>
      <c r="C103" s="330"/>
      <c r="D103" s="69">
        <v>0</v>
      </c>
      <c r="E103" s="69">
        <v>0</v>
      </c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69">
        <v>0</v>
      </c>
      <c r="L103" s="69">
        <v>0</v>
      </c>
      <c r="M103" s="69">
        <v>0</v>
      </c>
      <c r="N103" s="69">
        <v>0</v>
      </c>
      <c r="O103" s="69">
        <v>0</v>
      </c>
      <c r="P103" s="70">
        <f>SUM(D103:O103)</f>
        <v>0</v>
      </c>
      <c r="V103" s="80"/>
      <c r="W103" s="80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spans="1:59" ht="6" customHeight="1" x14ac:dyDescent="0.2">
      <c r="A104" s="67"/>
      <c r="B104" s="756"/>
      <c r="C104" s="33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V104" s="67"/>
      <c r="W104" s="67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Q104" s="80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</row>
    <row r="105" spans="1:59" x14ac:dyDescent="0.2">
      <c r="A105" s="68" t="s">
        <v>731</v>
      </c>
      <c r="B105" s="756"/>
      <c r="C105" s="330"/>
      <c r="D105" s="70">
        <f t="shared" ref="D105:O105" si="22">D95</f>
        <v>0</v>
      </c>
      <c r="E105" s="70">
        <f t="shared" si="22"/>
        <v>0</v>
      </c>
      <c r="F105" s="70">
        <f t="shared" si="22"/>
        <v>0</v>
      </c>
      <c r="G105" s="70">
        <f t="shared" si="22"/>
        <v>0</v>
      </c>
      <c r="H105" s="70">
        <f t="shared" si="22"/>
        <v>0</v>
      </c>
      <c r="I105" s="70">
        <f t="shared" si="22"/>
        <v>0</v>
      </c>
      <c r="J105" s="70">
        <f t="shared" si="22"/>
        <v>0</v>
      </c>
      <c r="K105" s="70">
        <f t="shared" si="22"/>
        <v>0</v>
      </c>
      <c r="L105" s="70">
        <f t="shared" si="22"/>
        <v>0</v>
      </c>
      <c r="M105" s="70">
        <f t="shared" si="22"/>
        <v>0</v>
      </c>
      <c r="N105" s="70">
        <f t="shared" si="22"/>
        <v>0</v>
      </c>
      <c r="O105" s="70">
        <f t="shared" si="22"/>
        <v>0</v>
      </c>
      <c r="P105" s="70">
        <f>SUM(D105:O105)</f>
        <v>0</v>
      </c>
      <c r="Q105" s="77"/>
      <c r="V105" s="67"/>
      <c r="W105" s="67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Q105" s="80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</row>
    <row r="106" spans="1:59" ht="6" customHeight="1" x14ac:dyDescent="0.2">
      <c r="A106" s="67"/>
      <c r="B106" s="756"/>
      <c r="C106" s="33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V106" s="67"/>
      <c r="W106" s="67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59" x14ac:dyDescent="0.2">
      <c r="A107" s="68" t="s">
        <v>732</v>
      </c>
      <c r="B107" s="756"/>
      <c r="C107" s="330"/>
      <c r="D107" s="258">
        <v>0</v>
      </c>
      <c r="E107" s="258">
        <v>0</v>
      </c>
      <c r="F107" s="258">
        <v>0</v>
      </c>
      <c r="G107" s="258">
        <v>0</v>
      </c>
      <c r="H107" s="258">
        <v>0</v>
      </c>
      <c r="I107" s="258">
        <v>0</v>
      </c>
      <c r="J107" s="258">
        <v>0</v>
      </c>
      <c r="K107" s="258">
        <v>0</v>
      </c>
      <c r="L107" s="258">
        <v>0</v>
      </c>
      <c r="M107" s="258">
        <v>0</v>
      </c>
      <c r="N107" s="258">
        <v>0</v>
      </c>
      <c r="O107" s="258">
        <v>0</v>
      </c>
      <c r="P107" s="70">
        <f>SUM(D107:O107)</f>
        <v>0</v>
      </c>
      <c r="Q107" s="77"/>
      <c r="V107" s="67"/>
      <c r="W107" s="67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Q107" s="80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</row>
    <row r="108" spans="1:59" ht="6" customHeight="1" x14ac:dyDescent="0.2">
      <c r="A108" s="67"/>
      <c r="B108" s="756"/>
      <c r="C108" s="330"/>
      <c r="D108" s="258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  <c r="O108" s="258"/>
      <c r="P108" s="70"/>
      <c r="V108" s="67"/>
      <c r="W108" s="67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 spans="1:59" x14ac:dyDescent="0.2">
      <c r="A109" s="68" t="s">
        <v>693</v>
      </c>
      <c r="B109" s="756"/>
      <c r="C109" s="330"/>
      <c r="D109" s="72">
        <f t="shared" ref="D109:O109" si="23">D117</f>
        <v>0</v>
      </c>
      <c r="E109" s="72">
        <f t="shared" si="23"/>
        <v>0</v>
      </c>
      <c r="F109" s="72">
        <f t="shared" si="23"/>
        <v>0</v>
      </c>
      <c r="G109" s="72">
        <f t="shared" si="23"/>
        <v>0</v>
      </c>
      <c r="H109" s="72">
        <f t="shared" si="23"/>
        <v>0</v>
      </c>
      <c r="I109" s="72">
        <f t="shared" si="23"/>
        <v>0</v>
      </c>
      <c r="J109" s="72">
        <f t="shared" si="23"/>
        <v>0</v>
      </c>
      <c r="K109" s="72">
        <f t="shared" si="23"/>
        <v>0</v>
      </c>
      <c r="L109" s="72">
        <f t="shared" si="23"/>
        <v>0</v>
      </c>
      <c r="M109" s="72">
        <f t="shared" si="23"/>
        <v>0</v>
      </c>
      <c r="N109" s="72">
        <f t="shared" si="23"/>
        <v>0</v>
      </c>
      <c r="O109" s="72">
        <f t="shared" si="23"/>
        <v>0</v>
      </c>
      <c r="P109" s="72">
        <f>SUM(D109:O109)</f>
        <v>0</v>
      </c>
      <c r="Q109" s="99"/>
      <c r="V109" s="67"/>
      <c r="W109" s="67"/>
      <c r="X109" s="69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59" ht="3.95" customHeight="1" x14ac:dyDescent="0.2">
      <c r="A110" s="67"/>
      <c r="B110" s="756"/>
      <c r="C110" s="33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V110" s="67"/>
      <c r="W110" s="67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</row>
    <row r="111" spans="1:59" x14ac:dyDescent="0.2">
      <c r="A111" s="329" t="s">
        <v>662</v>
      </c>
      <c r="B111" s="762"/>
      <c r="C111" s="254">
        <v>0</v>
      </c>
      <c r="D111" s="88">
        <f t="shared" ref="D111:O111" si="24">SUM(D101:D109)</f>
        <v>0</v>
      </c>
      <c r="E111" s="88">
        <f t="shared" si="24"/>
        <v>0</v>
      </c>
      <c r="F111" s="88">
        <f t="shared" si="24"/>
        <v>0</v>
      </c>
      <c r="G111" s="88">
        <f t="shared" si="24"/>
        <v>0</v>
      </c>
      <c r="H111" s="88">
        <f t="shared" si="24"/>
        <v>0</v>
      </c>
      <c r="I111" s="88">
        <f t="shared" si="24"/>
        <v>0</v>
      </c>
      <c r="J111" s="88">
        <f t="shared" si="24"/>
        <v>0</v>
      </c>
      <c r="K111" s="88">
        <f t="shared" si="24"/>
        <v>0</v>
      </c>
      <c r="L111" s="88">
        <f t="shared" si="24"/>
        <v>0</v>
      </c>
      <c r="M111" s="88">
        <f t="shared" si="24"/>
        <v>0</v>
      </c>
      <c r="N111" s="88">
        <f t="shared" si="24"/>
        <v>0</v>
      </c>
      <c r="O111" s="88">
        <f t="shared" si="24"/>
        <v>0</v>
      </c>
      <c r="P111" s="88">
        <f>SUM(P103:P109)+D101</f>
        <v>0</v>
      </c>
      <c r="Q111" s="77"/>
      <c r="V111" s="67"/>
      <c r="W111" s="67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Q111" s="80"/>
      <c r="AS111" s="80"/>
      <c r="AT111" s="80"/>
      <c r="AU111" s="80"/>
      <c r="AV111" s="67"/>
      <c r="AW111" s="67"/>
      <c r="AX111" s="67"/>
      <c r="AY111" s="67"/>
      <c r="AZ111" s="67"/>
      <c r="BA111" s="80"/>
      <c r="BB111" s="80"/>
      <c r="BC111" s="80"/>
      <c r="BD111" s="80"/>
      <c r="BE111" s="80"/>
    </row>
    <row r="113" spans="1:57" ht="12" customHeight="1" x14ac:dyDescent="0.2">
      <c r="A113" s="67"/>
      <c r="B113" s="756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R113" s="77"/>
      <c r="V113" s="67"/>
      <c r="W113" s="67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Q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</row>
    <row r="114" spans="1:57" x14ac:dyDescent="0.2">
      <c r="A114" s="68" t="s">
        <v>733</v>
      </c>
      <c r="B114" s="756"/>
      <c r="D114" s="100">
        <f t="shared" ref="D114:O114" si="25">D45</f>
        <v>9.0200000000000002E-2</v>
      </c>
      <c r="E114" s="100">
        <f t="shared" si="25"/>
        <v>9.0200000000000002E-2</v>
      </c>
      <c r="F114" s="100">
        <f t="shared" si="25"/>
        <v>9.0200000000000002E-2</v>
      </c>
      <c r="G114" s="100">
        <f t="shared" si="25"/>
        <v>9.0200000000000002E-2</v>
      </c>
      <c r="H114" s="100">
        <f t="shared" si="25"/>
        <v>9.0200000000000002E-2</v>
      </c>
      <c r="I114" s="100">
        <f t="shared" si="25"/>
        <v>9.0200000000000002E-2</v>
      </c>
      <c r="J114" s="100">
        <f t="shared" si="25"/>
        <v>9.0200000000000002E-2</v>
      </c>
      <c r="K114" s="100">
        <f t="shared" si="25"/>
        <v>9.0200000000000002E-2</v>
      </c>
      <c r="L114" s="100">
        <f t="shared" si="25"/>
        <v>9.0200000000000002E-2</v>
      </c>
      <c r="M114" s="100">
        <f t="shared" si="25"/>
        <v>9.0200000000000002E-2</v>
      </c>
      <c r="N114" s="100">
        <f t="shared" si="25"/>
        <v>9.0200000000000002E-2</v>
      </c>
      <c r="O114" s="100">
        <f t="shared" si="25"/>
        <v>9.0200000000000002E-2</v>
      </c>
      <c r="V114" s="67"/>
      <c r="W114" s="67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</row>
    <row r="115" spans="1:57" x14ac:dyDescent="0.2">
      <c r="A115" s="68" t="s">
        <v>664</v>
      </c>
      <c r="B115" s="756"/>
      <c r="D115" s="90">
        <f t="shared" ref="D115:O115" si="26">D46</f>
        <v>7.7000000000000002E-3</v>
      </c>
      <c r="E115" s="90">
        <f t="shared" si="26"/>
        <v>6.8999999999999999E-3</v>
      </c>
      <c r="F115" s="90">
        <f t="shared" si="26"/>
        <v>7.7000000000000002E-3</v>
      </c>
      <c r="G115" s="90">
        <f t="shared" si="26"/>
        <v>7.4000000000000003E-3</v>
      </c>
      <c r="H115" s="90">
        <f t="shared" si="26"/>
        <v>7.7000000000000002E-3</v>
      </c>
      <c r="I115" s="90">
        <f t="shared" si="26"/>
        <v>7.4000000000000003E-3</v>
      </c>
      <c r="J115" s="90">
        <f t="shared" si="26"/>
        <v>7.7000000000000002E-3</v>
      </c>
      <c r="K115" s="90">
        <f t="shared" si="26"/>
        <v>7.7000000000000002E-3</v>
      </c>
      <c r="L115" s="90">
        <f t="shared" si="26"/>
        <v>7.4000000000000003E-3</v>
      </c>
      <c r="M115" s="90">
        <f t="shared" si="26"/>
        <v>7.7000000000000002E-3</v>
      </c>
      <c r="N115" s="90">
        <f t="shared" si="26"/>
        <v>7.4000000000000003E-3</v>
      </c>
      <c r="O115" s="90">
        <f t="shared" si="26"/>
        <v>7.7000000000000002E-3</v>
      </c>
      <c r="Q115" s="102"/>
      <c r="V115" s="67"/>
      <c r="W115" s="67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</row>
    <row r="116" spans="1:57" ht="12.75" customHeight="1" x14ac:dyDescent="0.2">
      <c r="A116" s="67"/>
      <c r="B116" s="756"/>
      <c r="R116" s="77"/>
      <c r="V116" s="67"/>
      <c r="W116" s="67"/>
      <c r="AQ116" s="80"/>
      <c r="AS116" s="80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</row>
    <row r="117" spans="1:57" x14ac:dyDescent="0.2">
      <c r="A117" s="66" t="s">
        <v>665</v>
      </c>
      <c r="B117" s="757"/>
      <c r="C117" s="59"/>
      <c r="D117" s="75">
        <f t="shared" ref="D117:O117" si="27">ROUND(C111*D115,0)</f>
        <v>0</v>
      </c>
      <c r="E117" s="75">
        <f t="shared" si="27"/>
        <v>0</v>
      </c>
      <c r="F117" s="75">
        <f t="shared" si="27"/>
        <v>0</v>
      </c>
      <c r="G117" s="75">
        <f t="shared" si="27"/>
        <v>0</v>
      </c>
      <c r="H117" s="75">
        <f t="shared" si="27"/>
        <v>0</v>
      </c>
      <c r="I117" s="75">
        <f t="shared" si="27"/>
        <v>0</v>
      </c>
      <c r="J117" s="75">
        <f t="shared" si="27"/>
        <v>0</v>
      </c>
      <c r="K117" s="75">
        <f t="shared" si="27"/>
        <v>0</v>
      </c>
      <c r="L117" s="75">
        <f t="shared" si="27"/>
        <v>0</v>
      </c>
      <c r="M117" s="75">
        <f t="shared" si="27"/>
        <v>0</v>
      </c>
      <c r="N117" s="75">
        <f t="shared" si="27"/>
        <v>0</v>
      </c>
      <c r="O117" s="75">
        <f t="shared" si="27"/>
        <v>0</v>
      </c>
      <c r="P117" s="75">
        <f>SUM(D117:O117)</f>
        <v>0</v>
      </c>
      <c r="Q117" s="59"/>
      <c r="V117" s="67"/>
      <c r="W117" s="67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</row>
    <row r="118" spans="1:57" ht="6" customHeight="1" x14ac:dyDescent="0.2">
      <c r="A118" s="67"/>
      <c r="B118" s="756"/>
      <c r="R118" s="77"/>
      <c r="V118" s="67"/>
      <c r="W118" s="67"/>
      <c r="AQ118" s="80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</row>
    <row r="119" spans="1:57" x14ac:dyDescent="0.2">
      <c r="A119" s="66" t="s">
        <v>666</v>
      </c>
      <c r="B119" s="756"/>
      <c r="D119" s="70">
        <f>D117</f>
        <v>0</v>
      </c>
      <c r="E119" s="70">
        <f t="shared" ref="E119:O119" si="28">E117+D119</f>
        <v>0</v>
      </c>
      <c r="F119" s="70">
        <f t="shared" si="28"/>
        <v>0</v>
      </c>
      <c r="G119" s="70">
        <f t="shared" si="28"/>
        <v>0</v>
      </c>
      <c r="H119" s="70">
        <f t="shared" si="28"/>
        <v>0</v>
      </c>
      <c r="I119" s="70">
        <f t="shared" si="28"/>
        <v>0</v>
      </c>
      <c r="J119" s="70">
        <f t="shared" si="28"/>
        <v>0</v>
      </c>
      <c r="K119" s="70">
        <f t="shared" si="28"/>
        <v>0</v>
      </c>
      <c r="L119" s="70">
        <f t="shared" si="28"/>
        <v>0</v>
      </c>
      <c r="M119" s="70">
        <f t="shared" si="28"/>
        <v>0</v>
      </c>
      <c r="N119" s="70">
        <f t="shared" si="28"/>
        <v>0</v>
      </c>
      <c r="O119" s="70">
        <f t="shared" si="28"/>
        <v>0</v>
      </c>
      <c r="V119" s="67"/>
      <c r="W119" s="67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 spans="1:57" customFormat="1" x14ac:dyDescent="0.2">
      <c r="B120" s="759"/>
    </row>
    <row r="121" spans="1:57" customFormat="1" x14ac:dyDescent="0.2">
      <c r="B121" s="759"/>
    </row>
    <row r="122" spans="1:57" x14ac:dyDescent="0.2">
      <c r="A122" s="553" t="str">
        <f ca="1">A1</f>
        <v>P:\Finance\2002 Plan\[EMTW02PL.XLS]IncomeState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</row>
    <row r="123" spans="1:57" x14ac:dyDescent="0.2">
      <c r="A123" s="326" t="s">
        <v>734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</row>
    <row r="124" spans="1:57" x14ac:dyDescent="0.2">
      <c r="A124" s="340" t="str">
        <f>A3</f>
        <v>2002 OPERATING PLAN</v>
      </c>
      <c r="B124" s="754">
        <f ca="1">NOW()</f>
        <v>37189.6149224537</v>
      </c>
      <c r="C124" s="61" t="s">
        <v>735</v>
      </c>
      <c r="D124" s="61"/>
      <c r="E124" s="60"/>
      <c r="F124" s="60"/>
      <c r="G124" s="61"/>
      <c r="H124" s="61"/>
      <c r="I124" s="61"/>
      <c r="J124" s="60"/>
      <c r="K124" s="60"/>
      <c r="L124" s="60"/>
      <c r="M124" s="60"/>
      <c r="N124" s="60"/>
      <c r="O124" s="60"/>
      <c r="P124" s="91"/>
    </row>
    <row r="125" spans="1:57" ht="12.95" customHeight="1" x14ac:dyDescent="0.2">
      <c r="A125" s="62"/>
      <c r="B125" s="755">
        <f ca="1">NOW()</f>
        <v>37189.6149224537</v>
      </c>
      <c r="C125" s="324" t="str">
        <f t="shared" ref="C125:P125" si="29">C4</f>
        <v>BALANCE</v>
      </c>
      <c r="D125" s="324" t="str">
        <f t="shared" si="29"/>
        <v>JAN</v>
      </c>
      <c r="E125" s="324" t="str">
        <f t="shared" si="29"/>
        <v>FEB</v>
      </c>
      <c r="F125" s="324" t="str">
        <f t="shared" si="29"/>
        <v>MAR</v>
      </c>
      <c r="G125" s="324" t="str">
        <f t="shared" si="29"/>
        <v>APR</v>
      </c>
      <c r="H125" s="324" t="str">
        <f t="shared" si="29"/>
        <v>MAY</v>
      </c>
      <c r="I125" s="324" t="str">
        <f t="shared" si="29"/>
        <v>JUN</v>
      </c>
      <c r="J125" s="324" t="str">
        <f t="shared" si="29"/>
        <v>JUL</v>
      </c>
      <c r="K125" s="324" t="str">
        <f t="shared" si="29"/>
        <v>AUG</v>
      </c>
      <c r="L125" s="324" t="str">
        <f t="shared" si="29"/>
        <v>SEP</v>
      </c>
      <c r="M125" s="324" t="str">
        <f t="shared" si="29"/>
        <v>OCT</v>
      </c>
      <c r="N125" s="324" t="str">
        <f t="shared" si="29"/>
        <v>NOV</v>
      </c>
      <c r="O125" s="324" t="str">
        <f t="shared" si="29"/>
        <v>DEC</v>
      </c>
      <c r="P125" s="324">
        <f t="shared" si="29"/>
        <v>2002</v>
      </c>
    </row>
    <row r="126" spans="1:57" ht="3.95" customHeight="1" x14ac:dyDescent="0.2"/>
    <row r="127" spans="1:57" x14ac:dyDescent="0.2">
      <c r="A127" s="342" t="s">
        <v>736</v>
      </c>
      <c r="B127" s="94"/>
      <c r="C127" s="63" t="str">
        <f>C30</f>
        <v>12/31/99</v>
      </c>
    </row>
    <row r="128" spans="1:57" ht="3.95" customHeight="1" x14ac:dyDescent="0.2">
      <c r="A128" s="343"/>
      <c r="B128" s="762"/>
      <c r="C128" s="330"/>
    </row>
    <row r="129" spans="1:56" x14ac:dyDescent="0.2">
      <c r="A129" s="329" t="s">
        <v>657</v>
      </c>
      <c r="B129" s="762"/>
      <c r="C129" s="330"/>
      <c r="D129" s="70">
        <f t="shared" ref="D129:O129" si="30">C139</f>
        <v>0</v>
      </c>
      <c r="E129" s="70">
        <f t="shared" si="30"/>
        <v>0</v>
      </c>
      <c r="F129" s="70">
        <f t="shared" si="30"/>
        <v>0</v>
      </c>
      <c r="G129" s="70">
        <f t="shared" si="30"/>
        <v>0</v>
      </c>
      <c r="H129" s="70">
        <f t="shared" si="30"/>
        <v>0</v>
      </c>
      <c r="I129" s="70">
        <f t="shared" si="30"/>
        <v>0</v>
      </c>
      <c r="J129" s="70">
        <f t="shared" si="30"/>
        <v>0</v>
      </c>
      <c r="K129" s="70">
        <f t="shared" si="30"/>
        <v>0</v>
      </c>
      <c r="L129" s="70">
        <f t="shared" si="30"/>
        <v>0</v>
      </c>
      <c r="M129" s="70">
        <f t="shared" si="30"/>
        <v>0</v>
      </c>
      <c r="N129" s="70">
        <f t="shared" si="30"/>
        <v>0</v>
      </c>
      <c r="O129" s="70">
        <f t="shared" si="30"/>
        <v>0</v>
      </c>
      <c r="P129" s="70"/>
      <c r="Q129" s="70"/>
      <c r="R129" s="70"/>
      <c r="S129" s="70"/>
      <c r="T129" s="70"/>
      <c r="U129" s="70"/>
    </row>
    <row r="130" spans="1:56" ht="6" customHeight="1" x14ac:dyDescent="0.2">
      <c r="A130" s="330"/>
      <c r="B130" s="762"/>
      <c r="C130" s="33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</row>
    <row r="131" spans="1:56" x14ac:dyDescent="0.2">
      <c r="A131" s="68" t="s">
        <v>737</v>
      </c>
      <c r="B131" s="762"/>
      <c r="C131" s="330"/>
      <c r="D131" s="70">
        <f t="shared" ref="D131:O131" si="31">D93</f>
        <v>0</v>
      </c>
      <c r="E131" s="70">
        <f t="shared" si="31"/>
        <v>0</v>
      </c>
      <c r="F131" s="70">
        <f t="shared" si="31"/>
        <v>0</v>
      </c>
      <c r="G131" s="70">
        <f t="shared" si="31"/>
        <v>0</v>
      </c>
      <c r="H131" s="70">
        <f t="shared" si="31"/>
        <v>0</v>
      </c>
      <c r="I131" s="70">
        <f t="shared" si="31"/>
        <v>0</v>
      </c>
      <c r="J131" s="70">
        <f t="shared" si="31"/>
        <v>0</v>
      </c>
      <c r="K131" s="70">
        <f t="shared" si="31"/>
        <v>0</v>
      </c>
      <c r="L131" s="70">
        <f t="shared" si="31"/>
        <v>0</v>
      </c>
      <c r="M131" s="70">
        <f t="shared" si="31"/>
        <v>0</v>
      </c>
      <c r="N131" s="70">
        <f t="shared" si="31"/>
        <v>0</v>
      </c>
      <c r="O131" s="70">
        <f t="shared" si="31"/>
        <v>0</v>
      </c>
      <c r="P131" s="75">
        <f>SUM(D131:O131)</f>
        <v>0</v>
      </c>
      <c r="Q131" s="70"/>
      <c r="R131" s="70"/>
      <c r="S131" s="70"/>
      <c r="T131" s="70"/>
      <c r="U131" s="70"/>
    </row>
    <row r="132" spans="1:56" ht="6" customHeight="1" x14ac:dyDescent="0.2">
      <c r="A132" s="67"/>
      <c r="B132" s="756"/>
      <c r="C132" s="33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</row>
    <row r="133" spans="1:56" x14ac:dyDescent="0.2">
      <c r="A133" s="68" t="s">
        <v>732</v>
      </c>
      <c r="B133" s="762"/>
      <c r="C133" s="330"/>
      <c r="D133" s="69">
        <v>0</v>
      </c>
      <c r="E133" s="69">
        <v>0</v>
      </c>
      <c r="F133" s="69">
        <v>0</v>
      </c>
      <c r="G133" s="69">
        <v>0</v>
      </c>
      <c r="H133" s="69">
        <v>0</v>
      </c>
      <c r="I133" s="69">
        <v>0</v>
      </c>
      <c r="J133" s="69">
        <v>0</v>
      </c>
      <c r="K133" s="69">
        <v>0</v>
      </c>
      <c r="L133" s="69">
        <v>0</v>
      </c>
      <c r="M133" s="69">
        <v>0</v>
      </c>
      <c r="N133" s="69">
        <v>0</v>
      </c>
      <c r="O133" s="69">
        <v>0</v>
      </c>
      <c r="P133" s="75">
        <f>SUM(D133:O133)</f>
        <v>0</v>
      </c>
    </row>
    <row r="134" spans="1:56" ht="6" customHeight="1" x14ac:dyDescent="0.2">
      <c r="A134" s="330"/>
      <c r="B134" s="762"/>
      <c r="C134" s="330"/>
    </row>
    <row r="135" spans="1:56" x14ac:dyDescent="0.2">
      <c r="A135" s="68" t="s">
        <v>738</v>
      </c>
      <c r="B135" s="762"/>
      <c r="C135" s="330"/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75">
        <f>SUM(D135:O135)</f>
        <v>0</v>
      </c>
      <c r="Q135" s="70"/>
      <c r="R135" s="70"/>
      <c r="S135" s="70"/>
      <c r="T135" s="70"/>
    </row>
    <row r="136" spans="1:56" ht="6" customHeight="1" x14ac:dyDescent="0.2">
      <c r="A136" s="330"/>
      <c r="B136" s="762"/>
      <c r="C136" s="330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65"/>
    </row>
    <row r="137" spans="1:56" x14ac:dyDescent="0.2">
      <c r="A137" s="68" t="s">
        <v>693</v>
      </c>
      <c r="B137" s="762"/>
      <c r="C137" s="330"/>
      <c r="D137" s="72">
        <f t="shared" ref="D137:O137" si="32">D145</f>
        <v>0</v>
      </c>
      <c r="E137" s="72">
        <f t="shared" si="32"/>
        <v>0</v>
      </c>
      <c r="F137" s="72">
        <f t="shared" si="32"/>
        <v>0</v>
      </c>
      <c r="G137" s="72">
        <f t="shared" si="32"/>
        <v>0</v>
      </c>
      <c r="H137" s="72">
        <f t="shared" si="32"/>
        <v>0</v>
      </c>
      <c r="I137" s="72">
        <f t="shared" si="32"/>
        <v>0</v>
      </c>
      <c r="J137" s="72">
        <f t="shared" si="32"/>
        <v>0</v>
      </c>
      <c r="K137" s="72">
        <f t="shared" si="32"/>
        <v>0</v>
      </c>
      <c r="L137" s="72">
        <f t="shared" si="32"/>
        <v>0</v>
      </c>
      <c r="M137" s="72">
        <f t="shared" si="32"/>
        <v>0</v>
      </c>
      <c r="N137" s="72">
        <f t="shared" si="32"/>
        <v>0</v>
      </c>
      <c r="O137" s="72">
        <f t="shared" si="32"/>
        <v>0</v>
      </c>
      <c r="P137" s="88">
        <f>SUM(D137:O137)</f>
        <v>0</v>
      </c>
      <c r="Q137" s="70"/>
      <c r="R137" s="70"/>
      <c r="S137" s="70"/>
      <c r="T137" s="70"/>
      <c r="U137" s="70"/>
    </row>
    <row r="138" spans="1:56" ht="3.95" customHeight="1" x14ac:dyDescent="0.2">
      <c r="A138" s="330"/>
      <c r="B138" s="762"/>
      <c r="C138" s="33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</row>
    <row r="139" spans="1:56" x14ac:dyDescent="0.2">
      <c r="A139" s="329" t="s">
        <v>662</v>
      </c>
      <c r="B139" s="762"/>
      <c r="C139" s="254">
        <v>0</v>
      </c>
      <c r="D139" s="88">
        <f t="shared" ref="D139:P139" si="33">D129+D131+D133+D135+D137</f>
        <v>0</v>
      </c>
      <c r="E139" s="88">
        <f t="shared" si="33"/>
        <v>0</v>
      </c>
      <c r="F139" s="88">
        <f t="shared" si="33"/>
        <v>0</v>
      </c>
      <c r="G139" s="88">
        <f t="shared" si="33"/>
        <v>0</v>
      </c>
      <c r="H139" s="88">
        <f t="shared" si="33"/>
        <v>0</v>
      </c>
      <c r="I139" s="88">
        <f t="shared" si="33"/>
        <v>0</v>
      </c>
      <c r="J139" s="88">
        <f t="shared" si="33"/>
        <v>0</v>
      </c>
      <c r="K139" s="88">
        <f t="shared" si="33"/>
        <v>0</v>
      </c>
      <c r="L139" s="88">
        <f t="shared" si="33"/>
        <v>0</v>
      </c>
      <c r="M139" s="88">
        <f t="shared" si="33"/>
        <v>0</v>
      </c>
      <c r="N139" s="88">
        <f t="shared" si="33"/>
        <v>0</v>
      </c>
      <c r="O139" s="88">
        <f t="shared" si="33"/>
        <v>0</v>
      </c>
      <c r="P139" s="88">
        <f t="shared" si="33"/>
        <v>0</v>
      </c>
      <c r="Q139" s="70"/>
      <c r="R139" s="70"/>
      <c r="S139" s="70"/>
      <c r="T139" s="70"/>
      <c r="U139" s="70"/>
    </row>
    <row r="142" spans="1:56" x14ac:dyDescent="0.2">
      <c r="A142" s="68" t="s">
        <v>733</v>
      </c>
      <c r="B142" s="756"/>
      <c r="D142" s="100">
        <f t="shared" ref="D142:O142" si="34">D45</f>
        <v>9.0200000000000002E-2</v>
      </c>
      <c r="E142" s="100">
        <f t="shared" si="34"/>
        <v>9.0200000000000002E-2</v>
      </c>
      <c r="F142" s="100">
        <f t="shared" si="34"/>
        <v>9.0200000000000002E-2</v>
      </c>
      <c r="G142" s="100">
        <f t="shared" si="34"/>
        <v>9.0200000000000002E-2</v>
      </c>
      <c r="H142" s="100">
        <f t="shared" si="34"/>
        <v>9.0200000000000002E-2</v>
      </c>
      <c r="I142" s="100">
        <f t="shared" si="34"/>
        <v>9.0200000000000002E-2</v>
      </c>
      <c r="J142" s="100">
        <f t="shared" si="34"/>
        <v>9.0200000000000002E-2</v>
      </c>
      <c r="K142" s="100">
        <f t="shared" si="34"/>
        <v>9.0200000000000002E-2</v>
      </c>
      <c r="L142" s="100">
        <f t="shared" si="34"/>
        <v>9.0200000000000002E-2</v>
      </c>
      <c r="M142" s="100">
        <f t="shared" si="34"/>
        <v>9.0200000000000002E-2</v>
      </c>
      <c r="N142" s="100">
        <f t="shared" si="34"/>
        <v>9.0200000000000002E-2</v>
      </c>
      <c r="O142" s="100">
        <f t="shared" si="34"/>
        <v>9.0200000000000002E-2</v>
      </c>
    </row>
    <row r="143" spans="1:56" x14ac:dyDescent="0.2">
      <c r="A143" s="68" t="s">
        <v>664</v>
      </c>
      <c r="B143" s="756"/>
      <c r="D143" s="90">
        <f t="shared" ref="D143:O143" si="35">D46</f>
        <v>7.7000000000000002E-3</v>
      </c>
      <c r="E143" s="90">
        <f t="shared" si="35"/>
        <v>6.8999999999999999E-3</v>
      </c>
      <c r="F143" s="90">
        <f t="shared" si="35"/>
        <v>7.7000000000000002E-3</v>
      </c>
      <c r="G143" s="90">
        <f t="shared" si="35"/>
        <v>7.4000000000000003E-3</v>
      </c>
      <c r="H143" s="90">
        <f t="shared" si="35"/>
        <v>7.7000000000000002E-3</v>
      </c>
      <c r="I143" s="90">
        <f t="shared" si="35"/>
        <v>7.4000000000000003E-3</v>
      </c>
      <c r="J143" s="90">
        <f t="shared" si="35"/>
        <v>7.7000000000000002E-3</v>
      </c>
      <c r="K143" s="90">
        <f t="shared" si="35"/>
        <v>7.7000000000000002E-3</v>
      </c>
      <c r="L143" s="90">
        <f t="shared" si="35"/>
        <v>7.4000000000000003E-3</v>
      </c>
      <c r="M143" s="90">
        <f t="shared" si="35"/>
        <v>7.7000000000000002E-3</v>
      </c>
      <c r="N143" s="90">
        <f t="shared" si="35"/>
        <v>7.4000000000000003E-3</v>
      </c>
      <c r="O143" s="90">
        <f t="shared" si="35"/>
        <v>7.7000000000000002E-3</v>
      </c>
    </row>
    <row r="144" spans="1:56" ht="12.75" customHeight="1" x14ac:dyDescent="0.2">
      <c r="A144" s="67"/>
      <c r="B144" s="756"/>
    </row>
    <row r="145" spans="1:56" x14ac:dyDescent="0.2">
      <c r="A145" s="66" t="s">
        <v>739</v>
      </c>
      <c r="B145" s="757"/>
      <c r="C145" s="59"/>
      <c r="D145" s="75">
        <f t="shared" ref="D145:O145" si="36">ROUND(C139*D143,0)</f>
        <v>0</v>
      </c>
      <c r="E145" s="75">
        <f t="shared" si="36"/>
        <v>0</v>
      </c>
      <c r="F145" s="75">
        <f t="shared" si="36"/>
        <v>0</v>
      </c>
      <c r="G145" s="75">
        <f t="shared" si="36"/>
        <v>0</v>
      </c>
      <c r="H145" s="75">
        <f t="shared" si="36"/>
        <v>0</v>
      </c>
      <c r="I145" s="75">
        <f t="shared" si="36"/>
        <v>0</v>
      </c>
      <c r="J145" s="75">
        <f t="shared" si="36"/>
        <v>0</v>
      </c>
      <c r="K145" s="75">
        <f t="shared" si="36"/>
        <v>0</v>
      </c>
      <c r="L145" s="75">
        <f t="shared" si="36"/>
        <v>0</v>
      </c>
      <c r="M145" s="75">
        <f t="shared" si="36"/>
        <v>0</v>
      </c>
      <c r="N145" s="75">
        <f t="shared" si="36"/>
        <v>0</v>
      </c>
      <c r="O145" s="75">
        <f t="shared" si="36"/>
        <v>0</v>
      </c>
      <c r="P145" s="75">
        <f>SUM(D145:O145)</f>
        <v>0</v>
      </c>
    </row>
    <row r="146" spans="1:56" ht="6" customHeight="1" x14ac:dyDescent="0.2">
      <c r="A146" s="67"/>
      <c r="B146" s="756"/>
    </row>
    <row r="147" spans="1:56" x14ac:dyDescent="0.2">
      <c r="A147" s="66" t="s">
        <v>666</v>
      </c>
      <c r="B147" s="756"/>
      <c r="D147" s="70">
        <f>D145</f>
        <v>0</v>
      </c>
      <c r="E147" s="70">
        <f t="shared" ref="E147:O147" si="37">E145+D147</f>
        <v>0</v>
      </c>
      <c r="F147" s="70">
        <f t="shared" si="37"/>
        <v>0</v>
      </c>
      <c r="G147" s="70">
        <f t="shared" si="37"/>
        <v>0</v>
      </c>
      <c r="H147" s="70">
        <f t="shared" si="37"/>
        <v>0</v>
      </c>
      <c r="I147" s="70">
        <f t="shared" si="37"/>
        <v>0</v>
      </c>
      <c r="J147" s="70">
        <f t="shared" si="37"/>
        <v>0</v>
      </c>
      <c r="K147" s="70">
        <f t="shared" si="37"/>
        <v>0</v>
      </c>
      <c r="L147" s="70">
        <f t="shared" si="37"/>
        <v>0</v>
      </c>
      <c r="M147" s="70">
        <f t="shared" si="37"/>
        <v>0</v>
      </c>
      <c r="N147" s="70">
        <f t="shared" si="37"/>
        <v>0</v>
      </c>
      <c r="O147" s="70">
        <f t="shared" si="37"/>
        <v>0</v>
      </c>
    </row>
    <row r="150" spans="1:56" customFormat="1" x14ac:dyDescent="0.2">
      <c r="B150" s="759"/>
    </row>
    <row r="151" spans="1:56" customFormat="1" x14ac:dyDescent="0.2">
      <c r="B151" s="759"/>
    </row>
    <row r="152" spans="1:56" customFormat="1" x14ac:dyDescent="0.2">
      <c r="B152" s="759"/>
    </row>
    <row r="153" spans="1:56" x14ac:dyDescent="0.2">
      <c r="AQ153" s="80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</row>
    <row r="154" spans="1:56" x14ac:dyDescent="0.2">
      <c r="A154" s="553" t="str">
        <f ca="1">A1</f>
        <v>P:\Finance\2002 Plan\[EMTW02PL.XLS]IncomeState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</row>
    <row r="155" spans="1:56" x14ac:dyDescent="0.2">
      <c r="A155" s="326" t="s">
        <v>740</v>
      </c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</row>
    <row r="156" spans="1:56" x14ac:dyDescent="0.2">
      <c r="A156" s="340" t="str">
        <f>A3</f>
        <v>2002 OPERATING PLAN</v>
      </c>
      <c r="B156" s="754">
        <f ca="1">NOW()</f>
        <v>37189.6149224537</v>
      </c>
      <c r="C156" s="61" t="s">
        <v>741</v>
      </c>
      <c r="D156" s="61"/>
      <c r="E156" s="60"/>
      <c r="F156" s="60"/>
      <c r="G156" s="61"/>
      <c r="H156" s="61"/>
      <c r="I156" s="61"/>
      <c r="J156" s="60"/>
      <c r="K156" s="60"/>
      <c r="L156" s="60"/>
      <c r="M156" s="60"/>
      <c r="N156" s="60"/>
      <c r="O156" s="60"/>
      <c r="P156" s="91"/>
    </row>
    <row r="157" spans="1:56" ht="12.95" customHeight="1" x14ac:dyDescent="0.2">
      <c r="A157" s="62"/>
      <c r="B157" s="755">
        <f ca="1">NOW()</f>
        <v>37189.6149224537</v>
      </c>
      <c r="C157" s="324" t="str">
        <f t="shared" ref="C157:P157" si="38">C4</f>
        <v>BALANCE</v>
      </c>
      <c r="D157" s="324" t="str">
        <f t="shared" si="38"/>
        <v>JAN</v>
      </c>
      <c r="E157" s="324" t="str">
        <f t="shared" si="38"/>
        <v>FEB</v>
      </c>
      <c r="F157" s="324" t="str">
        <f t="shared" si="38"/>
        <v>MAR</v>
      </c>
      <c r="G157" s="324" t="str">
        <f t="shared" si="38"/>
        <v>APR</v>
      </c>
      <c r="H157" s="324" t="str">
        <f t="shared" si="38"/>
        <v>MAY</v>
      </c>
      <c r="I157" s="324" t="str">
        <f t="shared" si="38"/>
        <v>JUN</v>
      </c>
      <c r="J157" s="324" t="str">
        <f t="shared" si="38"/>
        <v>JUL</v>
      </c>
      <c r="K157" s="324" t="str">
        <f t="shared" si="38"/>
        <v>AUG</v>
      </c>
      <c r="L157" s="324" t="str">
        <f t="shared" si="38"/>
        <v>SEP</v>
      </c>
      <c r="M157" s="324" t="str">
        <f t="shared" si="38"/>
        <v>OCT</v>
      </c>
      <c r="N157" s="324" t="str">
        <f t="shared" si="38"/>
        <v>NOV</v>
      </c>
      <c r="O157" s="324" t="str">
        <f t="shared" si="38"/>
        <v>DEC</v>
      </c>
      <c r="P157" s="324">
        <f t="shared" si="38"/>
        <v>2002</v>
      </c>
    </row>
    <row r="158" spans="1:56" ht="3.95" customHeight="1" x14ac:dyDescent="0.2"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59"/>
    </row>
    <row r="159" spans="1:56" x14ac:dyDescent="0.2">
      <c r="A159" s="335" t="s">
        <v>742</v>
      </c>
      <c r="B159" s="756"/>
    </row>
    <row r="160" spans="1:56" x14ac:dyDescent="0.2">
      <c r="A160" s="68" t="s">
        <v>642</v>
      </c>
      <c r="B160" s="756"/>
      <c r="D160" s="70">
        <f t="shared" ref="D160:O160" si="39">D59</f>
        <v>0</v>
      </c>
      <c r="E160" s="70">
        <f t="shared" si="39"/>
        <v>0</v>
      </c>
      <c r="F160" s="70">
        <f t="shared" si="39"/>
        <v>0</v>
      </c>
      <c r="G160" s="70">
        <f t="shared" si="39"/>
        <v>0</v>
      </c>
      <c r="H160" s="70">
        <f t="shared" si="39"/>
        <v>0</v>
      </c>
      <c r="I160" s="70">
        <f t="shared" si="39"/>
        <v>0</v>
      </c>
      <c r="J160" s="70">
        <f t="shared" si="39"/>
        <v>0</v>
      </c>
      <c r="K160" s="70">
        <f t="shared" si="39"/>
        <v>0</v>
      </c>
      <c r="L160" s="70">
        <f t="shared" si="39"/>
        <v>0</v>
      </c>
      <c r="M160" s="70">
        <f t="shared" si="39"/>
        <v>0</v>
      </c>
      <c r="N160" s="70">
        <f t="shared" si="39"/>
        <v>0</v>
      </c>
      <c r="O160" s="70">
        <f t="shared" si="39"/>
        <v>0</v>
      </c>
      <c r="P160" s="70">
        <f>SUM(D160:O160)</f>
        <v>0</v>
      </c>
    </row>
    <row r="161" spans="1:17" x14ac:dyDescent="0.2">
      <c r="A161" s="336" t="s">
        <v>703</v>
      </c>
      <c r="D161" s="70">
        <f t="shared" ref="D161:O161" si="40">D60</f>
        <v>0</v>
      </c>
      <c r="E161" s="70">
        <f t="shared" si="40"/>
        <v>0</v>
      </c>
      <c r="F161" s="70">
        <f t="shared" si="40"/>
        <v>0</v>
      </c>
      <c r="G161" s="70">
        <f t="shared" si="40"/>
        <v>0</v>
      </c>
      <c r="H161" s="70">
        <f t="shared" si="40"/>
        <v>0</v>
      </c>
      <c r="I161" s="70">
        <f t="shared" si="40"/>
        <v>0</v>
      </c>
      <c r="J161" s="70">
        <f t="shared" si="40"/>
        <v>0</v>
      </c>
      <c r="K161" s="70">
        <f t="shared" si="40"/>
        <v>0</v>
      </c>
      <c r="L161" s="70">
        <f t="shared" si="40"/>
        <v>0</v>
      </c>
      <c r="M161" s="70">
        <f t="shared" si="40"/>
        <v>0</v>
      </c>
      <c r="N161" s="70">
        <f t="shared" si="40"/>
        <v>0</v>
      </c>
      <c r="O161" s="70">
        <f t="shared" si="40"/>
        <v>0</v>
      </c>
      <c r="P161" s="70">
        <f>SUM(D161:O161)</f>
        <v>0</v>
      </c>
    </row>
    <row r="162" spans="1:17" x14ac:dyDescent="0.2">
      <c r="A162" s="336" t="s">
        <v>704</v>
      </c>
      <c r="D162" s="72">
        <f t="shared" ref="D162:O162" si="41">D61</f>
        <v>0</v>
      </c>
      <c r="E162" s="72">
        <f t="shared" si="41"/>
        <v>0</v>
      </c>
      <c r="F162" s="72">
        <f t="shared" si="41"/>
        <v>0</v>
      </c>
      <c r="G162" s="72">
        <f t="shared" si="41"/>
        <v>0</v>
      </c>
      <c r="H162" s="72">
        <f t="shared" si="41"/>
        <v>0</v>
      </c>
      <c r="I162" s="72">
        <f t="shared" si="41"/>
        <v>0</v>
      </c>
      <c r="J162" s="72">
        <f t="shared" si="41"/>
        <v>0</v>
      </c>
      <c r="K162" s="72">
        <f t="shared" si="41"/>
        <v>0</v>
      </c>
      <c r="L162" s="72">
        <f t="shared" si="41"/>
        <v>0</v>
      </c>
      <c r="M162" s="72">
        <f t="shared" si="41"/>
        <v>0</v>
      </c>
      <c r="N162" s="72">
        <f t="shared" si="41"/>
        <v>0</v>
      </c>
      <c r="O162" s="72">
        <f t="shared" si="41"/>
        <v>0</v>
      </c>
      <c r="P162" s="72">
        <f>SUM(D162:O162)</f>
        <v>0</v>
      </c>
    </row>
    <row r="163" spans="1:17" ht="3.95" customHeight="1" x14ac:dyDescent="0.2">
      <c r="A163" s="80"/>
    </row>
    <row r="164" spans="1:17" x14ac:dyDescent="0.2">
      <c r="A164" s="68" t="s">
        <v>645</v>
      </c>
      <c r="B164" s="756"/>
      <c r="D164" s="70">
        <f t="shared" ref="D164:O164" si="42">D160+D161+D162</f>
        <v>0</v>
      </c>
      <c r="E164" s="70">
        <f t="shared" si="42"/>
        <v>0</v>
      </c>
      <c r="F164" s="70">
        <f t="shared" si="42"/>
        <v>0</v>
      </c>
      <c r="G164" s="70">
        <f t="shared" si="42"/>
        <v>0</v>
      </c>
      <c r="H164" s="70">
        <f t="shared" si="42"/>
        <v>0</v>
      </c>
      <c r="I164" s="70">
        <f t="shared" si="42"/>
        <v>0</v>
      </c>
      <c r="J164" s="70">
        <f t="shared" si="42"/>
        <v>0</v>
      </c>
      <c r="K164" s="70">
        <f t="shared" si="42"/>
        <v>0</v>
      </c>
      <c r="L164" s="70">
        <f t="shared" si="42"/>
        <v>0</v>
      </c>
      <c r="M164" s="70">
        <f t="shared" si="42"/>
        <v>0</v>
      </c>
      <c r="N164" s="70">
        <f t="shared" si="42"/>
        <v>0</v>
      </c>
      <c r="O164" s="70">
        <f t="shared" si="42"/>
        <v>0</v>
      </c>
      <c r="P164" s="70">
        <f>SUM(D164:O164)</f>
        <v>0</v>
      </c>
    </row>
    <row r="165" spans="1:17" ht="3.95" customHeight="1" x14ac:dyDescent="0.2">
      <c r="A165" s="330"/>
    </row>
    <row r="166" spans="1:17" x14ac:dyDescent="0.2">
      <c r="A166" s="336" t="s">
        <v>743</v>
      </c>
      <c r="B166" s="756"/>
      <c r="D166" s="73">
        <f t="shared" ref="D166:P166" si="43">IF(D164=0,0,ROUND(D168/D164,4))</f>
        <v>0</v>
      </c>
      <c r="E166" s="73">
        <f t="shared" si="43"/>
        <v>0</v>
      </c>
      <c r="F166" s="73">
        <f t="shared" si="43"/>
        <v>0</v>
      </c>
      <c r="G166" s="73">
        <f t="shared" si="43"/>
        <v>0</v>
      </c>
      <c r="H166" s="73">
        <f t="shared" si="43"/>
        <v>0</v>
      </c>
      <c r="I166" s="73">
        <f t="shared" si="43"/>
        <v>0</v>
      </c>
      <c r="J166" s="73">
        <f t="shared" si="43"/>
        <v>0</v>
      </c>
      <c r="K166" s="73">
        <f t="shared" si="43"/>
        <v>0</v>
      </c>
      <c r="L166" s="73">
        <f t="shared" si="43"/>
        <v>0</v>
      </c>
      <c r="M166" s="73">
        <f t="shared" si="43"/>
        <v>0</v>
      </c>
      <c r="N166" s="73">
        <f t="shared" si="43"/>
        <v>0</v>
      </c>
      <c r="O166" s="73">
        <f t="shared" si="43"/>
        <v>0</v>
      </c>
      <c r="P166" s="73">
        <f t="shared" si="43"/>
        <v>0</v>
      </c>
    </row>
    <row r="167" spans="1:17" ht="3.95" customHeight="1" x14ac:dyDescent="0.2">
      <c r="A167" s="330"/>
    </row>
    <row r="168" spans="1:17" x14ac:dyDescent="0.2">
      <c r="A168" s="335" t="s">
        <v>744</v>
      </c>
      <c r="B168" s="757"/>
      <c r="C168" s="59"/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75">
        <f>SUM(D168:O168)</f>
        <v>0</v>
      </c>
      <c r="Q168" s="77"/>
    </row>
    <row r="169" spans="1:17" ht="8.1" customHeight="1" x14ac:dyDescent="0.2">
      <c r="A169" s="67"/>
      <c r="B169" s="756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</row>
    <row r="170" spans="1:17" x14ac:dyDescent="0.2">
      <c r="A170" s="335" t="s">
        <v>745</v>
      </c>
      <c r="B170" s="757"/>
      <c r="C170" s="59"/>
      <c r="D170" s="256">
        <v>0</v>
      </c>
      <c r="E170" s="256">
        <v>0</v>
      </c>
      <c r="F170" s="256">
        <v>0</v>
      </c>
      <c r="G170" s="256">
        <v>0</v>
      </c>
      <c r="H170" s="256">
        <v>0</v>
      </c>
      <c r="I170" s="256">
        <v>0</v>
      </c>
      <c r="J170" s="256">
        <v>0</v>
      </c>
      <c r="K170" s="256">
        <v>0</v>
      </c>
      <c r="L170" s="256">
        <v>0</v>
      </c>
      <c r="M170" s="256">
        <v>0</v>
      </c>
      <c r="N170" s="256">
        <v>0</v>
      </c>
      <c r="O170" s="256">
        <v>0</v>
      </c>
      <c r="P170" s="88">
        <f>SUM(D170:O170)</f>
        <v>0</v>
      </c>
      <c r="Q170" s="81"/>
    </row>
    <row r="171" spans="1:17" ht="6" customHeight="1" x14ac:dyDescent="0.2">
      <c r="Q171" s="77"/>
    </row>
    <row r="172" spans="1:17" x14ac:dyDescent="0.2">
      <c r="A172" s="68" t="s">
        <v>687</v>
      </c>
      <c r="B172" s="756"/>
      <c r="D172" s="70">
        <f t="shared" ref="D172:O172" si="44">D168-D170</f>
        <v>0</v>
      </c>
      <c r="E172" s="70">
        <f t="shared" si="44"/>
        <v>0</v>
      </c>
      <c r="F172" s="70">
        <f t="shared" si="44"/>
        <v>0</v>
      </c>
      <c r="G172" s="70">
        <f t="shared" si="44"/>
        <v>0</v>
      </c>
      <c r="H172" s="70">
        <f t="shared" si="44"/>
        <v>0</v>
      </c>
      <c r="I172" s="70">
        <f t="shared" si="44"/>
        <v>0</v>
      </c>
      <c r="J172" s="70">
        <f t="shared" si="44"/>
        <v>0</v>
      </c>
      <c r="K172" s="70">
        <f t="shared" si="44"/>
        <v>0</v>
      </c>
      <c r="L172" s="70">
        <f t="shared" si="44"/>
        <v>0</v>
      </c>
      <c r="M172" s="70">
        <f t="shared" si="44"/>
        <v>0</v>
      </c>
      <c r="N172" s="70">
        <f t="shared" si="44"/>
        <v>0</v>
      </c>
      <c r="O172" s="70">
        <f t="shared" si="44"/>
        <v>0</v>
      </c>
      <c r="P172" s="70">
        <f>SUM(D172:O172)</f>
        <v>0</v>
      </c>
    </row>
    <row r="173" spans="1:17" x14ac:dyDescent="0.2">
      <c r="A173" s="78" t="s">
        <v>623</v>
      </c>
      <c r="D173" s="69">
        <v>0</v>
      </c>
      <c r="E173" s="69">
        <v>0</v>
      </c>
      <c r="F173" s="69">
        <v>0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0</v>
      </c>
      <c r="P173" s="70">
        <f>SUM(D173:O173)</f>
        <v>0</v>
      </c>
    </row>
    <row r="174" spans="1:17" x14ac:dyDescent="0.2">
      <c r="A174" s="78" t="s">
        <v>623</v>
      </c>
      <c r="D174" s="69">
        <v>0</v>
      </c>
      <c r="E174" s="69">
        <v>0</v>
      </c>
      <c r="F174" s="69">
        <v>0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0</v>
      </c>
      <c r="M174" s="69">
        <v>0</v>
      </c>
      <c r="N174" s="69">
        <v>0</v>
      </c>
      <c r="O174" s="69">
        <v>0</v>
      </c>
      <c r="P174" s="70">
        <f>SUM(D174:O174)</f>
        <v>0</v>
      </c>
    </row>
    <row r="175" spans="1:17" x14ac:dyDescent="0.2">
      <c r="A175" s="68" t="s">
        <v>653</v>
      </c>
      <c r="D175" s="257">
        <v>0</v>
      </c>
      <c r="E175" s="257">
        <v>0</v>
      </c>
      <c r="F175" s="257">
        <v>0</v>
      </c>
      <c r="G175" s="257">
        <v>0</v>
      </c>
      <c r="H175" s="257">
        <v>0</v>
      </c>
      <c r="I175" s="257">
        <v>0</v>
      </c>
      <c r="J175" s="257">
        <v>0</v>
      </c>
      <c r="K175" s="257">
        <v>0</v>
      </c>
      <c r="L175" s="257">
        <v>0</v>
      </c>
      <c r="M175" s="257">
        <v>0</v>
      </c>
      <c r="N175" s="257">
        <v>0</v>
      </c>
      <c r="O175" s="257">
        <v>0</v>
      </c>
      <c r="P175" s="72">
        <f>SUM(D175:O175)</f>
        <v>0</v>
      </c>
    </row>
    <row r="176" spans="1:17" ht="6.95" customHeight="1" x14ac:dyDescent="0.2"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</row>
    <row r="177" spans="1:17" x14ac:dyDescent="0.2">
      <c r="A177" s="331" t="s">
        <v>654</v>
      </c>
      <c r="B177" s="760"/>
      <c r="C177" s="59"/>
      <c r="D177" s="75">
        <f t="shared" ref="D177:O177" si="45">SUM(D172:D175)</f>
        <v>0</v>
      </c>
      <c r="E177" s="75">
        <f t="shared" si="45"/>
        <v>0</v>
      </c>
      <c r="F177" s="75">
        <f t="shared" si="45"/>
        <v>0</v>
      </c>
      <c r="G177" s="75">
        <f t="shared" si="45"/>
        <v>0</v>
      </c>
      <c r="H177" s="75">
        <f t="shared" si="45"/>
        <v>0</v>
      </c>
      <c r="I177" s="75">
        <f t="shared" si="45"/>
        <v>0</v>
      </c>
      <c r="J177" s="75">
        <f t="shared" si="45"/>
        <v>0</v>
      </c>
      <c r="K177" s="75">
        <f t="shared" si="45"/>
        <v>0</v>
      </c>
      <c r="L177" s="75">
        <f t="shared" si="45"/>
        <v>0</v>
      </c>
      <c r="M177" s="75">
        <f t="shared" si="45"/>
        <v>0</v>
      </c>
      <c r="N177" s="75">
        <f t="shared" si="45"/>
        <v>0</v>
      </c>
      <c r="O177" s="75">
        <f t="shared" si="45"/>
        <v>0</v>
      </c>
      <c r="P177" s="75">
        <f>SUM(D177:O177)</f>
        <v>0</v>
      </c>
      <c r="Q177" s="59"/>
    </row>
    <row r="178" spans="1:17" ht="8.1" customHeight="1" x14ac:dyDescent="0.2">
      <c r="A178" s="67"/>
      <c r="B178" s="756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7"/>
    </row>
    <row r="179" spans="1:17" x14ac:dyDescent="0.2">
      <c r="A179" s="335" t="s">
        <v>746</v>
      </c>
      <c r="B179" s="757"/>
      <c r="C179" s="59"/>
      <c r="D179" s="75">
        <f t="shared" ref="D179:O179" si="46">-1*D177</f>
        <v>0</v>
      </c>
      <c r="E179" s="75">
        <f t="shared" si="46"/>
        <v>0</v>
      </c>
      <c r="F179" s="75">
        <f t="shared" si="46"/>
        <v>0</v>
      </c>
      <c r="G179" s="75">
        <f t="shared" si="46"/>
        <v>0</v>
      </c>
      <c r="H179" s="75">
        <f t="shared" si="46"/>
        <v>0</v>
      </c>
      <c r="I179" s="75">
        <f t="shared" si="46"/>
        <v>0</v>
      </c>
      <c r="J179" s="75">
        <f t="shared" si="46"/>
        <v>0</v>
      </c>
      <c r="K179" s="75">
        <f t="shared" si="46"/>
        <v>0</v>
      </c>
      <c r="L179" s="75">
        <f t="shared" si="46"/>
        <v>0</v>
      </c>
      <c r="M179" s="75">
        <f t="shared" si="46"/>
        <v>0</v>
      </c>
      <c r="N179" s="75">
        <f t="shared" si="46"/>
        <v>0</v>
      </c>
      <c r="O179" s="75">
        <f t="shared" si="46"/>
        <v>0</v>
      </c>
      <c r="P179" s="75">
        <f>SUM(D179:O179)</f>
        <v>0</v>
      </c>
    </row>
    <row r="180" spans="1:17" x14ac:dyDescent="0.2">
      <c r="A180" s="67"/>
      <c r="B180" s="756"/>
    </row>
    <row r="181" spans="1:17" x14ac:dyDescent="0.2">
      <c r="A181" s="82"/>
      <c r="B181" s="758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</row>
    <row r="183" spans="1:17" x14ac:dyDescent="0.2">
      <c r="A183" s="344" t="s">
        <v>747</v>
      </c>
      <c r="B183" s="756"/>
      <c r="C183" s="345" t="str">
        <f>C30</f>
        <v>12/31/99</v>
      </c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59"/>
    </row>
    <row r="184" spans="1:17" ht="3.95" customHeight="1" x14ac:dyDescent="0.2">
      <c r="A184" s="67"/>
      <c r="B184" s="756"/>
      <c r="C184" s="33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</row>
    <row r="185" spans="1:17" x14ac:dyDescent="0.2">
      <c r="A185" s="329" t="s">
        <v>657</v>
      </c>
      <c r="B185" s="756"/>
      <c r="C185" s="330"/>
      <c r="D185" s="69">
        <f t="shared" ref="D185:O185" si="47">C195</f>
        <v>0</v>
      </c>
      <c r="E185" s="69">
        <f t="shared" si="47"/>
        <v>0</v>
      </c>
      <c r="F185" s="69">
        <f t="shared" si="47"/>
        <v>0</v>
      </c>
      <c r="G185" s="69">
        <f t="shared" si="47"/>
        <v>0</v>
      </c>
      <c r="H185" s="69">
        <f t="shared" si="47"/>
        <v>0</v>
      </c>
      <c r="I185" s="69">
        <f t="shared" si="47"/>
        <v>0</v>
      </c>
      <c r="J185" s="69">
        <f t="shared" si="47"/>
        <v>0</v>
      </c>
      <c r="K185" s="69">
        <f t="shared" si="47"/>
        <v>0</v>
      </c>
      <c r="L185" s="69">
        <f t="shared" si="47"/>
        <v>0</v>
      </c>
      <c r="M185" s="69">
        <f t="shared" si="47"/>
        <v>0</v>
      </c>
      <c r="N185" s="69">
        <f t="shared" si="47"/>
        <v>0</v>
      </c>
      <c r="O185" s="69">
        <f t="shared" si="47"/>
        <v>0</v>
      </c>
      <c r="P185" s="70"/>
      <c r="Q185" s="77"/>
    </row>
    <row r="186" spans="1:17" ht="6" customHeight="1" x14ac:dyDescent="0.2">
      <c r="A186" s="330"/>
      <c r="B186" s="762"/>
      <c r="C186" s="330"/>
    </row>
    <row r="187" spans="1:17" x14ac:dyDescent="0.2">
      <c r="A187" s="78" t="s">
        <v>730</v>
      </c>
      <c r="B187" s="94"/>
      <c r="C187" s="330"/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70">
        <f>SUM(D187:O187)</f>
        <v>0</v>
      </c>
    </row>
    <row r="188" spans="1:17" ht="6" customHeight="1" x14ac:dyDescent="0.2">
      <c r="A188" s="67"/>
      <c r="B188" s="756"/>
      <c r="C188" s="33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</row>
    <row r="189" spans="1:17" x14ac:dyDescent="0.2">
      <c r="A189" s="68" t="s">
        <v>659</v>
      </c>
      <c r="B189" s="756"/>
      <c r="C189" s="330"/>
      <c r="D189" s="70">
        <f t="shared" ref="D189:O189" si="48">D179</f>
        <v>0</v>
      </c>
      <c r="E189" s="70">
        <f t="shared" si="48"/>
        <v>0</v>
      </c>
      <c r="F189" s="70">
        <f t="shared" si="48"/>
        <v>0</v>
      </c>
      <c r="G189" s="70">
        <f t="shared" si="48"/>
        <v>0</v>
      </c>
      <c r="H189" s="70">
        <f t="shared" si="48"/>
        <v>0</v>
      </c>
      <c r="I189" s="70">
        <f t="shared" si="48"/>
        <v>0</v>
      </c>
      <c r="J189" s="70">
        <f t="shared" si="48"/>
        <v>0</v>
      </c>
      <c r="K189" s="70">
        <f t="shared" si="48"/>
        <v>0</v>
      </c>
      <c r="L189" s="70">
        <f t="shared" si="48"/>
        <v>0</v>
      </c>
      <c r="M189" s="70">
        <f t="shared" si="48"/>
        <v>0</v>
      </c>
      <c r="N189" s="70">
        <f t="shared" si="48"/>
        <v>0</v>
      </c>
      <c r="O189" s="70">
        <f t="shared" si="48"/>
        <v>0</v>
      </c>
      <c r="P189" s="70">
        <f>SUM(D189:O189)</f>
        <v>0</v>
      </c>
      <c r="Q189" s="77"/>
    </row>
    <row r="190" spans="1:17" ht="6" customHeight="1" x14ac:dyDescent="0.2">
      <c r="A190" s="67"/>
      <c r="B190" s="756"/>
      <c r="C190" s="33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</row>
    <row r="191" spans="1:17" x14ac:dyDescent="0.2">
      <c r="A191" s="336" t="s">
        <v>748</v>
      </c>
      <c r="B191" s="756"/>
      <c r="C191" s="330"/>
      <c r="D191" s="69">
        <v>0</v>
      </c>
      <c r="E191" s="69">
        <v>0</v>
      </c>
      <c r="F191" s="69">
        <v>0</v>
      </c>
      <c r="G191" s="69">
        <v>0</v>
      </c>
      <c r="H191" s="69">
        <v>0</v>
      </c>
      <c r="I191" s="69">
        <v>0</v>
      </c>
      <c r="J191" s="69">
        <v>0</v>
      </c>
      <c r="K191" s="69">
        <v>0</v>
      </c>
      <c r="L191" s="69">
        <v>0</v>
      </c>
      <c r="M191" s="69">
        <v>0</v>
      </c>
      <c r="N191" s="69">
        <v>0</v>
      </c>
      <c r="O191" s="69">
        <v>0</v>
      </c>
      <c r="P191" s="70">
        <f>SUM(D191:O191)</f>
        <v>0</v>
      </c>
      <c r="Q191" s="77"/>
    </row>
    <row r="192" spans="1:17" ht="6" customHeight="1" x14ac:dyDescent="0.2">
      <c r="A192" s="67"/>
      <c r="B192" s="756"/>
      <c r="C192" s="33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</row>
    <row r="193" spans="1:17" x14ac:dyDescent="0.2">
      <c r="A193" s="68" t="s">
        <v>693</v>
      </c>
      <c r="B193" s="756"/>
      <c r="C193" s="330"/>
      <c r="D193" s="71">
        <f t="shared" ref="D193:O193" si="49">D201</f>
        <v>0</v>
      </c>
      <c r="E193" s="71">
        <f t="shared" si="49"/>
        <v>0</v>
      </c>
      <c r="F193" s="71">
        <f t="shared" si="49"/>
        <v>0</v>
      </c>
      <c r="G193" s="71">
        <f t="shared" si="49"/>
        <v>0</v>
      </c>
      <c r="H193" s="71">
        <f t="shared" si="49"/>
        <v>0</v>
      </c>
      <c r="I193" s="71">
        <f t="shared" si="49"/>
        <v>0</v>
      </c>
      <c r="J193" s="71">
        <f t="shared" si="49"/>
        <v>0</v>
      </c>
      <c r="K193" s="71">
        <f t="shared" si="49"/>
        <v>0</v>
      </c>
      <c r="L193" s="71">
        <f t="shared" si="49"/>
        <v>0</v>
      </c>
      <c r="M193" s="71">
        <f t="shared" si="49"/>
        <v>0</v>
      </c>
      <c r="N193" s="71">
        <f t="shared" si="49"/>
        <v>0</v>
      </c>
      <c r="O193" s="71">
        <f t="shared" si="49"/>
        <v>0</v>
      </c>
      <c r="P193" s="72">
        <f>SUM(D193:O193)</f>
        <v>0</v>
      </c>
      <c r="Q193" s="99"/>
    </row>
    <row r="194" spans="1:17" ht="3.95" customHeight="1" x14ac:dyDescent="0.2">
      <c r="A194" s="67"/>
      <c r="B194" s="756"/>
      <c r="C194" s="33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</row>
    <row r="195" spans="1:17" x14ac:dyDescent="0.2">
      <c r="A195" s="329" t="s">
        <v>662</v>
      </c>
      <c r="B195" s="762"/>
      <c r="C195" s="254">
        <v>0</v>
      </c>
      <c r="D195" s="88">
        <f t="shared" ref="D195:O195" si="50">SUM(D185:D193)</f>
        <v>0</v>
      </c>
      <c r="E195" s="88">
        <f t="shared" si="50"/>
        <v>0</v>
      </c>
      <c r="F195" s="88">
        <f t="shared" si="50"/>
        <v>0</v>
      </c>
      <c r="G195" s="88">
        <f t="shared" si="50"/>
        <v>0</v>
      </c>
      <c r="H195" s="88">
        <f t="shared" si="50"/>
        <v>0</v>
      </c>
      <c r="I195" s="88">
        <f t="shared" si="50"/>
        <v>0</v>
      </c>
      <c r="J195" s="88">
        <f t="shared" si="50"/>
        <v>0</v>
      </c>
      <c r="K195" s="88">
        <f t="shared" si="50"/>
        <v>0</v>
      </c>
      <c r="L195" s="88">
        <f t="shared" si="50"/>
        <v>0</v>
      </c>
      <c r="M195" s="88">
        <f t="shared" si="50"/>
        <v>0</v>
      </c>
      <c r="N195" s="88">
        <f t="shared" si="50"/>
        <v>0</v>
      </c>
      <c r="O195" s="88">
        <f t="shared" si="50"/>
        <v>0</v>
      </c>
      <c r="P195" s="88">
        <f>SUM(P187:P193)+D185</f>
        <v>0</v>
      </c>
      <c r="Q195" s="77"/>
    </row>
    <row r="196" spans="1:17" x14ac:dyDescent="0.2">
      <c r="A196" s="67"/>
      <c r="B196" s="756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</row>
    <row r="198" spans="1:17" x14ac:dyDescent="0.2">
      <c r="A198" s="68" t="s">
        <v>733</v>
      </c>
      <c r="B198" s="756"/>
      <c r="D198" s="100">
        <f t="shared" ref="D198:O198" si="51">D45</f>
        <v>9.0200000000000002E-2</v>
      </c>
      <c r="E198" s="100">
        <f t="shared" si="51"/>
        <v>9.0200000000000002E-2</v>
      </c>
      <c r="F198" s="100">
        <f t="shared" si="51"/>
        <v>9.0200000000000002E-2</v>
      </c>
      <c r="G198" s="100">
        <f t="shared" si="51"/>
        <v>9.0200000000000002E-2</v>
      </c>
      <c r="H198" s="100">
        <f t="shared" si="51"/>
        <v>9.0200000000000002E-2</v>
      </c>
      <c r="I198" s="100">
        <f t="shared" si="51"/>
        <v>9.0200000000000002E-2</v>
      </c>
      <c r="J198" s="100">
        <f t="shared" si="51"/>
        <v>9.0200000000000002E-2</v>
      </c>
      <c r="K198" s="100">
        <f t="shared" si="51"/>
        <v>9.0200000000000002E-2</v>
      </c>
      <c r="L198" s="100">
        <f t="shared" si="51"/>
        <v>9.0200000000000002E-2</v>
      </c>
      <c r="M198" s="100">
        <f t="shared" si="51"/>
        <v>9.0200000000000002E-2</v>
      </c>
      <c r="N198" s="100">
        <f t="shared" si="51"/>
        <v>9.0200000000000002E-2</v>
      </c>
      <c r="O198" s="100">
        <f t="shared" si="51"/>
        <v>9.0200000000000002E-2</v>
      </c>
    </row>
    <row r="199" spans="1:17" x14ac:dyDescent="0.2">
      <c r="A199" s="68" t="s">
        <v>664</v>
      </c>
      <c r="B199" s="756"/>
      <c r="D199" s="90">
        <f t="shared" ref="D199:O199" si="52">D46</f>
        <v>7.7000000000000002E-3</v>
      </c>
      <c r="E199" s="90">
        <f t="shared" si="52"/>
        <v>6.8999999999999999E-3</v>
      </c>
      <c r="F199" s="90">
        <f t="shared" si="52"/>
        <v>7.7000000000000002E-3</v>
      </c>
      <c r="G199" s="90">
        <f t="shared" si="52"/>
        <v>7.4000000000000003E-3</v>
      </c>
      <c r="H199" s="90">
        <f t="shared" si="52"/>
        <v>7.7000000000000002E-3</v>
      </c>
      <c r="I199" s="90">
        <f t="shared" si="52"/>
        <v>7.4000000000000003E-3</v>
      </c>
      <c r="J199" s="90">
        <f t="shared" si="52"/>
        <v>7.7000000000000002E-3</v>
      </c>
      <c r="K199" s="90">
        <f t="shared" si="52"/>
        <v>7.7000000000000002E-3</v>
      </c>
      <c r="L199" s="90">
        <f t="shared" si="52"/>
        <v>7.4000000000000003E-3</v>
      </c>
      <c r="M199" s="90">
        <f t="shared" si="52"/>
        <v>7.7000000000000002E-3</v>
      </c>
      <c r="N199" s="90">
        <f t="shared" si="52"/>
        <v>7.4000000000000003E-3</v>
      </c>
      <c r="O199" s="90">
        <f t="shared" si="52"/>
        <v>7.7000000000000002E-3</v>
      </c>
      <c r="Q199" s="102"/>
    </row>
    <row r="200" spans="1:17" ht="12.75" customHeight="1" x14ac:dyDescent="0.2">
      <c r="A200" s="67"/>
      <c r="B200" s="756"/>
    </row>
    <row r="201" spans="1:17" x14ac:dyDescent="0.2">
      <c r="A201" s="66" t="s">
        <v>665</v>
      </c>
      <c r="B201" s="757"/>
      <c r="C201" s="59"/>
      <c r="D201" s="75">
        <f t="shared" ref="D201:O201" si="53">ROUND(C195*D199,0)</f>
        <v>0</v>
      </c>
      <c r="E201" s="75">
        <f t="shared" si="53"/>
        <v>0</v>
      </c>
      <c r="F201" s="75">
        <f t="shared" si="53"/>
        <v>0</v>
      </c>
      <c r="G201" s="75">
        <f t="shared" si="53"/>
        <v>0</v>
      </c>
      <c r="H201" s="75">
        <f t="shared" si="53"/>
        <v>0</v>
      </c>
      <c r="I201" s="75">
        <f t="shared" si="53"/>
        <v>0</v>
      </c>
      <c r="J201" s="75">
        <f t="shared" si="53"/>
        <v>0</v>
      </c>
      <c r="K201" s="75">
        <f t="shared" si="53"/>
        <v>0</v>
      </c>
      <c r="L201" s="75">
        <f t="shared" si="53"/>
        <v>0</v>
      </c>
      <c r="M201" s="75">
        <f t="shared" si="53"/>
        <v>0</v>
      </c>
      <c r="N201" s="75">
        <f t="shared" si="53"/>
        <v>0</v>
      </c>
      <c r="O201" s="75">
        <f t="shared" si="53"/>
        <v>0</v>
      </c>
      <c r="P201" s="75">
        <f>SUM(D201:O201)</f>
        <v>0</v>
      </c>
      <c r="Q201" s="59"/>
    </row>
    <row r="202" spans="1:17" ht="6" customHeight="1" x14ac:dyDescent="0.2">
      <c r="A202" s="67"/>
      <c r="B202" s="756"/>
    </row>
    <row r="203" spans="1:17" x14ac:dyDescent="0.2">
      <c r="A203" s="66" t="s">
        <v>666</v>
      </c>
      <c r="B203" s="756"/>
      <c r="D203" s="70">
        <f>D201</f>
        <v>0</v>
      </c>
      <c r="E203" s="70">
        <f t="shared" ref="E203:O203" si="54">E201+D203</f>
        <v>0</v>
      </c>
      <c r="F203" s="70">
        <f t="shared" si="54"/>
        <v>0</v>
      </c>
      <c r="G203" s="70">
        <f t="shared" si="54"/>
        <v>0</v>
      </c>
      <c r="H203" s="70">
        <f t="shared" si="54"/>
        <v>0</v>
      </c>
      <c r="I203" s="70">
        <f t="shared" si="54"/>
        <v>0</v>
      </c>
      <c r="J203" s="70">
        <f t="shared" si="54"/>
        <v>0</v>
      </c>
      <c r="K203" s="70">
        <f t="shared" si="54"/>
        <v>0</v>
      </c>
      <c r="L203" s="70">
        <f t="shared" si="54"/>
        <v>0</v>
      </c>
      <c r="M203" s="70">
        <f t="shared" si="54"/>
        <v>0</v>
      </c>
      <c r="N203" s="70">
        <f t="shared" si="54"/>
        <v>0</v>
      </c>
      <c r="O203" s="70">
        <f t="shared" si="54"/>
        <v>0</v>
      </c>
    </row>
    <row r="204" spans="1:17" customFormat="1" x14ac:dyDescent="0.2">
      <c r="B204" s="759"/>
    </row>
    <row r="205" spans="1:17" customFormat="1" x14ac:dyDescent="0.2">
      <c r="B205" s="759"/>
    </row>
    <row r="206" spans="1:17" customFormat="1" x14ac:dyDescent="0.2">
      <c r="B206" s="759"/>
    </row>
    <row r="207" spans="1:17" x14ac:dyDescent="0.2">
      <c r="A207" s="553" t="str">
        <f ca="1">A1</f>
        <v>P:\Finance\2002 Plan\[EMTW02PL.XLS]IncomeState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</row>
    <row r="208" spans="1:17" x14ac:dyDescent="0.2">
      <c r="A208" s="326" t="s">
        <v>749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</row>
    <row r="209" spans="1:17" x14ac:dyDescent="0.2">
      <c r="A209" s="340" t="str">
        <f>A3</f>
        <v>2002 OPERATING PLAN</v>
      </c>
      <c r="B209" s="754">
        <f ca="1">NOW()</f>
        <v>37189.6149224537</v>
      </c>
      <c r="C209" s="61" t="s">
        <v>750</v>
      </c>
      <c r="D209" s="61"/>
      <c r="E209" s="60"/>
      <c r="F209" s="60"/>
      <c r="G209" s="104"/>
      <c r="H209" s="104"/>
      <c r="I209" s="104"/>
      <c r="J209" s="105"/>
      <c r="K209" s="60"/>
      <c r="L209" s="60"/>
      <c r="M209" s="60"/>
      <c r="N209" s="60"/>
      <c r="O209" s="60"/>
      <c r="P209" s="91"/>
    </row>
    <row r="210" spans="1:17" ht="12.95" customHeight="1" x14ac:dyDescent="0.2">
      <c r="A210" s="62"/>
      <c r="B210" s="755">
        <f ca="1">NOW()</f>
        <v>37189.6149224537</v>
      </c>
      <c r="C210" s="324" t="str">
        <f t="shared" ref="C210:P210" si="55">C4</f>
        <v>BALANCE</v>
      </c>
      <c r="D210" s="324" t="str">
        <f t="shared" si="55"/>
        <v>JAN</v>
      </c>
      <c r="E210" s="324" t="str">
        <f t="shared" si="55"/>
        <v>FEB</v>
      </c>
      <c r="F210" s="324" t="str">
        <f t="shared" si="55"/>
        <v>MAR</v>
      </c>
      <c r="G210" s="324" t="str">
        <f t="shared" si="55"/>
        <v>APR</v>
      </c>
      <c r="H210" s="324" t="str">
        <f t="shared" si="55"/>
        <v>MAY</v>
      </c>
      <c r="I210" s="324" t="str">
        <f t="shared" si="55"/>
        <v>JUN</v>
      </c>
      <c r="J210" s="324" t="str">
        <f t="shared" si="55"/>
        <v>JUL</v>
      </c>
      <c r="K210" s="324" t="str">
        <f t="shared" si="55"/>
        <v>AUG</v>
      </c>
      <c r="L210" s="324" t="str">
        <f t="shared" si="55"/>
        <v>SEP</v>
      </c>
      <c r="M210" s="324" t="str">
        <f t="shared" si="55"/>
        <v>OCT</v>
      </c>
      <c r="N210" s="324" t="str">
        <f t="shared" si="55"/>
        <v>NOV</v>
      </c>
      <c r="O210" s="324" t="str">
        <f t="shared" si="55"/>
        <v>DEC</v>
      </c>
      <c r="P210" s="324">
        <f t="shared" si="55"/>
        <v>2002</v>
      </c>
    </row>
    <row r="211" spans="1:17" ht="3.95" customHeight="1" x14ac:dyDescent="0.2"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5"/>
    </row>
    <row r="212" spans="1:17" x14ac:dyDescent="0.2">
      <c r="A212" s="329" t="s">
        <v>751</v>
      </c>
      <c r="B212" s="756"/>
    </row>
    <row r="213" spans="1:17" x14ac:dyDescent="0.2">
      <c r="A213" s="68" t="s">
        <v>642</v>
      </c>
      <c r="B213" s="756"/>
      <c r="D213" s="70">
        <f t="shared" ref="D213:O213" si="56">D59</f>
        <v>0</v>
      </c>
      <c r="E213" s="70">
        <f t="shared" si="56"/>
        <v>0</v>
      </c>
      <c r="F213" s="70">
        <f t="shared" si="56"/>
        <v>0</v>
      </c>
      <c r="G213" s="70">
        <f t="shared" si="56"/>
        <v>0</v>
      </c>
      <c r="H213" s="70">
        <f t="shared" si="56"/>
        <v>0</v>
      </c>
      <c r="I213" s="70">
        <f t="shared" si="56"/>
        <v>0</v>
      </c>
      <c r="J213" s="70">
        <f t="shared" si="56"/>
        <v>0</v>
      </c>
      <c r="K213" s="70">
        <f t="shared" si="56"/>
        <v>0</v>
      </c>
      <c r="L213" s="70">
        <f t="shared" si="56"/>
        <v>0</v>
      </c>
      <c r="M213" s="70">
        <f t="shared" si="56"/>
        <v>0</v>
      </c>
      <c r="N213" s="70">
        <f t="shared" si="56"/>
        <v>0</v>
      </c>
      <c r="O213" s="70">
        <f t="shared" si="56"/>
        <v>0</v>
      </c>
      <c r="P213" s="70">
        <f>SUM(D213:O213)</f>
        <v>0</v>
      </c>
    </row>
    <row r="214" spans="1:17" x14ac:dyDescent="0.2">
      <c r="A214" s="336" t="s">
        <v>703</v>
      </c>
      <c r="D214" s="70">
        <f t="shared" ref="D214:O214" si="57">D60</f>
        <v>0</v>
      </c>
      <c r="E214" s="70">
        <f t="shared" si="57"/>
        <v>0</v>
      </c>
      <c r="F214" s="70">
        <f t="shared" si="57"/>
        <v>0</v>
      </c>
      <c r="G214" s="70">
        <f t="shared" si="57"/>
        <v>0</v>
      </c>
      <c r="H214" s="70">
        <f t="shared" si="57"/>
        <v>0</v>
      </c>
      <c r="I214" s="70">
        <f t="shared" si="57"/>
        <v>0</v>
      </c>
      <c r="J214" s="70">
        <f t="shared" si="57"/>
        <v>0</v>
      </c>
      <c r="K214" s="70">
        <f t="shared" si="57"/>
        <v>0</v>
      </c>
      <c r="L214" s="70">
        <f t="shared" si="57"/>
        <v>0</v>
      </c>
      <c r="M214" s="70">
        <f t="shared" si="57"/>
        <v>0</v>
      </c>
      <c r="N214" s="70">
        <f t="shared" si="57"/>
        <v>0</v>
      </c>
      <c r="O214" s="70">
        <f t="shared" si="57"/>
        <v>0</v>
      </c>
      <c r="P214" s="70">
        <f>SUM(D214:O214)</f>
        <v>0</v>
      </c>
    </row>
    <row r="215" spans="1:17" x14ac:dyDescent="0.2">
      <c r="A215" s="336" t="s">
        <v>704</v>
      </c>
      <c r="D215" s="72">
        <f t="shared" ref="D215:O215" si="58">D61</f>
        <v>0</v>
      </c>
      <c r="E215" s="72">
        <f t="shared" si="58"/>
        <v>0</v>
      </c>
      <c r="F215" s="72">
        <f t="shared" si="58"/>
        <v>0</v>
      </c>
      <c r="G215" s="72">
        <f t="shared" si="58"/>
        <v>0</v>
      </c>
      <c r="H215" s="72">
        <f t="shared" si="58"/>
        <v>0</v>
      </c>
      <c r="I215" s="72">
        <f t="shared" si="58"/>
        <v>0</v>
      </c>
      <c r="J215" s="72">
        <f t="shared" si="58"/>
        <v>0</v>
      </c>
      <c r="K215" s="72">
        <f t="shared" si="58"/>
        <v>0</v>
      </c>
      <c r="L215" s="72">
        <f t="shared" si="58"/>
        <v>0</v>
      </c>
      <c r="M215" s="72">
        <f t="shared" si="58"/>
        <v>0</v>
      </c>
      <c r="N215" s="72">
        <f t="shared" si="58"/>
        <v>0</v>
      </c>
      <c r="O215" s="72">
        <f t="shared" si="58"/>
        <v>0</v>
      </c>
      <c r="P215" s="72">
        <f>SUM(D215:O215)</f>
        <v>0</v>
      </c>
    </row>
    <row r="216" spans="1:17" ht="3.95" customHeight="1" x14ac:dyDescent="0.2"/>
    <row r="217" spans="1:17" x14ac:dyDescent="0.2">
      <c r="A217" s="68" t="s">
        <v>645</v>
      </c>
      <c r="B217" s="756"/>
      <c r="D217" s="70">
        <f t="shared" ref="D217:O217" si="59">D213+D214+D215</f>
        <v>0</v>
      </c>
      <c r="E217" s="70">
        <f t="shared" si="59"/>
        <v>0</v>
      </c>
      <c r="F217" s="70">
        <f t="shared" si="59"/>
        <v>0</v>
      </c>
      <c r="G217" s="70">
        <f t="shared" si="59"/>
        <v>0</v>
      </c>
      <c r="H217" s="70">
        <f t="shared" si="59"/>
        <v>0</v>
      </c>
      <c r="I217" s="70">
        <f t="shared" si="59"/>
        <v>0</v>
      </c>
      <c r="J217" s="70">
        <f t="shared" si="59"/>
        <v>0</v>
      </c>
      <c r="K217" s="70">
        <f t="shared" si="59"/>
        <v>0</v>
      </c>
      <c r="L217" s="70">
        <f t="shared" si="59"/>
        <v>0</v>
      </c>
      <c r="M217" s="70">
        <f t="shared" si="59"/>
        <v>0</v>
      </c>
      <c r="N217" s="70">
        <f t="shared" si="59"/>
        <v>0</v>
      </c>
      <c r="O217" s="70">
        <f t="shared" si="59"/>
        <v>0</v>
      </c>
      <c r="P217" s="70">
        <f>SUM(D217:O217)</f>
        <v>0</v>
      </c>
    </row>
    <row r="218" spans="1:17" ht="3.95" customHeight="1" x14ac:dyDescent="0.2"/>
    <row r="219" spans="1:17" x14ac:dyDescent="0.2">
      <c r="A219" s="68" t="s">
        <v>752</v>
      </c>
      <c r="B219" s="756"/>
      <c r="D219" s="73" t="e">
        <f t="shared" ref="D219:P219" si="60">D221/D217</f>
        <v>#DIV/0!</v>
      </c>
      <c r="E219" s="73" t="e">
        <f t="shared" si="60"/>
        <v>#DIV/0!</v>
      </c>
      <c r="F219" s="73" t="e">
        <f t="shared" si="60"/>
        <v>#DIV/0!</v>
      </c>
      <c r="G219" s="73" t="e">
        <f t="shared" si="60"/>
        <v>#DIV/0!</v>
      </c>
      <c r="H219" s="73" t="e">
        <f t="shared" si="60"/>
        <v>#DIV/0!</v>
      </c>
      <c r="I219" s="73" t="e">
        <f t="shared" si="60"/>
        <v>#DIV/0!</v>
      </c>
      <c r="J219" s="73" t="e">
        <f t="shared" si="60"/>
        <v>#DIV/0!</v>
      </c>
      <c r="K219" s="73" t="e">
        <f t="shared" si="60"/>
        <v>#DIV/0!</v>
      </c>
      <c r="L219" s="73" t="e">
        <f t="shared" si="60"/>
        <v>#DIV/0!</v>
      </c>
      <c r="M219" s="73" t="e">
        <f t="shared" si="60"/>
        <v>#DIV/0!</v>
      </c>
      <c r="N219" s="73" t="e">
        <f t="shared" si="60"/>
        <v>#DIV/0!</v>
      </c>
      <c r="O219" s="73" t="e">
        <f t="shared" si="60"/>
        <v>#DIV/0!</v>
      </c>
      <c r="P219" s="73" t="e">
        <f t="shared" si="60"/>
        <v>#DIV/0!</v>
      </c>
    </row>
    <row r="220" spans="1:17" ht="3.95" customHeight="1" x14ac:dyDescent="0.2"/>
    <row r="221" spans="1:17" x14ac:dyDescent="0.2">
      <c r="A221" s="335" t="s">
        <v>753</v>
      </c>
      <c r="B221" s="757"/>
      <c r="C221" s="59"/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0</v>
      </c>
      <c r="M221" s="75">
        <v>0</v>
      </c>
      <c r="N221" s="75">
        <v>0</v>
      </c>
      <c r="O221" s="75">
        <v>0</v>
      </c>
      <c r="P221" s="75">
        <f>SUM(D221:O221)</f>
        <v>0</v>
      </c>
      <c r="Q221" s="76"/>
    </row>
    <row r="222" spans="1:17" ht="8.1" customHeight="1" x14ac:dyDescent="0.2">
      <c r="A222" s="67"/>
      <c r="B222" s="75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</row>
    <row r="223" spans="1:17" x14ac:dyDescent="0.2">
      <c r="A223" s="335" t="s">
        <v>754</v>
      </c>
      <c r="B223" s="757"/>
      <c r="C223" s="59"/>
      <c r="D223" s="256">
        <v>0</v>
      </c>
      <c r="E223" s="256">
        <v>0</v>
      </c>
      <c r="F223" s="256">
        <v>0</v>
      </c>
      <c r="G223" s="256">
        <v>0</v>
      </c>
      <c r="H223" s="256">
        <v>0</v>
      </c>
      <c r="I223" s="256">
        <v>0</v>
      </c>
      <c r="J223" s="256">
        <v>0</v>
      </c>
      <c r="K223" s="256">
        <v>0</v>
      </c>
      <c r="L223" s="256">
        <v>0</v>
      </c>
      <c r="M223" s="256">
        <v>0</v>
      </c>
      <c r="N223" s="256">
        <v>0</v>
      </c>
      <c r="O223" s="256">
        <v>0</v>
      </c>
      <c r="P223" s="88">
        <f>SUM(D223:O223)</f>
        <v>0</v>
      </c>
    </row>
    <row r="224" spans="1:17" ht="6" customHeight="1" x14ac:dyDescent="0.2"/>
    <row r="225" spans="1:17" x14ac:dyDescent="0.2">
      <c r="A225" s="68" t="s">
        <v>687</v>
      </c>
      <c r="B225" s="756"/>
      <c r="D225" s="70">
        <f t="shared" ref="D225:O225" si="61">D221-D223</f>
        <v>0</v>
      </c>
      <c r="E225" s="70">
        <f t="shared" si="61"/>
        <v>0</v>
      </c>
      <c r="F225" s="70">
        <f t="shared" si="61"/>
        <v>0</v>
      </c>
      <c r="G225" s="70">
        <f t="shared" si="61"/>
        <v>0</v>
      </c>
      <c r="H225" s="70">
        <f t="shared" si="61"/>
        <v>0</v>
      </c>
      <c r="I225" s="70">
        <f t="shared" si="61"/>
        <v>0</v>
      </c>
      <c r="J225" s="70">
        <f t="shared" si="61"/>
        <v>0</v>
      </c>
      <c r="K225" s="70">
        <f t="shared" si="61"/>
        <v>0</v>
      </c>
      <c r="L225" s="70">
        <f t="shared" si="61"/>
        <v>0</v>
      </c>
      <c r="M225" s="70">
        <f t="shared" si="61"/>
        <v>0</v>
      </c>
      <c r="N225" s="70">
        <f t="shared" si="61"/>
        <v>0</v>
      </c>
      <c r="O225" s="70">
        <f t="shared" si="61"/>
        <v>0</v>
      </c>
      <c r="P225" s="70">
        <f>SUM(D225:O225)</f>
        <v>0</v>
      </c>
    </row>
    <row r="226" spans="1:17" x14ac:dyDescent="0.2">
      <c r="A226" s="78" t="s">
        <v>623</v>
      </c>
      <c r="D226" s="69">
        <v>0</v>
      </c>
      <c r="E226" s="69">
        <v>0</v>
      </c>
      <c r="F226" s="69">
        <v>0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>
        <v>0</v>
      </c>
      <c r="O226" s="69">
        <v>0</v>
      </c>
      <c r="P226" s="70">
        <f>SUM(D226:O226)</f>
        <v>0</v>
      </c>
    </row>
    <row r="227" spans="1:17" x14ac:dyDescent="0.2">
      <c r="A227" s="98" t="s">
        <v>755</v>
      </c>
      <c r="D227" s="466">
        <f>-D480</f>
        <v>0</v>
      </c>
      <c r="E227" s="466">
        <f t="shared" ref="E227:O227" si="62">-E480</f>
        <v>0</v>
      </c>
      <c r="F227" s="466">
        <f t="shared" si="62"/>
        <v>0</v>
      </c>
      <c r="G227" s="466">
        <f t="shared" si="62"/>
        <v>0</v>
      </c>
      <c r="H227" s="466">
        <f t="shared" si="62"/>
        <v>0</v>
      </c>
      <c r="I227" s="466">
        <f t="shared" si="62"/>
        <v>0</v>
      </c>
      <c r="J227" s="466">
        <f t="shared" si="62"/>
        <v>0</v>
      </c>
      <c r="K227" s="466">
        <f t="shared" si="62"/>
        <v>0</v>
      </c>
      <c r="L227" s="466">
        <f t="shared" si="62"/>
        <v>0</v>
      </c>
      <c r="M227" s="466">
        <f t="shared" si="62"/>
        <v>0</v>
      </c>
      <c r="N227" s="466">
        <f t="shared" si="62"/>
        <v>0</v>
      </c>
      <c r="O227" s="466">
        <f t="shared" si="62"/>
        <v>0</v>
      </c>
      <c r="P227" s="70">
        <f>SUM(D227:O227)</f>
        <v>0</v>
      </c>
    </row>
    <row r="228" spans="1:17" x14ac:dyDescent="0.2">
      <c r="A228" s="68" t="s">
        <v>653</v>
      </c>
      <c r="D228" s="257">
        <v>0</v>
      </c>
      <c r="E228" s="257">
        <v>0</v>
      </c>
      <c r="F228" s="257">
        <v>0</v>
      </c>
      <c r="G228" s="257">
        <v>0</v>
      </c>
      <c r="H228" s="257">
        <v>0</v>
      </c>
      <c r="I228" s="257">
        <v>0</v>
      </c>
      <c r="J228" s="257">
        <v>0</v>
      </c>
      <c r="K228" s="257">
        <v>0</v>
      </c>
      <c r="L228" s="257">
        <v>0</v>
      </c>
      <c r="M228" s="257">
        <v>0</v>
      </c>
      <c r="N228" s="257">
        <v>0</v>
      </c>
      <c r="O228" s="257">
        <v>0</v>
      </c>
      <c r="P228" s="72">
        <f>SUM(D228:O228)</f>
        <v>0</v>
      </c>
    </row>
    <row r="229" spans="1:17" ht="3.95" customHeight="1" x14ac:dyDescent="0.2"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1:17" x14ac:dyDescent="0.2">
      <c r="A230" s="331" t="s">
        <v>654</v>
      </c>
      <c r="B230" s="763"/>
      <c r="C230" s="343"/>
      <c r="D230" s="75">
        <f t="shared" ref="D230:O230" si="63">SUM(D225:D228)</f>
        <v>0</v>
      </c>
      <c r="E230" s="75">
        <f t="shared" si="63"/>
        <v>0</v>
      </c>
      <c r="F230" s="75">
        <f t="shared" si="63"/>
        <v>0</v>
      </c>
      <c r="G230" s="75">
        <f t="shared" si="63"/>
        <v>0</v>
      </c>
      <c r="H230" s="75">
        <f t="shared" si="63"/>
        <v>0</v>
      </c>
      <c r="I230" s="75">
        <f t="shared" si="63"/>
        <v>0</v>
      </c>
      <c r="J230" s="75">
        <f t="shared" si="63"/>
        <v>0</v>
      </c>
      <c r="K230" s="75">
        <f t="shared" si="63"/>
        <v>0</v>
      </c>
      <c r="L230" s="75">
        <f t="shared" si="63"/>
        <v>0</v>
      </c>
      <c r="M230" s="75">
        <f t="shared" si="63"/>
        <v>0</v>
      </c>
      <c r="N230" s="75">
        <f t="shared" si="63"/>
        <v>0</v>
      </c>
      <c r="O230" s="75">
        <f t="shared" si="63"/>
        <v>0</v>
      </c>
      <c r="P230" s="75">
        <f>SUM(D230:O230)</f>
        <v>0</v>
      </c>
      <c r="Q230" s="59"/>
    </row>
    <row r="231" spans="1:17" ht="8.1" customHeight="1" x14ac:dyDescent="0.2">
      <c r="A231" s="67"/>
      <c r="B231" s="756"/>
      <c r="C231" s="33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7"/>
    </row>
    <row r="232" spans="1:17" x14ac:dyDescent="0.2">
      <c r="A232" s="329" t="s">
        <v>756</v>
      </c>
      <c r="B232" s="764"/>
      <c r="C232" s="343"/>
      <c r="D232" s="75">
        <f t="shared" ref="D232:O232" si="64">-1*D230</f>
        <v>0</v>
      </c>
      <c r="E232" s="75">
        <f t="shared" si="64"/>
        <v>0</v>
      </c>
      <c r="F232" s="75">
        <f t="shared" si="64"/>
        <v>0</v>
      </c>
      <c r="G232" s="75">
        <f t="shared" si="64"/>
        <v>0</v>
      </c>
      <c r="H232" s="75">
        <f t="shared" si="64"/>
        <v>0</v>
      </c>
      <c r="I232" s="75">
        <f t="shared" si="64"/>
        <v>0</v>
      </c>
      <c r="J232" s="75">
        <f t="shared" si="64"/>
        <v>0</v>
      </c>
      <c r="K232" s="75">
        <f t="shared" si="64"/>
        <v>0</v>
      </c>
      <c r="L232" s="75">
        <f t="shared" si="64"/>
        <v>0</v>
      </c>
      <c r="M232" s="75">
        <f t="shared" si="64"/>
        <v>0</v>
      </c>
      <c r="N232" s="75">
        <f t="shared" si="64"/>
        <v>0</v>
      </c>
      <c r="O232" s="75">
        <f t="shared" si="64"/>
        <v>0</v>
      </c>
      <c r="P232" s="75">
        <f>SUM(D232:O232)</f>
        <v>0</v>
      </c>
    </row>
    <row r="233" spans="1:17" x14ac:dyDescent="0.2">
      <c r="A233" s="67"/>
      <c r="B233" s="756"/>
      <c r="C233" s="330"/>
    </row>
    <row r="234" spans="1:17" x14ac:dyDescent="0.2">
      <c r="A234" s="82"/>
      <c r="B234" s="758"/>
      <c r="C234" s="346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</row>
    <row r="235" spans="1:17" x14ac:dyDescent="0.2">
      <c r="A235" s="330"/>
      <c r="B235" s="762"/>
      <c r="C235" s="330"/>
    </row>
    <row r="236" spans="1:17" x14ac:dyDescent="0.2">
      <c r="A236" s="341" t="s">
        <v>757</v>
      </c>
      <c r="B236" s="756"/>
      <c r="C236" s="63" t="str">
        <f>C30</f>
        <v>12/31/99</v>
      </c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59"/>
    </row>
    <row r="237" spans="1:17" ht="3.95" customHeight="1" x14ac:dyDescent="0.2">
      <c r="A237" s="67"/>
      <c r="B237" s="756"/>
      <c r="C237" s="33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1:17" x14ac:dyDescent="0.2">
      <c r="A238" s="329" t="s">
        <v>657</v>
      </c>
      <c r="B238" s="756"/>
      <c r="C238" s="330"/>
      <c r="D238" s="70">
        <f t="shared" ref="D238:O238" si="65">C248</f>
        <v>0</v>
      </c>
      <c r="E238" s="70">
        <f t="shared" si="65"/>
        <v>0</v>
      </c>
      <c r="F238" s="70">
        <f t="shared" si="65"/>
        <v>0</v>
      </c>
      <c r="G238" s="70">
        <f t="shared" si="65"/>
        <v>0</v>
      </c>
      <c r="H238" s="70">
        <f t="shared" si="65"/>
        <v>0</v>
      </c>
      <c r="I238" s="70">
        <f t="shared" si="65"/>
        <v>0</v>
      </c>
      <c r="J238" s="70">
        <f t="shared" si="65"/>
        <v>0</v>
      </c>
      <c r="K238" s="70">
        <f t="shared" si="65"/>
        <v>0</v>
      </c>
      <c r="L238" s="70">
        <f t="shared" si="65"/>
        <v>0</v>
      </c>
      <c r="M238" s="70">
        <f t="shared" si="65"/>
        <v>0</v>
      </c>
      <c r="N238" s="70">
        <f t="shared" si="65"/>
        <v>0</v>
      </c>
      <c r="O238" s="70">
        <f t="shared" si="65"/>
        <v>0</v>
      </c>
      <c r="P238" s="70"/>
      <c r="Q238" s="77"/>
    </row>
    <row r="239" spans="1:17" ht="6" customHeight="1" x14ac:dyDescent="0.2">
      <c r="A239" s="330"/>
      <c r="B239" s="762"/>
      <c r="C239" s="330"/>
    </row>
    <row r="240" spans="1:17" x14ac:dyDescent="0.2">
      <c r="A240" s="78" t="s">
        <v>658</v>
      </c>
      <c r="B240" s="94"/>
      <c r="C240" s="330"/>
      <c r="D240" s="69">
        <v>0</v>
      </c>
      <c r="E240" s="69">
        <v>0</v>
      </c>
      <c r="F240" s="69">
        <v>0</v>
      </c>
      <c r="G240" s="69">
        <v>0</v>
      </c>
      <c r="H240" s="69">
        <v>0</v>
      </c>
      <c r="I240" s="69">
        <v>0</v>
      </c>
      <c r="J240" s="69">
        <v>0</v>
      </c>
      <c r="K240" s="69">
        <v>0</v>
      </c>
      <c r="L240" s="69">
        <v>0</v>
      </c>
      <c r="M240" s="69">
        <v>0</v>
      </c>
      <c r="N240" s="69">
        <v>0</v>
      </c>
      <c r="O240" s="69">
        <v>0</v>
      </c>
      <c r="P240" s="70">
        <f>SUM(D240:O240)</f>
        <v>0</v>
      </c>
    </row>
    <row r="241" spans="1:17" ht="6" customHeight="1" x14ac:dyDescent="0.2">
      <c r="A241" s="67"/>
      <c r="B241" s="756"/>
      <c r="C241" s="33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</row>
    <row r="242" spans="1:17" x14ac:dyDescent="0.2">
      <c r="A242" s="68" t="s">
        <v>659</v>
      </c>
      <c r="B242" s="756"/>
      <c r="C242" s="330"/>
      <c r="D242" s="70">
        <f t="shared" ref="D242:O242" si="66">D232</f>
        <v>0</v>
      </c>
      <c r="E242" s="70">
        <f t="shared" si="66"/>
        <v>0</v>
      </c>
      <c r="F242" s="70">
        <f t="shared" si="66"/>
        <v>0</v>
      </c>
      <c r="G242" s="70">
        <f t="shared" si="66"/>
        <v>0</v>
      </c>
      <c r="H242" s="70">
        <f t="shared" si="66"/>
        <v>0</v>
      </c>
      <c r="I242" s="70">
        <f t="shared" si="66"/>
        <v>0</v>
      </c>
      <c r="J242" s="70">
        <f t="shared" si="66"/>
        <v>0</v>
      </c>
      <c r="K242" s="70">
        <f t="shared" si="66"/>
        <v>0</v>
      </c>
      <c r="L242" s="70">
        <f t="shared" si="66"/>
        <v>0</v>
      </c>
      <c r="M242" s="70">
        <f t="shared" si="66"/>
        <v>0</v>
      </c>
      <c r="N242" s="70">
        <f t="shared" si="66"/>
        <v>0</v>
      </c>
      <c r="O242" s="70">
        <f t="shared" si="66"/>
        <v>0</v>
      </c>
      <c r="P242" s="70">
        <f>SUM(D242:O242)</f>
        <v>0</v>
      </c>
      <c r="Q242" s="77"/>
    </row>
    <row r="243" spans="1:17" ht="6" customHeight="1" x14ac:dyDescent="0.2">
      <c r="A243" s="67"/>
      <c r="B243" s="756"/>
      <c r="C243" s="33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</row>
    <row r="244" spans="1:17" x14ac:dyDescent="0.2">
      <c r="A244" s="336" t="s">
        <v>758</v>
      </c>
      <c r="B244" s="756"/>
      <c r="C244" s="330"/>
      <c r="D244" s="69">
        <v>0</v>
      </c>
      <c r="E244" s="69">
        <v>0</v>
      </c>
      <c r="F244" s="69">
        <v>0</v>
      </c>
      <c r="G244" s="69">
        <v>0</v>
      </c>
      <c r="H244" s="69">
        <v>0</v>
      </c>
      <c r="I244" s="69">
        <v>0</v>
      </c>
      <c r="J244" s="69">
        <v>0</v>
      </c>
      <c r="K244" s="69">
        <v>0</v>
      </c>
      <c r="L244" s="69">
        <v>0</v>
      </c>
      <c r="M244" s="69">
        <v>0</v>
      </c>
      <c r="N244" s="69">
        <v>0</v>
      </c>
      <c r="O244" s="69">
        <v>0</v>
      </c>
      <c r="P244" s="70">
        <f>SUM(D244:O244)</f>
        <v>0</v>
      </c>
      <c r="Q244" s="77"/>
    </row>
    <row r="245" spans="1:17" ht="6" customHeight="1" x14ac:dyDescent="0.2">
      <c r="A245" s="67"/>
      <c r="B245" s="756"/>
      <c r="C245" s="33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</row>
    <row r="246" spans="1:17" x14ac:dyDescent="0.2">
      <c r="A246" s="68" t="s">
        <v>661</v>
      </c>
      <c r="B246" s="756"/>
      <c r="C246" s="330"/>
      <c r="D246" s="72">
        <f t="shared" ref="D246:O246" si="67">D254</f>
        <v>0</v>
      </c>
      <c r="E246" s="72">
        <f t="shared" si="67"/>
        <v>0</v>
      </c>
      <c r="F246" s="72">
        <f t="shared" si="67"/>
        <v>0</v>
      </c>
      <c r="G246" s="72">
        <f t="shared" si="67"/>
        <v>0</v>
      </c>
      <c r="H246" s="72">
        <f t="shared" si="67"/>
        <v>0</v>
      </c>
      <c r="I246" s="72">
        <f t="shared" si="67"/>
        <v>0</v>
      </c>
      <c r="J246" s="72">
        <f t="shared" si="67"/>
        <v>0</v>
      </c>
      <c r="K246" s="72">
        <f t="shared" si="67"/>
        <v>0</v>
      </c>
      <c r="L246" s="72">
        <f t="shared" si="67"/>
        <v>0</v>
      </c>
      <c r="M246" s="72">
        <f t="shared" si="67"/>
        <v>0</v>
      </c>
      <c r="N246" s="72">
        <f t="shared" si="67"/>
        <v>0</v>
      </c>
      <c r="O246" s="72">
        <f t="shared" si="67"/>
        <v>0</v>
      </c>
      <c r="P246" s="72">
        <f>SUM(D246:O246)</f>
        <v>0</v>
      </c>
      <c r="Q246" s="99"/>
    </row>
    <row r="247" spans="1:17" ht="3.95" customHeight="1" x14ac:dyDescent="0.2">
      <c r="A247" s="67"/>
      <c r="B247" s="756"/>
      <c r="C247" s="33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1:17" x14ac:dyDescent="0.2">
      <c r="A248" s="329" t="s">
        <v>662</v>
      </c>
      <c r="B248" s="762"/>
      <c r="C248" s="254">
        <v>0</v>
      </c>
      <c r="D248" s="88">
        <f t="shared" ref="D248:O248" si="68">SUM(D238:D246)</f>
        <v>0</v>
      </c>
      <c r="E248" s="88">
        <f t="shared" si="68"/>
        <v>0</v>
      </c>
      <c r="F248" s="88">
        <f t="shared" si="68"/>
        <v>0</v>
      </c>
      <c r="G248" s="88">
        <f t="shared" si="68"/>
        <v>0</v>
      </c>
      <c r="H248" s="88">
        <f t="shared" si="68"/>
        <v>0</v>
      </c>
      <c r="I248" s="88">
        <f t="shared" si="68"/>
        <v>0</v>
      </c>
      <c r="J248" s="88">
        <f t="shared" si="68"/>
        <v>0</v>
      </c>
      <c r="K248" s="88">
        <f t="shared" si="68"/>
        <v>0</v>
      </c>
      <c r="L248" s="88">
        <f t="shared" si="68"/>
        <v>0</v>
      </c>
      <c r="M248" s="88">
        <f t="shared" si="68"/>
        <v>0</v>
      </c>
      <c r="N248" s="88">
        <f t="shared" si="68"/>
        <v>0</v>
      </c>
      <c r="O248" s="88">
        <f t="shared" si="68"/>
        <v>0</v>
      </c>
      <c r="P248" s="88">
        <f>SUM(P238:P246)+D238</f>
        <v>0</v>
      </c>
      <c r="Q248" s="77"/>
    </row>
    <row r="249" spans="1:17" x14ac:dyDescent="0.2">
      <c r="A249" s="67"/>
      <c r="B249" s="756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</row>
    <row r="251" spans="1:17" x14ac:dyDescent="0.2">
      <c r="A251" s="68" t="s">
        <v>663</v>
      </c>
      <c r="B251" s="756"/>
      <c r="D251" s="100">
        <f t="shared" ref="D251:O251" si="69">D45</f>
        <v>9.0200000000000002E-2</v>
      </c>
      <c r="E251" s="100">
        <f t="shared" si="69"/>
        <v>9.0200000000000002E-2</v>
      </c>
      <c r="F251" s="100">
        <f t="shared" si="69"/>
        <v>9.0200000000000002E-2</v>
      </c>
      <c r="G251" s="100">
        <f t="shared" si="69"/>
        <v>9.0200000000000002E-2</v>
      </c>
      <c r="H251" s="100">
        <f t="shared" si="69"/>
        <v>9.0200000000000002E-2</v>
      </c>
      <c r="I251" s="100">
        <f t="shared" si="69"/>
        <v>9.0200000000000002E-2</v>
      </c>
      <c r="J251" s="100">
        <f t="shared" si="69"/>
        <v>9.0200000000000002E-2</v>
      </c>
      <c r="K251" s="100">
        <f t="shared" si="69"/>
        <v>9.0200000000000002E-2</v>
      </c>
      <c r="L251" s="100">
        <f t="shared" si="69"/>
        <v>9.0200000000000002E-2</v>
      </c>
      <c r="M251" s="100">
        <f t="shared" si="69"/>
        <v>9.0200000000000002E-2</v>
      </c>
      <c r="N251" s="100">
        <f t="shared" si="69"/>
        <v>9.0200000000000002E-2</v>
      </c>
      <c r="O251" s="100">
        <f t="shared" si="69"/>
        <v>9.0200000000000002E-2</v>
      </c>
    </row>
    <row r="252" spans="1:17" x14ac:dyDescent="0.2">
      <c r="A252" s="68" t="s">
        <v>664</v>
      </c>
      <c r="B252" s="756"/>
      <c r="D252" s="90">
        <f t="shared" ref="D252:O252" si="70">D46</f>
        <v>7.7000000000000002E-3</v>
      </c>
      <c r="E252" s="90">
        <f t="shared" si="70"/>
        <v>6.8999999999999999E-3</v>
      </c>
      <c r="F252" s="90">
        <f t="shared" si="70"/>
        <v>7.7000000000000002E-3</v>
      </c>
      <c r="G252" s="90">
        <f t="shared" si="70"/>
        <v>7.4000000000000003E-3</v>
      </c>
      <c r="H252" s="90">
        <f t="shared" si="70"/>
        <v>7.7000000000000002E-3</v>
      </c>
      <c r="I252" s="90">
        <f t="shared" si="70"/>
        <v>7.4000000000000003E-3</v>
      </c>
      <c r="J252" s="90">
        <f t="shared" si="70"/>
        <v>7.7000000000000002E-3</v>
      </c>
      <c r="K252" s="90">
        <f t="shared" si="70"/>
        <v>7.7000000000000002E-3</v>
      </c>
      <c r="L252" s="90">
        <f t="shared" si="70"/>
        <v>7.4000000000000003E-3</v>
      </c>
      <c r="M252" s="90">
        <f t="shared" si="70"/>
        <v>7.7000000000000002E-3</v>
      </c>
      <c r="N252" s="90">
        <f t="shared" si="70"/>
        <v>7.4000000000000003E-3</v>
      </c>
      <c r="O252" s="90">
        <f t="shared" si="70"/>
        <v>7.7000000000000002E-3</v>
      </c>
      <c r="Q252" s="102"/>
    </row>
    <row r="253" spans="1:17" ht="12.75" customHeight="1" x14ac:dyDescent="0.2">
      <c r="A253" s="67"/>
      <c r="B253" s="756"/>
    </row>
    <row r="254" spans="1:17" x14ac:dyDescent="0.2">
      <c r="A254" s="66" t="s">
        <v>665</v>
      </c>
      <c r="C254" s="87"/>
      <c r="D254" s="75">
        <f t="shared" ref="D254:O254" si="71">ROUND(C248*D252,0)</f>
        <v>0</v>
      </c>
      <c r="E254" s="75">
        <f t="shared" si="71"/>
        <v>0</v>
      </c>
      <c r="F254" s="75">
        <f t="shared" si="71"/>
        <v>0</v>
      </c>
      <c r="G254" s="75">
        <f t="shared" si="71"/>
        <v>0</v>
      </c>
      <c r="H254" s="75">
        <f t="shared" si="71"/>
        <v>0</v>
      </c>
      <c r="I254" s="75">
        <f t="shared" si="71"/>
        <v>0</v>
      </c>
      <c r="J254" s="75">
        <f t="shared" si="71"/>
        <v>0</v>
      </c>
      <c r="K254" s="75">
        <f t="shared" si="71"/>
        <v>0</v>
      </c>
      <c r="L254" s="75">
        <f t="shared" si="71"/>
        <v>0</v>
      </c>
      <c r="M254" s="75">
        <f t="shared" si="71"/>
        <v>0</v>
      </c>
      <c r="N254" s="75">
        <f t="shared" si="71"/>
        <v>0</v>
      </c>
      <c r="O254" s="75">
        <f t="shared" si="71"/>
        <v>0</v>
      </c>
      <c r="P254" s="75">
        <f>SUM(D254:O254)</f>
        <v>0</v>
      </c>
      <c r="Q254" s="59"/>
    </row>
    <row r="255" spans="1:17" ht="6" customHeight="1" x14ac:dyDescent="0.2">
      <c r="A255" s="67"/>
      <c r="B255" s="756"/>
    </row>
    <row r="256" spans="1:17" x14ac:dyDescent="0.2">
      <c r="A256" s="66" t="s">
        <v>666</v>
      </c>
      <c r="B256" s="756"/>
      <c r="D256" s="70">
        <f>D254</f>
        <v>0</v>
      </c>
      <c r="E256" s="70">
        <f t="shared" ref="E256:O256" si="72">E254+D256</f>
        <v>0</v>
      </c>
      <c r="F256" s="70">
        <f t="shared" si="72"/>
        <v>0</v>
      </c>
      <c r="G256" s="70">
        <f t="shared" si="72"/>
        <v>0</v>
      </c>
      <c r="H256" s="70">
        <f t="shared" si="72"/>
        <v>0</v>
      </c>
      <c r="I256" s="70">
        <f t="shared" si="72"/>
        <v>0</v>
      </c>
      <c r="J256" s="70">
        <f t="shared" si="72"/>
        <v>0</v>
      </c>
      <c r="K256" s="70">
        <f t="shared" si="72"/>
        <v>0</v>
      </c>
      <c r="L256" s="70">
        <f t="shared" si="72"/>
        <v>0</v>
      </c>
      <c r="M256" s="70">
        <f t="shared" si="72"/>
        <v>0</v>
      </c>
      <c r="N256" s="70">
        <f t="shared" si="72"/>
        <v>0</v>
      </c>
      <c r="O256" s="70">
        <f t="shared" si="72"/>
        <v>0</v>
      </c>
    </row>
    <row r="257" spans="1:56" customFormat="1" ht="13.5" customHeight="1" x14ac:dyDescent="0.2">
      <c r="B257" s="759"/>
    </row>
    <row r="258" spans="1:56" customFormat="1" x14ac:dyDescent="0.2">
      <c r="B258" s="759"/>
    </row>
    <row r="259" spans="1:56" customFormat="1" x14ac:dyDescent="0.2">
      <c r="B259" s="759"/>
    </row>
    <row r="260" spans="1:56" x14ac:dyDescent="0.2">
      <c r="A260" s="553" t="str">
        <f ca="1">A1</f>
        <v>P:\Finance\2002 Plan\[EMTW02PL.XLS]IncomeState</v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AQ260" s="80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</row>
    <row r="261" spans="1:56" x14ac:dyDescent="0.2">
      <c r="A261" s="326" t="s">
        <v>759</v>
      </c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</row>
    <row r="262" spans="1:56" x14ac:dyDescent="0.2">
      <c r="A262" s="340" t="str">
        <f>A3</f>
        <v>2002 OPERATING PLAN</v>
      </c>
      <c r="B262" s="754">
        <f ca="1">NOW()</f>
        <v>37189.6149224537</v>
      </c>
      <c r="C262" s="61" t="s">
        <v>760</v>
      </c>
      <c r="D262" s="61"/>
      <c r="E262" s="60"/>
      <c r="F262" s="60"/>
      <c r="G262" s="61"/>
      <c r="H262" s="61"/>
      <c r="I262" s="61"/>
      <c r="J262" s="60"/>
      <c r="K262" s="60"/>
      <c r="L262" s="60"/>
      <c r="M262" s="60"/>
      <c r="N262" s="60"/>
      <c r="O262" s="60"/>
      <c r="P262" s="91"/>
    </row>
    <row r="263" spans="1:56" ht="12.95" customHeight="1" x14ac:dyDescent="0.2">
      <c r="A263" s="62"/>
      <c r="B263" s="755">
        <f ca="1">NOW()</f>
        <v>37189.6149224537</v>
      </c>
      <c r="C263" s="324" t="str">
        <f t="shared" ref="C263:P263" si="73">C4</f>
        <v>BALANCE</v>
      </c>
      <c r="D263" s="324" t="str">
        <f t="shared" si="73"/>
        <v>JAN</v>
      </c>
      <c r="E263" s="324" t="str">
        <f t="shared" si="73"/>
        <v>FEB</v>
      </c>
      <c r="F263" s="324" t="str">
        <f t="shared" si="73"/>
        <v>MAR</v>
      </c>
      <c r="G263" s="324" t="str">
        <f t="shared" si="73"/>
        <v>APR</v>
      </c>
      <c r="H263" s="324" t="str">
        <f t="shared" si="73"/>
        <v>MAY</v>
      </c>
      <c r="I263" s="324" t="str">
        <f t="shared" si="73"/>
        <v>JUN</v>
      </c>
      <c r="J263" s="324" t="str">
        <f t="shared" si="73"/>
        <v>JUL</v>
      </c>
      <c r="K263" s="324" t="str">
        <f t="shared" si="73"/>
        <v>AUG</v>
      </c>
      <c r="L263" s="324" t="str">
        <f t="shared" si="73"/>
        <v>SEP</v>
      </c>
      <c r="M263" s="324" t="str">
        <f t="shared" si="73"/>
        <v>OCT</v>
      </c>
      <c r="N263" s="324" t="str">
        <f t="shared" si="73"/>
        <v>NOV</v>
      </c>
      <c r="O263" s="324" t="str">
        <f t="shared" si="73"/>
        <v>DEC</v>
      </c>
      <c r="P263" s="324">
        <f t="shared" si="73"/>
        <v>2002</v>
      </c>
    </row>
    <row r="264" spans="1:56" ht="3.95" customHeight="1" x14ac:dyDescent="0.2"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5"/>
    </row>
    <row r="265" spans="1:56" x14ac:dyDescent="0.2">
      <c r="A265" s="329" t="s">
        <v>761</v>
      </c>
      <c r="B265" s="756"/>
    </row>
    <row r="266" spans="1:56" x14ac:dyDescent="0.2">
      <c r="A266" s="68" t="s">
        <v>642</v>
      </c>
      <c r="B266" s="756"/>
      <c r="D266" s="69">
        <v>0</v>
      </c>
      <c r="E266" s="69">
        <v>0</v>
      </c>
      <c r="F266" s="69">
        <v>0</v>
      </c>
      <c r="G266" s="69">
        <v>0</v>
      </c>
      <c r="H266" s="69">
        <v>0</v>
      </c>
      <c r="I266" s="69">
        <v>0</v>
      </c>
      <c r="J266" s="69">
        <v>0</v>
      </c>
      <c r="K266" s="69">
        <v>0</v>
      </c>
      <c r="L266" s="69">
        <v>0</v>
      </c>
      <c r="M266" s="69">
        <v>0</v>
      </c>
      <c r="N266" s="69">
        <v>0</v>
      </c>
      <c r="O266" s="69">
        <v>0</v>
      </c>
      <c r="P266" s="70">
        <f>SUM(D266:O266)</f>
        <v>0</v>
      </c>
    </row>
    <row r="267" spans="1:56" x14ac:dyDescent="0.2">
      <c r="A267" s="336" t="s">
        <v>703</v>
      </c>
      <c r="D267" s="69">
        <v>0</v>
      </c>
      <c r="E267" s="69">
        <v>0</v>
      </c>
      <c r="F267" s="69">
        <v>0</v>
      </c>
      <c r="G267" s="69">
        <v>0</v>
      </c>
      <c r="H267" s="69">
        <v>0</v>
      </c>
      <c r="I267" s="69">
        <v>0</v>
      </c>
      <c r="J267" s="69">
        <v>0</v>
      </c>
      <c r="K267" s="69">
        <v>0</v>
      </c>
      <c r="L267" s="69">
        <v>0</v>
      </c>
      <c r="M267" s="69">
        <v>0</v>
      </c>
      <c r="N267" s="69">
        <v>0</v>
      </c>
      <c r="O267" s="69">
        <v>0</v>
      </c>
      <c r="P267" s="70">
        <f>SUM(D267:O267)</f>
        <v>0</v>
      </c>
    </row>
    <row r="268" spans="1:56" x14ac:dyDescent="0.2">
      <c r="A268" s="336" t="s">
        <v>704</v>
      </c>
      <c r="D268" s="257">
        <v>0</v>
      </c>
      <c r="E268" s="257">
        <v>0</v>
      </c>
      <c r="F268" s="257">
        <v>0</v>
      </c>
      <c r="G268" s="257">
        <v>0</v>
      </c>
      <c r="H268" s="257">
        <v>0</v>
      </c>
      <c r="I268" s="257">
        <v>0</v>
      </c>
      <c r="J268" s="257">
        <v>0</v>
      </c>
      <c r="K268" s="257">
        <v>0</v>
      </c>
      <c r="L268" s="257">
        <v>0</v>
      </c>
      <c r="M268" s="257">
        <v>0</v>
      </c>
      <c r="N268" s="257">
        <v>0</v>
      </c>
      <c r="O268" s="257">
        <v>0</v>
      </c>
      <c r="P268" s="72">
        <f>SUM(D268:O268)</f>
        <v>0</v>
      </c>
    </row>
    <row r="269" spans="1:56" ht="3.95" customHeight="1" x14ac:dyDescent="0.2"/>
    <row r="270" spans="1:56" x14ac:dyDescent="0.2">
      <c r="A270" s="68" t="s">
        <v>645</v>
      </c>
      <c r="B270" s="756"/>
      <c r="D270" s="70">
        <f t="shared" ref="D270:O270" si="74">D266+D267+D268</f>
        <v>0</v>
      </c>
      <c r="E270" s="70">
        <f t="shared" si="74"/>
        <v>0</v>
      </c>
      <c r="F270" s="70">
        <f t="shared" si="74"/>
        <v>0</v>
      </c>
      <c r="G270" s="70">
        <f t="shared" si="74"/>
        <v>0</v>
      </c>
      <c r="H270" s="70">
        <f t="shared" si="74"/>
        <v>0</v>
      </c>
      <c r="I270" s="70">
        <f t="shared" si="74"/>
        <v>0</v>
      </c>
      <c r="J270" s="70">
        <f t="shared" si="74"/>
        <v>0</v>
      </c>
      <c r="K270" s="70">
        <f t="shared" si="74"/>
        <v>0</v>
      </c>
      <c r="L270" s="70">
        <f t="shared" si="74"/>
        <v>0</v>
      </c>
      <c r="M270" s="70">
        <f t="shared" si="74"/>
        <v>0</v>
      </c>
      <c r="N270" s="70">
        <f t="shared" si="74"/>
        <v>0</v>
      </c>
      <c r="O270" s="70">
        <f t="shared" si="74"/>
        <v>0</v>
      </c>
      <c r="P270" s="70">
        <f>SUM(D270:O270)</f>
        <v>0</v>
      </c>
    </row>
    <row r="271" spans="1:56" ht="6" customHeight="1" x14ac:dyDescent="0.2"/>
    <row r="272" spans="1:56" x14ac:dyDescent="0.2">
      <c r="A272" s="336" t="s">
        <v>706</v>
      </c>
      <c r="B272" s="756"/>
      <c r="D272" s="73">
        <f t="shared" ref="D272:P272" si="75">IF(D270=0,0,ROUND(D274/D270,4))</f>
        <v>0</v>
      </c>
      <c r="E272" s="73">
        <f t="shared" si="75"/>
        <v>0</v>
      </c>
      <c r="F272" s="73">
        <f t="shared" si="75"/>
        <v>0</v>
      </c>
      <c r="G272" s="73">
        <f t="shared" si="75"/>
        <v>0</v>
      </c>
      <c r="H272" s="73">
        <f t="shared" si="75"/>
        <v>0</v>
      </c>
      <c r="I272" s="73">
        <f t="shared" si="75"/>
        <v>0</v>
      </c>
      <c r="J272" s="73">
        <f t="shared" si="75"/>
        <v>0</v>
      </c>
      <c r="K272" s="73">
        <f t="shared" si="75"/>
        <v>0</v>
      </c>
      <c r="L272" s="73">
        <f t="shared" si="75"/>
        <v>0</v>
      </c>
      <c r="M272" s="73">
        <f t="shared" si="75"/>
        <v>0</v>
      </c>
      <c r="N272" s="73">
        <f t="shared" si="75"/>
        <v>0</v>
      </c>
      <c r="O272" s="73">
        <f t="shared" si="75"/>
        <v>0</v>
      </c>
      <c r="P272" s="73">
        <f t="shared" si="75"/>
        <v>0</v>
      </c>
    </row>
    <row r="273" spans="1:18" ht="3.95" customHeight="1" x14ac:dyDescent="0.2"/>
    <row r="274" spans="1:18" x14ac:dyDescent="0.2">
      <c r="A274" s="336" t="s">
        <v>762</v>
      </c>
      <c r="B274" s="756"/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f>SUM(D274:O274)</f>
        <v>0</v>
      </c>
      <c r="Q274" s="77"/>
    </row>
    <row r="275" spans="1:18" x14ac:dyDescent="0.2">
      <c r="A275" s="78" t="s">
        <v>709</v>
      </c>
      <c r="D275" s="69">
        <v>0</v>
      </c>
      <c r="E275" s="69">
        <v>0</v>
      </c>
      <c r="F275" s="69">
        <v>0</v>
      </c>
      <c r="G275" s="69">
        <v>0</v>
      </c>
      <c r="H275" s="69">
        <v>0</v>
      </c>
      <c r="I275" s="69">
        <v>0</v>
      </c>
      <c r="J275" s="69">
        <v>0</v>
      </c>
      <c r="K275" s="69">
        <v>0</v>
      </c>
      <c r="L275" s="69">
        <v>0</v>
      </c>
      <c r="M275" s="69">
        <v>0</v>
      </c>
      <c r="N275" s="69">
        <v>0</v>
      </c>
      <c r="O275" s="69">
        <v>0</v>
      </c>
      <c r="P275" s="70">
        <f>SUM(D275:O275)</f>
        <v>0</v>
      </c>
    </row>
    <row r="276" spans="1:18" x14ac:dyDescent="0.2">
      <c r="A276" s="78" t="s">
        <v>624</v>
      </c>
      <c r="D276" s="257">
        <v>0</v>
      </c>
      <c r="E276" s="257">
        <v>0</v>
      </c>
      <c r="F276" s="257">
        <v>0</v>
      </c>
      <c r="G276" s="257">
        <v>0</v>
      </c>
      <c r="H276" s="257">
        <v>0</v>
      </c>
      <c r="I276" s="257">
        <v>0</v>
      </c>
      <c r="J276" s="257">
        <v>0</v>
      </c>
      <c r="K276" s="257">
        <v>0</v>
      </c>
      <c r="L276" s="257">
        <v>0</v>
      </c>
      <c r="M276" s="257">
        <v>0</v>
      </c>
      <c r="N276" s="257">
        <v>0</v>
      </c>
      <c r="O276" s="257">
        <v>0</v>
      </c>
      <c r="P276" s="72">
        <f>SUM(D276:O276)</f>
        <v>0</v>
      </c>
    </row>
    <row r="277" spans="1:18" ht="3.95" customHeight="1" x14ac:dyDescent="0.2">
      <c r="A277" s="59"/>
    </row>
    <row r="278" spans="1:18" x14ac:dyDescent="0.2">
      <c r="A278" s="335" t="s">
        <v>763</v>
      </c>
      <c r="D278" s="88">
        <f t="shared" ref="D278:P278" si="76">SUM(D274:D276)</f>
        <v>0</v>
      </c>
      <c r="E278" s="88">
        <f t="shared" si="76"/>
        <v>0</v>
      </c>
      <c r="F278" s="88">
        <f t="shared" si="76"/>
        <v>0</v>
      </c>
      <c r="G278" s="88">
        <f t="shared" si="76"/>
        <v>0</v>
      </c>
      <c r="H278" s="88">
        <f t="shared" si="76"/>
        <v>0</v>
      </c>
      <c r="I278" s="88">
        <f t="shared" si="76"/>
        <v>0</v>
      </c>
      <c r="J278" s="88">
        <f t="shared" si="76"/>
        <v>0</v>
      </c>
      <c r="K278" s="88">
        <f t="shared" si="76"/>
        <v>0</v>
      </c>
      <c r="L278" s="88">
        <f t="shared" si="76"/>
        <v>0</v>
      </c>
      <c r="M278" s="88">
        <f t="shared" si="76"/>
        <v>0</v>
      </c>
      <c r="N278" s="88">
        <f t="shared" si="76"/>
        <v>0</v>
      </c>
      <c r="O278" s="88">
        <f t="shared" si="76"/>
        <v>0</v>
      </c>
      <c r="P278" s="88">
        <f t="shared" si="76"/>
        <v>0</v>
      </c>
    </row>
    <row r="279" spans="1:18" ht="6" customHeight="1" x14ac:dyDescent="0.2">
      <c r="A279" s="343"/>
    </row>
    <row r="280" spans="1:18" x14ac:dyDescent="0.2">
      <c r="A280" s="335" t="s">
        <v>764</v>
      </c>
      <c r="B280" s="75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</row>
    <row r="281" spans="1:18" x14ac:dyDescent="0.2">
      <c r="A281" s="98" t="s">
        <v>765</v>
      </c>
      <c r="D281" s="69">
        <v>0</v>
      </c>
      <c r="E281" s="69">
        <v>0</v>
      </c>
      <c r="F281" s="69">
        <v>0</v>
      </c>
      <c r="G281" s="69">
        <v>0</v>
      </c>
      <c r="H281" s="69">
        <v>0</v>
      </c>
      <c r="I281" s="69">
        <v>0</v>
      </c>
      <c r="J281" s="69">
        <v>0</v>
      </c>
      <c r="K281" s="69">
        <v>0</v>
      </c>
      <c r="L281" s="69">
        <v>0</v>
      </c>
      <c r="M281" s="69">
        <v>0</v>
      </c>
      <c r="N281" s="69">
        <v>0</v>
      </c>
      <c r="O281" s="69">
        <v>0</v>
      </c>
      <c r="P281" s="70">
        <f>SUM(D281:O281)</f>
        <v>0</v>
      </c>
      <c r="R281" s="58">
        <f>4870+166</f>
        <v>5036</v>
      </c>
    </row>
    <row r="282" spans="1:18" x14ac:dyDescent="0.2">
      <c r="A282" s="98" t="s">
        <v>624</v>
      </c>
      <c r="D282" s="257">
        <v>0</v>
      </c>
      <c r="E282" s="257">
        <v>0</v>
      </c>
      <c r="F282" s="257">
        <v>0</v>
      </c>
      <c r="G282" s="257">
        <v>0</v>
      </c>
      <c r="H282" s="257">
        <v>0</v>
      </c>
      <c r="I282" s="257">
        <v>0</v>
      </c>
      <c r="J282" s="257">
        <v>0</v>
      </c>
      <c r="K282" s="257">
        <v>0</v>
      </c>
      <c r="L282" s="257">
        <v>0</v>
      </c>
      <c r="M282" s="257">
        <v>0</v>
      </c>
      <c r="N282" s="257">
        <v>0</v>
      </c>
      <c r="O282" s="257">
        <v>0</v>
      </c>
      <c r="P282" s="72">
        <f>SUM(D282:O282)</f>
        <v>0</v>
      </c>
    </row>
    <row r="283" spans="1:18" ht="3.95" customHeight="1" x14ac:dyDescent="0.2"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</row>
    <row r="284" spans="1:18" x14ac:dyDescent="0.2">
      <c r="A284" s="335" t="s">
        <v>766</v>
      </c>
      <c r="B284" s="757"/>
      <c r="C284" s="59"/>
      <c r="D284" s="88">
        <f t="shared" ref="D284:P284" si="77">SUM(D281:D282)</f>
        <v>0</v>
      </c>
      <c r="E284" s="88">
        <f t="shared" si="77"/>
        <v>0</v>
      </c>
      <c r="F284" s="88">
        <f t="shared" si="77"/>
        <v>0</v>
      </c>
      <c r="G284" s="88">
        <f t="shared" si="77"/>
        <v>0</v>
      </c>
      <c r="H284" s="88">
        <f t="shared" si="77"/>
        <v>0</v>
      </c>
      <c r="I284" s="88">
        <f t="shared" si="77"/>
        <v>0</v>
      </c>
      <c r="J284" s="88">
        <f t="shared" si="77"/>
        <v>0</v>
      </c>
      <c r="K284" s="88">
        <f t="shared" si="77"/>
        <v>0</v>
      </c>
      <c r="L284" s="88">
        <f t="shared" si="77"/>
        <v>0</v>
      </c>
      <c r="M284" s="88">
        <f t="shared" si="77"/>
        <v>0</v>
      </c>
      <c r="N284" s="88">
        <f t="shared" si="77"/>
        <v>0</v>
      </c>
      <c r="O284" s="88">
        <f t="shared" si="77"/>
        <v>0</v>
      </c>
      <c r="P284" s="88">
        <f t="shared" si="77"/>
        <v>0</v>
      </c>
      <c r="Q284" s="81"/>
    </row>
    <row r="285" spans="1:18" ht="6" customHeight="1" x14ac:dyDescent="0.2">
      <c r="Q285" s="77"/>
    </row>
    <row r="286" spans="1:18" x14ac:dyDescent="0.2">
      <c r="A286" s="68" t="s">
        <v>687</v>
      </c>
      <c r="B286" s="756"/>
      <c r="D286" s="70">
        <f t="shared" ref="D286:O286" si="78">D278-D284</f>
        <v>0</v>
      </c>
      <c r="E286" s="70">
        <f t="shared" si="78"/>
        <v>0</v>
      </c>
      <c r="F286" s="70">
        <f t="shared" si="78"/>
        <v>0</v>
      </c>
      <c r="G286" s="70">
        <f t="shared" si="78"/>
        <v>0</v>
      </c>
      <c r="H286" s="70">
        <f t="shared" si="78"/>
        <v>0</v>
      </c>
      <c r="I286" s="70">
        <f t="shared" si="78"/>
        <v>0</v>
      </c>
      <c r="J286" s="70">
        <f t="shared" si="78"/>
        <v>0</v>
      </c>
      <c r="K286" s="70">
        <f t="shared" si="78"/>
        <v>0</v>
      </c>
      <c r="L286" s="70">
        <f t="shared" si="78"/>
        <v>0</v>
      </c>
      <c r="M286" s="70">
        <f t="shared" si="78"/>
        <v>0</v>
      </c>
      <c r="N286" s="70">
        <f t="shared" si="78"/>
        <v>0</v>
      </c>
      <c r="O286" s="70">
        <f t="shared" si="78"/>
        <v>0</v>
      </c>
      <c r="P286" s="70">
        <f>SUM(D286:O286)</f>
        <v>0</v>
      </c>
    </row>
    <row r="287" spans="1:18" x14ac:dyDescent="0.2">
      <c r="A287" s="98" t="s">
        <v>767</v>
      </c>
      <c r="D287" s="69">
        <v>0</v>
      </c>
      <c r="E287" s="69">
        <v>0</v>
      </c>
      <c r="F287" s="69">
        <v>0</v>
      </c>
      <c r="G287" s="69">
        <v>0</v>
      </c>
      <c r="H287" s="69">
        <v>0</v>
      </c>
      <c r="I287" s="69">
        <v>0</v>
      </c>
      <c r="J287" s="69">
        <v>0</v>
      </c>
      <c r="K287" s="69">
        <v>0</v>
      </c>
      <c r="L287" s="69">
        <v>0</v>
      </c>
      <c r="M287" s="69">
        <v>0</v>
      </c>
      <c r="N287" s="69">
        <v>0</v>
      </c>
      <c r="O287" s="69">
        <v>0</v>
      </c>
      <c r="P287" s="70">
        <f>SUM(D287:O287)</f>
        <v>0</v>
      </c>
    </row>
    <row r="288" spans="1:18" x14ac:dyDescent="0.2">
      <c r="A288" s="78" t="s">
        <v>623</v>
      </c>
      <c r="D288" s="69">
        <v>0</v>
      </c>
      <c r="E288" s="69">
        <v>0</v>
      </c>
      <c r="F288" s="69">
        <v>0</v>
      </c>
      <c r="G288" s="69">
        <v>0</v>
      </c>
      <c r="H288" s="69">
        <v>0</v>
      </c>
      <c r="I288" s="69">
        <v>0</v>
      </c>
      <c r="J288" s="69">
        <v>0</v>
      </c>
      <c r="K288" s="69">
        <v>0</v>
      </c>
      <c r="L288" s="69">
        <v>0</v>
      </c>
      <c r="M288" s="69">
        <v>0</v>
      </c>
      <c r="N288" s="69">
        <v>0</v>
      </c>
      <c r="O288" s="69">
        <v>0</v>
      </c>
      <c r="P288" s="70">
        <f>SUM(D288:O288)</f>
        <v>0</v>
      </c>
    </row>
    <row r="289" spans="1:17" x14ac:dyDescent="0.2">
      <c r="A289" s="68" t="s">
        <v>653</v>
      </c>
      <c r="D289" s="257">
        <v>0</v>
      </c>
      <c r="E289" s="257">
        <v>0</v>
      </c>
      <c r="F289" s="257">
        <v>0</v>
      </c>
      <c r="G289" s="257">
        <v>0</v>
      </c>
      <c r="H289" s="257">
        <v>0</v>
      </c>
      <c r="I289" s="257">
        <v>0</v>
      </c>
      <c r="J289" s="257">
        <v>0</v>
      </c>
      <c r="K289" s="257">
        <v>0</v>
      </c>
      <c r="L289" s="257">
        <v>0</v>
      </c>
      <c r="M289" s="257">
        <v>0</v>
      </c>
      <c r="N289" s="257">
        <v>0</v>
      </c>
      <c r="O289" s="257">
        <v>0</v>
      </c>
      <c r="P289" s="72">
        <f>SUM(D289:O289)</f>
        <v>0</v>
      </c>
    </row>
    <row r="290" spans="1:17" ht="3.95" customHeight="1" x14ac:dyDescent="0.2"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1:17" x14ac:dyDescent="0.2">
      <c r="A291" s="331" t="s">
        <v>654</v>
      </c>
      <c r="B291" s="760"/>
      <c r="C291" s="59"/>
      <c r="D291" s="75">
        <f t="shared" ref="D291:O291" si="79">SUM(D286:D289)</f>
        <v>0</v>
      </c>
      <c r="E291" s="75">
        <f t="shared" si="79"/>
        <v>0</v>
      </c>
      <c r="F291" s="75">
        <f t="shared" si="79"/>
        <v>0</v>
      </c>
      <c r="G291" s="75">
        <f t="shared" si="79"/>
        <v>0</v>
      </c>
      <c r="H291" s="75">
        <f t="shared" si="79"/>
        <v>0</v>
      </c>
      <c r="I291" s="75">
        <f t="shared" si="79"/>
        <v>0</v>
      </c>
      <c r="J291" s="75">
        <f t="shared" si="79"/>
        <v>0</v>
      </c>
      <c r="K291" s="75">
        <f t="shared" si="79"/>
        <v>0</v>
      </c>
      <c r="L291" s="75">
        <f t="shared" si="79"/>
        <v>0</v>
      </c>
      <c r="M291" s="75">
        <f t="shared" si="79"/>
        <v>0</v>
      </c>
      <c r="N291" s="75">
        <f t="shared" si="79"/>
        <v>0</v>
      </c>
      <c r="O291" s="75">
        <f t="shared" si="79"/>
        <v>0</v>
      </c>
      <c r="P291" s="75">
        <f>SUM(D291:O291)</f>
        <v>0</v>
      </c>
      <c r="Q291" s="59"/>
    </row>
    <row r="292" spans="1:17" ht="8.1" customHeight="1" x14ac:dyDescent="0.2">
      <c r="A292" s="67"/>
      <c r="B292" s="75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7"/>
    </row>
    <row r="293" spans="1:17" x14ac:dyDescent="0.2">
      <c r="A293" s="335" t="s">
        <v>768</v>
      </c>
      <c r="B293" s="757"/>
      <c r="C293" s="59"/>
      <c r="D293" s="75">
        <f t="shared" ref="D293:O293" si="80">-1*D291</f>
        <v>0</v>
      </c>
      <c r="E293" s="75">
        <f t="shared" si="80"/>
        <v>0</v>
      </c>
      <c r="F293" s="75">
        <f t="shared" si="80"/>
        <v>0</v>
      </c>
      <c r="G293" s="75">
        <f t="shared" si="80"/>
        <v>0</v>
      </c>
      <c r="H293" s="75">
        <f t="shared" si="80"/>
        <v>0</v>
      </c>
      <c r="I293" s="75">
        <f t="shared" si="80"/>
        <v>0</v>
      </c>
      <c r="J293" s="75">
        <f t="shared" si="80"/>
        <v>0</v>
      </c>
      <c r="K293" s="75">
        <f t="shared" si="80"/>
        <v>0</v>
      </c>
      <c r="L293" s="75">
        <f t="shared" si="80"/>
        <v>0</v>
      </c>
      <c r="M293" s="75">
        <f t="shared" si="80"/>
        <v>0</v>
      </c>
      <c r="N293" s="75">
        <f t="shared" si="80"/>
        <v>0</v>
      </c>
      <c r="O293" s="75">
        <f t="shared" si="80"/>
        <v>0</v>
      </c>
      <c r="P293" s="75">
        <f>SUM(D293:O293)</f>
        <v>0</v>
      </c>
    </row>
    <row r="294" spans="1:17" x14ac:dyDescent="0.2">
      <c r="A294" s="67"/>
      <c r="B294" s="756"/>
    </row>
    <row r="295" spans="1:17" x14ac:dyDescent="0.2">
      <c r="A295" s="82"/>
      <c r="B295" s="758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</row>
    <row r="297" spans="1:17" x14ac:dyDescent="0.2">
      <c r="A297" s="344" t="s">
        <v>769</v>
      </c>
      <c r="B297" s="756"/>
      <c r="C297" s="63" t="str">
        <f>C30</f>
        <v>12/31/99</v>
      </c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59"/>
    </row>
    <row r="298" spans="1:17" ht="3.95" customHeight="1" x14ac:dyDescent="0.2">
      <c r="A298" s="67"/>
      <c r="B298" s="756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1:17" x14ac:dyDescent="0.2">
      <c r="A299" s="329" t="s">
        <v>657</v>
      </c>
      <c r="B299" s="756"/>
      <c r="D299" s="70">
        <f t="shared" ref="D299:O299" si="81">C309</f>
        <v>0</v>
      </c>
      <c r="E299" s="70">
        <f t="shared" si="81"/>
        <v>0</v>
      </c>
      <c r="F299" s="70">
        <f t="shared" si="81"/>
        <v>0</v>
      </c>
      <c r="G299" s="70">
        <f t="shared" si="81"/>
        <v>0</v>
      </c>
      <c r="H299" s="70">
        <f t="shared" si="81"/>
        <v>0</v>
      </c>
      <c r="I299" s="70">
        <f t="shared" si="81"/>
        <v>0</v>
      </c>
      <c r="J299" s="70">
        <f t="shared" si="81"/>
        <v>0</v>
      </c>
      <c r="K299" s="70">
        <f t="shared" si="81"/>
        <v>0</v>
      </c>
      <c r="L299" s="70">
        <f t="shared" si="81"/>
        <v>0</v>
      </c>
      <c r="M299" s="70">
        <f t="shared" si="81"/>
        <v>0</v>
      </c>
      <c r="N299" s="70">
        <f t="shared" si="81"/>
        <v>0</v>
      </c>
      <c r="O299" s="70">
        <f t="shared" si="81"/>
        <v>0</v>
      </c>
      <c r="P299" s="70"/>
      <c r="Q299" s="77"/>
    </row>
    <row r="300" spans="1:17" ht="6" customHeight="1" x14ac:dyDescent="0.2">
      <c r="A300" s="330"/>
    </row>
    <row r="301" spans="1:17" x14ac:dyDescent="0.2">
      <c r="A301" s="78" t="s">
        <v>730</v>
      </c>
      <c r="B301" s="94"/>
      <c r="D301" s="69">
        <v>0</v>
      </c>
      <c r="E301" s="69">
        <v>0</v>
      </c>
      <c r="F301" s="69">
        <v>0</v>
      </c>
      <c r="G301" s="69">
        <v>0</v>
      </c>
      <c r="H301" s="69">
        <v>0</v>
      </c>
      <c r="I301" s="69">
        <v>0</v>
      </c>
      <c r="J301" s="69">
        <v>0</v>
      </c>
      <c r="K301" s="69">
        <v>0</v>
      </c>
      <c r="L301" s="69">
        <v>0</v>
      </c>
      <c r="M301" s="69">
        <v>0</v>
      </c>
      <c r="N301" s="69">
        <v>0</v>
      </c>
      <c r="O301" s="69">
        <v>0</v>
      </c>
      <c r="P301" s="70">
        <f>SUM(D301:O301)</f>
        <v>0</v>
      </c>
    </row>
    <row r="302" spans="1:17" ht="6" customHeight="1" x14ac:dyDescent="0.2">
      <c r="A302" s="67"/>
      <c r="B302" s="756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</row>
    <row r="303" spans="1:17" x14ac:dyDescent="0.2">
      <c r="A303" s="336" t="s">
        <v>770</v>
      </c>
      <c r="B303" s="756"/>
      <c r="D303" s="70">
        <f t="shared" ref="D303:O303" si="82">D293</f>
        <v>0</v>
      </c>
      <c r="E303" s="70">
        <f t="shared" si="82"/>
        <v>0</v>
      </c>
      <c r="F303" s="70">
        <f t="shared" si="82"/>
        <v>0</v>
      </c>
      <c r="G303" s="70">
        <f t="shared" si="82"/>
        <v>0</v>
      </c>
      <c r="H303" s="70">
        <f t="shared" si="82"/>
        <v>0</v>
      </c>
      <c r="I303" s="70">
        <f t="shared" si="82"/>
        <v>0</v>
      </c>
      <c r="J303" s="70">
        <f t="shared" si="82"/>
        <v>0</v>
      </c>
      <c r="K303" s="70">
        <f t="shared" si="82"/>
        <v>0</v>
      </c>
      <c r="L303" s="70">
        <f t="shared" si="82"/>
        <v>0</v>
      </c>
      <c r="M303" s="70">
        <f t="shared" si="82"/>
        <v>0</v>
      </c>
      <c r="N303" s="70">
        <f t="shared" si="82"/>
        <v>0</v>
      </c>
      <c r="O303" s="70">
        <f t="shared" si="82"/>
        <v>0</v>
      </c>
      <c r="P303" s="70">
        <f>SUM(D303:O303)</f>
        <v>0</v>
      </c>
      <c r="Q303" s="77"/>
    </row>
    <row r="304" spans="1:17" ht="6" customHeight="1" x14ac:dyDescent="0.2">
      <c r="A304" s="67"/>
      <c r="B304" s="75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</row>
    <row r="305" spans="1:17" x14ac:dyDescent="0.2">
      <c r="A305" s="336" t="s">
        <v>748</v>
      </c>
      <c r="B305" s="756"/>
      <c r="D305" s="69">
        <v>0</v>
      </c>
      <c r="E305" s="69">
        <v>0</v>
      </c>
      <c r="F305" s="69">
        <v>0</v>
      </c>
      <c r="G305" s="69">
        <v>0</v>
      </c>
      <c r="H305" s="69">
        <v>0</v>
      </c>
      <c r="I305" s="69">
        <v>0</v>
      </c>
      <c r="J305" s="69">
        <v>0</v>
      </c>
      <c r="K305" s="69">
        <v>0</v>
      </c>
      <c r="L305" s="69">
        <v>0</v>
      </c>
      <c r="M305" s="69">
        <v>0</v>
      </c>
      <c r="N305" s="69">
        <v>0</v>
      </c>
      <c r="O305" s="69">
        <v>0</v>
      </c>
      <c r="P305" s="70">
        <f>SUM(D305:O305)</f>
        <v>0</v>
      </c>
      <c r="Q305" s="77"/>
    </row>
    <row r="306" spans="1:17" ht="6" customHeight="1" x14ac:dyDescent="0.2">
      <c r="A306" s="67"/>
      <c r="B306" s="756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</row>
    <row r="307" spans="1:17" x14ac:dyDescent="0.2">
      <c r="A307" s="68" t="s">
        <v>693</v>
      </c>
      <c r="B307" s="756"/>
      <c r="D307" s="72">
        <f t="shared" ref="D307:O307" si="83">D315</f>
        <v>0</v>
      </c>
      <c r="E307" s="72">
        <f t="shared" si="83"/>
        <v>0</v>
      </c>
      <c r="F307" s="72">
        <f t="shared" si="83"/>
        <v>0</v>
      </c>
      <c r="G307" s="72">
        <f t="shared" si="83"/>
        <v>0</v>
      </c>
      <c r="H307" s="72">
        <f t="shared" si="83"/>
        <v>0</v>
      </c>
      <c r="I307" s="72">
        <f t="shared" si="83"/>
        <v>0</v>
      </c>
      <c r="J307" s="72">
        <f t="shared" si="83"/>
        <v>0</v>
      </c>
      <c r="K307" s="72">
        <f t="shared" si="83"/>
        <v>0</v>
      </c>
      <c r="L307" s="72">
        <f t="shared" si="83"/>
        <v>0</v>
      </c>
      <c r="M307" s="72">
        <f t="shared" si="83"/>
        <v>0</v>
      </c>
      <c r="N307" s="72">
        <f t="shared" si="83"/>
        <v>0</v>
      </c>
      <c r="O307" s="72">
        <f t="shared" si="83"/>
        <v>0</v>
      </c>
      <c r="P307" s="72">
        <f>SUM(D307:O307)</f>
        <v>0</v>
      </c>
      <c r="Q307" s="99"/>
    </row>
    <row r="308" spans="1:17" ht="3.95" customHeight="1" x14ac:dyDescent="0.2">
      <c r="A308" s="67"/>
      <c r="B308" s="756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1:17" x14ac:dyDescent="0.2">
      <c r="A309" s="329" t="s">
        <v>662</v>
      </c>
      <c r="C309" s="254">
        <v>0</v>
      </c>
      <c r="D309" s="88">
        <f t="shared" ref="D309:O309" si="84">SUM(D299:D307)</f>
        <v>0</v>
      </c>
      <c r="E309" s="88">
        <f t="shared" si="84"/>
        <v>0</v>
      </c>
      <c r="F309" s="88">
        <f t="shared" si="84"/>
        <v>0</v>
      </c>
      <c r="G309" s="88">
        <f t="shared" si="84"/>
        <v>0</v>
      </c>
      <c r="H309" s="88">
        <f t="shared" si="84"/>
        <v>0</v>
      </c>
      <c r="I309" s="88">
        <f t="shared" si="84"/>
        <v>0</v>
      </c>
      <c r="J309" s="88">
        <f t="shared" si="84"/>
        <v>0</v>
      </c>
      <c r="K309" s="88">
        <f t="shared" si="84"/>
        <v>0</v>
      </c>
      <c r="L309" s="88">
        <f t="shared" si="84"/>
        <v>0</v>
      </c>
      <c r="M309" s="88">
        <f t="shared" si="84"/>
        <v>0</v>
      </c>
      <c r="N309" s="88">
        <f t="shared" si="84"/>
        <v>0</v>
      </c>
      <c r="O309" s="88">
        <f t="shared" si="84"/>
        <v>0</v>
      </c>
      <c r="P309" s="88">
        <f>SUM(P301:P307)+D299</f>
        <v>0</v>
      </c>
      <c r="Q309" s="77"/>
    </row>
    <row r="310" spans="1:17" x14ac:dyDescent="0.2">
      <c r="A310" s="67"/>
      <c r="B310" s="756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</row>
    <row r="312" spans="1:17" x14ac:dyDescent="0.2">
      <c r="A312" s="68" t="s">
        <v>733</v>
      </c>
      <c r="B312" s="756"/>
      <c r="D312" s="100">
        <f t="shared" ref="D312:O312" si="85">D45</f>
        <v>9.0200000000000002E-2</v>
      </c>
      <c r="E312" s="100">
        <f t="shared" si="85"/>
        <v>9.0200000000000002E-2</v>
      </c>
      <c r="F312" s="100">
        <f t="shared" si="85"/>
        <v>9.0200000000000002E-2</v>
      </c>
      <c r="G312" s="100">
        <f t="shared" si="85"/>
        <v>9.0200000000000002E-2</v>
      </c>
      <c r="H312" s="100">
        <f t="shared" si="85"/>
        <v>9.0200000000000002E-2</v>
      </c>
      <c r="I312" s="100">
        <f t="shared" si="85"/>
        <v>9.0200000000000002E-2</v>
      </c>
      <c r="J312" s="100">
        <f t="shared" si="85"/>
        <v>9.0200000000000002E-2</v>
      </c>
      <c r="K312" s="100">
        <f t="shared" si="85"/>
        <v>9.0200000000000002E-2</v>
      </c>
      <c r="L312" s="100">
        <f t="shared" si="85"/>
        <v>9.0200000000000002E-2</v>
      </c>
      <c r="M312" s="100">
        <f t="shared" si="85"/>
        <v>9.0200000000000002E-2</v>
      </c>
      <c r="N312" s="100">
        <f t="shared" si="85"/>
        <v>9.0200000000000002E-2</v>
      </c>
      <c r="O312" s="100">
        <f t="shared" si="85"/>
        <v>9.0200000000000002E-2</v>
      </c>
    </row>
    <row r="313" spans="1:17" x14ac:dyDescent="0.2">
      <c r="A313" s="68" t="s">
        <v>664</v>
      </c>
      <c r="B313" s="756"/>
      <c r="D313" s="90">
        <f t="shared" ref="D313:O313" si="86">D46</f>
        <v>7.7000000000000002E-3</v>
      </c>
      <c r="E313" s="90">
        <f t="shared" si="86"/>
        <v>6.8999999999999999E-3</v>
      </c>
      <c r="F313" s="90">
        <f t="shared" si="86"/>
        <v>7.7000000000000002E-3</v>
      </c>
      <c r="G313" s="90">
        <f t="shared" si="86"/>
        <v>7.4000000000000003E-3</v>
      </c>
      <c r="H313" s="90">
        <f t="shared" si="86"/>
        <v>7.7000000000000002E-3</v>
      </c>
      <c r="I313" s="90">
        <f t="shared" si="86"/>
        <v>7.4000000000000003E-3</v>
      </c>
      <c r="J313" s="90">
        <f t="shared" si="86"/>
        <v>7.7000000000000002E-3</v>
      </c>
      <c r="K313" s="90">
        <f t="shared" si="86"/>
        <v>7.7000000000000002E-3</v>
      </c>
      <c r="L313" s="90">
        <f t="shared" si="86"/>
        <v>7.4000000000000003E-3</v>
      </c>
      <c r="M313" s="90">
        <f t="shared" si="86"/>
        <v>7.7000000000000002E-3</v>
      </c>
      <c r="N313" s="90">
        <f t="shared" si="86"/>
        <v>7.4000000000000003E-3</v>
      </c>
      <c r="O313" s="90">
        <f t="shared" si="86"/>
        <v>7.7000000000000002E-3</v>
      </c>
      <c r="Q313" s="102"/>
    </row>
    <row r="314" spans="1:17" ht="12.75" customHeight="1" x14ac:dyDescent="0.2">
      <c r="A314" s="67"/>
      <c r="B314" s="756"/>
    </row>
    <row r="315" spans="1:17" x14ac:dyDescent="0.2">
      <c r="A315" s="66" t="s">
        <v>665</v>
      </c>
      <c r="B315" s="757"/>
      <c r="C315" s="59"/>
      <c r="D315" s="75">
        <f>ROUND(C309*D313,0)</f>
        <v>0</v>
      </c>
      <c r="E315" s="75">
        <f>ROUND(D309*E313,0)</f>
        <v>0</v>
      </c>
      <c r="F315" s="75">
        <f>ROUND(E309*F313,0)</f>
        <v>0</v>
      </c>
      <c r="G315" s="75">
        <f t="shared" ref="G315:O315" si="87">ROUND(F309*G313,0)</f>
        <v>0</v>
      </c>
      <c r="H315" s="75">
        <f t="shared" si="87"/>
        <v>0</v>
      </c>
      <c r="I315" s="75">
        <f t="shared" si="87"/>
        <v>0</v>
      </c>
      <c r="J315" s="75">
        <f t="shared" si="87"/>
        <v>0</v>
      </c>
      <c r="K315" s="75">
        <f t="shared" si="87"/>
        <v>0</v>
      </c>
      <c r="L315" s="75">
        <f t="shared" si="87"/>
        <v>0</v>
      </c>
      <c r="M315" s="75">
        <f t="shared" si="87"/>
        <v>0</v>
      </c>
      <c r="N315" s="75">
        <f t="shared" si="87"/>
        <v>0</v>
      </c>
      <c r="O315" s="75">
        <f t="shared" si="87"/>
        <v>0</v>
      </c>
      <c r="P315" s="75">
        <f>SUM(D315:O315)</f>
        <v>0</v>
      </c>
      <c r="Q315" s="59"/>
    </row>
    <row r="316" spans="1:17" ht="6" customHeight="1" x14ac:dyDescent="0.2">
      <c r="A316" s="67"/>
      <c r="B316" s="756"/>
    </row>
    <row r="317" spans="1:17" x14ac:dyDescent="0.2">
      <c r="A317" s="66" t="s">
        <v>666</v>
      </c>
      <c r="B317" s="756"/>
      <c r="D317" s="70">
        <f>D315</f>
        <v>0</v>
      </c>
      <c r="E317" s="70">
        <f t="shared" ref="E317:O317" si="88">E315+D317</f>
        <v>0</v>
      </c>
      <c r="F317" s="70">
        <f t="shared" si="88"/>
        <v>0</v>
      </c>
      <c r="G317" s="70">
        <f t="shared" si="88"/>
        <v>0</v>
      </c>
      <c r="H317" s="70">
        <f t="shared" si="88"/>
        <v>0</v>
      </c>
      <c r="I317" s="70">
        <f t="shared" si="88"/>
        <v>0</v>
      </c>
      <c r="J317" s="70">
        <f t="shared" si="88"/>
        <v>0</v>
      </c>
      <c r="K317" s="70">
        <f t="shared" si="88"/>
        <v>0</v>
      </c>
      <c r="L317" s="70">
        <f t="shared" si="88"/>
        <v>0</v>
      </c>
      <c r="M317" s="70">
        <f t="shared" si="88"/>
        <v>0</v>
      </c>
      <c r="N317" s="70">
        <f t="shared" si="88"/>
        <v>0</v>
      </c>
      <c r="O317" s="70">
        <f t="shared" si="88"/>
        <v>0</v>
      </c>
    </row>
    <row r="318" spans="1:17" customFormat="1" ht="5.25" customHeight="1" x14ac:dyDescent="0.2">
      <c r="B318" s="759"/>
    </row>
    <row r="319" spans="1:17" customFormat="1" ht="5.25" customHeight="1" x14ac:dyDescent="0.2">
      <c r="B319" s="759"/>
    </row>
    <row r="320" spans="1:17" customFormat="1" ht="5.25" customHeight="1" x14ac:dyDescent="0.2">
      <c r="B320" s="759"/>
    </row>
    <row r="321" spans="1:16" x14ac:dyDescent="0.2">
      <c r="A321" s="553" t="str">
        <f ca="1">A1</f>
        <v>P:\Finance\2002 Plan\[EMTW02PL.XLS]IncomeState</v>
      </c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</row>
    <row r="322" spans="1:16" x14ac:dyDescent="0.2">
      <c r="A322" s="326" t="s">
        <v>771</v>
      </c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</row>
    <row r="323" spans="1:16" x14ac:dyDescent="0.2">
      <c r="A323" s="340" t="str">
        <f>A3</f>
        <v>2002 OPERATING PLAN</v>
      </c>
      <c r="B323" s="754">
        <f ca="1">NOW()</f>
        <v>37189.6149224537</v>
      </c>
      <c r="C323" s="61" t="s">
        <v>772</v>
      </c>
      <c r="D323" s="61"/>
      <c r="E323" s="60"/>
      <c r="F323" s="60"/>
      <c r="G323" s="61"/>
      <c r="H323" s="61"/>
      <c r="I323" s="61"/>
      <c r="J323" s="60"/>
      <c r="K323" s="60"/>
      <c r="L323" s="60"/>
      <c r="M323" s="60"/>
      <c r="N323" s="60"/>
      <c r="O323" s="60"/>
      <c r="P323" s="91"/>
    </row>
    <row r="324" spans="1:16" ht="12.95" customHeight="1" x14ac:dyDescent="0.2">
      <c r="A324" s="62"/>
      <c r="B324" s="755">
        <f ca="1">NOW()</f>
        <v>37189.6149224537</v>
      </c>
      <c r="C324" s="324" t="str">
        <f t="shared" ref="C324:P324" si="89">C4</f>
        <v>BALANCE</v>
      </c>
      <c r="D324" s="324" t="str">
        <f t="shared" si="89"/>
        <v>JAN</v>
      </c>
      <c r="E324" s="324" t="str">
        <f t="shared" si="89"/>
        <v>FEB</v>
      </c>
      <c r="F324" s="324" t="str">
        <f t="shared" si="89"/>
        <v>MAR</v>
      </c>
      <c r="G324" s="324" t="str">
        <f t="shared" si="89"/>
        <v>APR</v>
      </c>
      <c r="H324" s="324" t="str">
        <f t="shared" si="89"/>
        <v>MAY</v>
      </c>
      <c r="I324" s="324" t="str">
        <f t="shared" si="89"/>
        <v>JUN</v>
      </c>
      <c r="J324" s="324" t="str">
        <f t="shared" si="89"/>
        <v>JUL</v>
      </c>
      <c r="K324" s="324" t="str">
        <f t="shared" si="89"/>
        <v>AUG</v>
      </c>
      <c r="L324" s="324" t="str">
        <f t="shared" si="89"/>
        <v>SEP</v>
      </c>
      <c r="M324" s="324" t="str">
        <f t="shared" si="89"/>
        <v>OCT</v>
      </c>
      <c r="N324" s="324" t="str">
        <f t="shared" si="89"/>
        <v>NOV</v>
      </c>
      <c r="O324" s="324" t="str">
        <f t="shared" si="89"/>
        <v>DEC</v>
      </c>
      <c r="P324" s="324">
        <f t="shared" si="89"/>
        <v>2002</v>
      </c>
    </row>
    <row r="325" spans="1:16" ht="3.95" customHeight="1" x14ac:dyDescent="0.2"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5"/>
    </row>
    <row r="326" spans="1:16" x14ac:dyDescent="0.2">
      <c r="A326" s="329" t="s">
        <v>773</v>
      </c>
      <c r="B326" s="756"/>
    </row>
    <row r="327" spans="1:16" x14ac:dyDescent="0.2">
      <c r="A327" s="68" t="s">
        <v>642</v>
      </c>
      <c r="B327" s="756"/>
      <c r="D327" s="70">
        <f t="shared" ref="D327:O327" si="90">D213</f>
        <v>0</v>
      </c>
      <c r="E327" s="70">
        <f t="shared" si="90"/>
        <v>0</v>
      </c>
      <c r="F327" s="70">
        <f t="shared" si="90"/>
        <v>0</v>
      </c>
      <c r="G327" s="70">
        <f t="shared" si="90"/>
        <v>0</v>
      </c>
      <c r="H327" s="70">
        <f t="shared" si="90"/>
        <v>0</v>
      </c>
      <c r="I327" s="70">
        <f t="shared" si="90"/>
        <v>0</v>
      </c>
      <c r="J327" s="70">
        <f t="shared" si="90"/>
        <v>0</v>
      </c>
      <c r="K327" s="70">
        <f t="shared" si="90"/>
        <v>0</v>
      </c>
      <c r="L327" s="70">
        <f t="shared" si="90"/>
        <v>0</v>
      </c>
      <c r="M327" s="70">
        <f t="shared" si="90"/>
        <v>0</v>
      </c>
      <c r="N327" s="70">
        <f t="shared" si="90"/>
        <v>0</v>
      </c>
      <c r="O327" s="70">
        <f t="shared" si="90"/>
        <v>0</v>
      </c>
      <c r="P327" s="70">
        <f>SUM(D327:O327)</f>
        <v>0</v>
      </c>
    </row>
    <row r="328" spans="1:16" x14ac:dyDescent="0.2">
      <c r="A328" s="336" t="s">
        <v>703</v>
      </c>
      <c r="D328" s="70">
        <f t="shared" ref="D328:O328" si="91">D214</f>
        <v>0</v>
      </c>
      <c r="E328" s="70">
        <f t="shared" si="91"/>
        <v>0</v>
      </c>
      <c r="F328" s="70">
        <f t="shared" si="91"/>
        <v>0</v>
      </c>
      <c r="G328" s="70">
        <f t="shared" si="91"/>
        <v>0</v>
      </c>
      <c r="H328" s="70">
        <f t="shared" si="91"/>
        <v>0</v>
      </c>
      <c r="I328" s="70">
        <f t="shared" si="91"/>
        <v>0</v>
      </c>
      <c r="J328" s="70">
        <f t="shared" si="91"/>
        <v>0</v>
      </c>
      <c r="K328" s="70">
        <f t="shared" si="91"/>
        <v>0</v>
      </c>
      <c r="L328" s="70">
        <f t="shared" si="91"/>
        <v>0</v>
      </c>
      <c r="M328" s="70">
        <f t="shared" si="91"/>
        <v>0</v>
      </c>
      <c r="N328" s="70">
        <f t="shared" si="91"/>
        <v>0</v>
      </c>
      <c r="O328" s="70">
        <f t="shared" si="91"/>
        <v>0</v>
      </c>
      <c r="P328" s="70">
        <f>SUM(D328:O328)</f>
        <v>0</v>
      </c>
    </row>
    <row r="329" spans="1:16" x14ac:dyDescent="0.2">
      <c r="A329" s="336" t="s">
        <v>704</v>
      </c>
      <c r="D329" s="72">
        <f t="shared" ref="D329:O329" si="92">D215</f>
        <v>0</v>
      </c>
      <c r="E329" s="72">
        <f t="shared" si="92"/>
        <v>0</v>
      </c>
      <c r="F329" s="72">
        <f t="shared" si="92"/>
        <v>0</v>
      </c>
      <c r="G329" s="72">
        <f t="shared" si="92"/>
        <v>0</v>
      </c>
      <c r="H329" s="72">
        <f t="shared" si="92"/>
        <v>0</v>
      </c>
      <c r="I329" s="72">
        <f t="shared" si="92"/>
        <v>0</v>
      </c>
      <c r="J329" s="72">
        <f t="shared" si="92"/>
        <v>0</v>
      </c>
      <c r="K329" s="72">
        <f t="shared" si="92"/>
        <v>0</v>
      </c>
      <c r="L329" s="72">
        <f t="shared" si="92"/>
        <v>0</v>
      </c>
      <c r="M329" s="72">
        <f t="shared" si="92"/>
        <v>0</v>
      </c>
      <c r="N329" s="72">
        <f t="shared" si="92"/>
        <v>0</v>
      </c>
      <c r="O329" s="72">
        <f t="shared" si="92"/>
        <v>0</v>
      </c>
      <c r="P329" s="72">
        <f>SUM(D329:O329)</f>
        <v>0</v>
      </c>
    </row>
    <row r="330" spans="1:16" ht="3.95" customHeight="1" x14ac:dyDescent="0.2"/>
    <row r="331" spans="1:16" x14ac:dyDescent="0.2">
      <c r="A331" s="68" t="s">
        <v>645</v>
      </c>
      <c r="B331" s="756"/>
      <c r="D331" s="70">
        <f t="shared" ref="D331:O331" si="93">D327+D328+D329</f>
        <v>0</v>
      </c>
      <c r="E331" s="70">
        <f t="shared" si="93"/>
        <v>0</v>
      </c>
      <c r="F331" s="70">
        <f t="shared" si="93"/>
        <v>0</v>
      </c>
      <c r="G331" s="70">
        <f t="shared" si="93"/>
        <v>0</v>
      </c>
      <c r="H331" s="70">
        <f t="shared" si="93"/>
        <v>0</v>
      </c>
      <c r="I331" s="70">
        <f t="shared" si="93"/>
        <v>0</v>
      </c>
      <c r="J331" s="70">
        <f t="shared" si="93"/>
        <v>0</v>
      </c>
      <c r="K331" s="70">
        <f t="shared" si="93"/>
        <v>0</v>
      </c>
      <c r="L331" s="70">
        <f t="shared" si="93"/>
        <v>0</v>
      </c>
      <c r="M331" s="70">
        <f t="shared" si="93"/>
        <v>0</v>
      </c>
      <c r="N331" s="70">
        <f t="shared" si="93"/>
        <v>0</v>
      </c>
      <c r="O331" s="70">
        <f t="shared" si="93"/>
        <v>0</v>
      </c>
      <c r="P331" s="70">
        <f>SUM(D331:O331)</f>
        <v>0</v>
      </c>
    </row>
    <row r="332" spans="1:16" ht="3.95" customHeight="1" x14ac:dyDescent="0.2"/>
    <row r="333" spans="1:16" x14ac:dyDescent="0.2">
      <c r="A333" s="336" t="s">
        <v>774</v>
      </c>
      <c r="B333" s="756"/>
      <c r="D333" s="73">
        <f t="shared" ref="D333:P333" si="94">IF(D331=0,0,ROUND(D335/D331,4))</f>
        <v>0</v>
      </c>
      <c r="E333" s="73">
        <f t="shared" si="94"/>
        <v>0</v>
      </c>
      <c r="F333" s="73">
        <f t="shared" si="94"/>
        <v>0</v>
      </c>
      <c r="G333" s="73">
        <f t="shared" si="94"/>
        <v>0</v>
      </c>
      <c r="H333" s="73">
        <f t="shared" si="94"/>
        <v>0</v>
      </c>
      <c r="I333" s="73">
        <f t="shared" si="94"/>
        <v>0</v>
      </c>
      <c r="J333" s="73">
        <f t="shared" si="94"/>
        <v>0</v>
      </c>
      <c r="K333" s="73">
        <f t="shared" si="94"/>
        <v>0</v>
      </c>
      <c r="L333" s="73">
        <f t="shared" si="94"/>
        <v>0</v>
      </c>
      <c r="M333" s="73">
        <f t="shared" si="94"/>
        <v>0</v>
      </c>
      <c r="N333" s="73">
        <f t="shared" si="94"/>
        <v>0</v>
      </c>
      <c r="O333" s="73">
        <f t="shared" si="94"/>
        <v>0</v>
      </c>
      <c r="P333" s="73">
        <f t="shared" si="94"/>
        <v>0</v>
      </c>
    </row>
    <row r="334" spans="1:16" ht="3.95" customHeight="1" x14ac:dyDescent="0.2"/>
    <row r="335" spans="1:16" x14ac:dyDescent="0.2">
      <c r="A335" s="336" t="s">
        <v>775</v>
      </c>
      <c r="B335" s="756"/>
      <c r="D335" s="70">
        <v>0</v>
      </c>
      <c r="E335" s="70">
        <v>0</v>
      </c>
      <c r="F335" s="70">
        <v>0</v>
      </c>
      <c r="G335" s="70">
        <v>0</v>
      </c>
      <c r="H335" s="70">
        <v>0</v>
      </c>
      <c r="I335" s="70">
        <v>0</v>
      </c>
      <c r="J335" s="70">
        <v>0</v>
      </c>
      <c r="K335" s="70">
        <v>0</v>
      </c>
      <c r="L335" s="70">
        <v>0</v>
      </c>
      <c r="M335" s="70">
        <v>0</v>
      </c>
      <c r="N335" s="70">
        <v>0</v>
      </c>
      <c r="O335" s="70">
        <v>0</v>
      </c>
      <c r="P335" s="70">
        <f>SUM(D335:O335)</f>
        <v>0</v>
      </c>
    </row>
    <row r="336" spans="1:16" x14ac:dyDescent="0.2">
      <c r="A336" s="78" t="s">
        <v>709</v>
      </c>
      <c r="D336" s="69">
        <v>0</v>
      </c>
      <c r="E336" s="69">
        <v>0</v>
      </c>
      <c r="F336" s="69">
        <v>0</v>
      </c>
      <c r="G336" s="69">
        <v>0</v>
      </c>
      <c r="H336" s="69">
        <v>0</v>
      </c>
      <c r="I336" s="69">
        <v>0</v>
      </c>
      <c r="J336" s="69">
        <v>0</v>
      </c>
      <c r="K336" s="69">
        <v>0</v>
      </c>
      <c r="L336" s="69">
        <v>0</v>
      </c>
      <c r="M336" s="69">
        <v>0</v>
      </c>
      <c r="N336" s="69">
        <v>0</v>
      </c>
      <c r="O336" s="69">
        <v>0</v>
      </c>
      <c r="P336" s="70">
        <f>SUM(D336:O336)</f>
        <v>0</v>
      </c>
    </row>
    <row r="337" spans="1:16" x14ac:dyDescent="0.2">
      <c r="A337" s="98" t="s">
        <v>776</v>
      </c>
      <c r="D337" s="69">
        <v>0</v>
      </c>
      <c r="E337" s="69">
        <v>0</v>
      </c>
      <c r="F337" s="69">
        <v>0</v>
      </c>
      <c r="G337" s="69">
        <v>0</v>
      </c>
      <c r="H337" s="69">
        <v>0</v>
      </c>
      <c r="I337" s="69">
        <v>0</v>
      </c>
      <c r="J337" s="69">
        <v>0</v>
      </c>
      <c r="K337" s="69">
        <v>0</v>
      </c>
      <c r="L337" s="69">
        <v>0</v>
      </c>
      <c r="M337" s="69">
        <v>0</v>
      </c>
      <c r="N337" s="69">
        <v>0</v>
      </c>
      <c r="O337" s="69">
        <v>0</v>
      </c>
      <c r="P337" s="70">
        <f>SUM(D337:O337)</f>
        <v>0</v>
      </c>
    </row>
    <row r="338" spans="1:16" x14ac:dyDescent="0.2">
      <c r="A338" s="78" t="s">
        <v>624</v>
      </c>
      <c r="D338" s="69">
        <v>0</v>
      </c>
      <c r="E338" s="69">
        <v>0</v>
      </c>
      <c r="F338" s="69">
        <v>0</v>
      </c>
      <c r="G338" s="69">
        <v>0</v>
      </c>
      <c r="H338" s="69">
        <v>0</v>
      </c>
      <c r="I338" s="69">
        <v>0</v>
      </c>
      <c r="J338" s="69">
        <v>0</v>
      </c>
      <c r="K338" s="69">
        <v>0</v>
      </c>
      <c r="L338" s="69">
        <v>0</v>
      </c>
      <c r="M338" s="69">
        <v>0</v>
      </c>
      <c r="N338" s="69">
        <v>0</v>
      </c>
      <c r="O338" s="69">
        <v>0</v>
      </c>
      <c r="P338" s="70">
        <f>SUM(D338:O338)</f>
        <v>0</v>
      </c>
    </row>
    <row r="339" spans="1:16" x14ac:dyDescent="0.2">
      <c r="A339" s="78" t="s">
        <v>624</v>
      </c>
      <c r="D339" s="257">
        <v>0</v>
      </c>
      <c r="E339" s="257">
        <v>0</v>
      </c>
      <c r="F339" s="257">
        <v>0</v>
      </c>
      <c r="G339" s="257">
        <v>0</v>
      </c>
      <c r="H339" s="257">
        <v>0</v>
      </c>
      <c r="I339" s="257">
        <v>0</v>
      </c>
      <c r="J339" s="257">
        <v>0</v>
      </c>
      <c r="K339" s="257">
        <v>0</v>
      </c>
      <c r="L339" s="257">
        <v>0</v>
      </c>
      <c r="M339" s="257">
        <v>0</v>
      </c>
      <c r="N339" s="257">
        <v>0</v>
      </c>
      <c r="O339" s="257">
        <v>0</v>
      </c>
      <c r="P339" s="72">
        <f>SUM(D339:O339)</f>
        <v>0</v>
      </c>
    </row>
    <row r="340" spans="1:16" ht="3.95" customHeight="1" x14ac:dyDescent="0.2"/>
    <row r="341" spans="1:16" x14ac:dyDescent="0.2">
      <c r="A341" s="335" t="s">
        <v>777</v>
      </c>
      <c r="D341" s="88">
        <f t="shared" ref="D341:P341" si="95">SUM(D335:D339)</f>
        <v>0</v>
      </c>
      <c r="E341" s="88">
        <f t="shared" si="95"/>
        <v>0</v>
      </c>
      <c r="F341" s="88">
        <f t="shared" si="95"/>
        <v>0</v>
      </c>
      <c r="G341" s="88">
        <f t="shared" si="95"/>
        <v>0</v>
      </c>
      <c r="H341" s="88">
        <f t="shared" si="95"/>
        <v>0</v>
      </c>
      <c r="I341" s="88">
        <f t="shared" si="95"/>
        <v>0</v>
      </c>
      <c r="J341" s="88">
        <f t="shared" si="95"/>
        <v>0</v>
      </c>
      <c r="K341" s="88">
        <f t="shared" si="95"/>
        <v>0</v>
      </c>
      <c r="L341" s="88">
        <f t="shared" si="95"/>
        <v>0</v>
      </c>
      <c r="M341" s="88">
        <f t="shared" si="95"/>
        <v>0</v>
      </c>
      <c r="N341" s="88">
        <f t="shared" si="95"/>
        <v>0</v>
      </c>
      <c r="O341" s="88">
        <f t="shared" si="95"/>
        <v>0</v>
      </c>
      <c r="P341" s="88">
        <f t="shared" si="95"/>
        <v>0</v>
      </c>
    </row>
    <row r="342" spans="1:16" x14ac:dyDescent="0.2">
      <c r="A342" s="343"/>
    </row>
    <row r="343" spans="1:16" x14ac:dyDescent="0.2">
      <c r="A343" s="335" t="s">
        <v>778</v>
      </c>
      <c r="B343" s="75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</row>
    <row r="344" spans="1:16" x14ac:dyDescent="0.2">
      <c r="A344" s="98" t="s">
        <v>779</v>
      </c>
      <c r="D344" s="69">
        <v>0</v>
      </c>
      <c r="E344" s="69">
        <v>0</v>
      </c>
      <c r="F344" s="69">
        <v>0</v>
      </c>
      <c r="G344" s="69">
        <v>0</v>
      </c>
      <c r="H344" s="69">
        <v>0</v>
      </c>
      <c r="I344" s="69">
        <v>0</v>
      </c>
      <c r="J344" s="69">
        <v>0</v>
      </c>
      <c r="K344" s="69">
        <v>0</v>
      </c>
      <c r="L344" s="69">
        <v>0</v>
      </c>
      <c r="M344" s="69">
        <v>0</v>
      </c>
      <c r="N344" s="69">
        <v>0</v>
      </c>
      <c r="O344" s="69">
        <v>0</v>
      </c>
      <c r="P344" s="70">
        <f>SUM(D344:O344)</f>
        <v>0</v>
      </c>
    </row>
    <row r="345" spans="1:16" x14ac:dyDescent="0.2">
      <c r="A345" s="78" t="s">
        <v>782</v>
      </c>
      <c r="D345" s="69">
        <v>0</v>
      </c>
      <c r="E345" s="69">
        <v>0</v>
      </c>
      <c r="F345" s="69">
        <v>0</v>
      </c>
      <c r="G345" s="69">
        <v>0</v>
      </c>
      <c r="H345" s="69">
        <v>0</v>
      </c>
      <c r="I345" s="69">
        <v>0</v>
      </c>
      <c r="J345" s="69">
        <v>0</v>
      </c>
      <c r="K345" s="69">
        <v>0</v>
      </c>
      <c r="L345" s="69">
        <v>0</v>
      </c>
      <c r="M345" s="69">
        <v>0</v>
      </c>
      <c r="N345" s="69">
        <v>0</v>
      </c>
      <c r="O345" s="69">
        <v>0</v>
      </c>
      <c r="P345" s="70">
        <f>SUM(D345:O345)</f>
        <v>0</v>
      </c>
    </row>
    <row r="346" spans="1:16" x14ac:dyDescent="0.2">
      <c r="A346" s="78" t="s">
        <v>624</v>
      </c>
      <c r="D346" s="69">
        <v>0</v>
      </c>
      <c r="E346" s="69">
        <v>0</v>
      </c>
      <c r="F346" s="69">
        <v>0</v>
      </c>
      <c r="G346" s="69">
        <v>0</v>
      </c>
      <c r="H346" s="69">
        <v>0</v>
      </c>
      <c r="I346" s="69">
        <v>0</v>
      </c>
      <c r="J346" s="69">
        <v>0</v>
      </c>
      <c r="K346" s="69">
        <v>0</v>
      </c>
      <c r="L346" s="69">
        <v>0</v>
      </c>
      <c r="M346" s="69">
        <v>0</v>
      </c>
      <c r="N346" s="69">
        <v>0</v>
      </c>
      <c r="O346" s="69">
        <v>0</v>
      </c>
      <c r="P346" s="70">
        <f>SUM(D346:O346)</f>
        <v>0</v>
      </c>
    </row>
    <row r="347" spans="1:16" x14ac:dyDescent="0.2">
      <c r="A347" s="78" t="s">
        <v>624</v>
      </c>
      <c r="D347" s="257">
        <v>0</v>
      </c>
      <c r="E347" s="257">
        <v>0</v>
      </c>
      <c r="F347" s="257">
        <v>0</v>
      </c>
      <c r="G347" s="257">
        <v>0</v>
      </c>
      <c r="H347" s="257">
        <v>0</v>
      </c>
      <c r="I347" s="257">
        <v>0</v>
      </c>
      <c r="J347" s="257">
        <v>0</v>
      </c>
      <c r="K347" s="257">
        <v>0</v>
      </c>
      <c r="L347" s="257">
        <v>0</v>
      </c>
      <c r="M347" s="257">
        <v>0</v>
      </c>
      <c r="N347" s="257">
        <v>0</v>
      </c>
      <c r="O347" s="257">
        <v>0</v>
      </c>
      <c r="P347" s="72">
        <f>SUM(D347:O347)</f>
        <v>0</v>
      </c>
    </row>
    <row r="348" spans="1:16" ht="3.95" customHeight="1" x14ac:dyDescent="0.2"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</row>
    <row r="349" spans="1:16" x14ac:dyDescent="0.2">
      <c r="A349" s="335" t="s">
        <v>783</v>
      </c>
      <c r="B349" s="757"/>
      <c r="C349" s="59"/>
      <c r="D349" s="88">
        <f t="shared" ref="D349:P349" si="96">SUM(D344:D347)</f>
        <v>0</v>
      </c>
      <c r="E349" s="88">
        <f t="shared" si="96"/>
        <v>0</v>
      </c>
      <c r="F349" s="88">
        <f t="shared" si="96"/>
        <v>0</v>
      </c>
      <c r="G349" s="88">
        <f t="shared" si="96"/>
        <v>0</v>
      </c>
      <c r="H349" s="88">
        <f t="shared" si="96"/>
        <v>0</v>
      </c>
      <c r="I349" s="88">
        <f t="shared" si="96"/>
        <v>0</v>
      </c>
      <c r="J349" s="88">
        <f t="shared" si="96"/>
        <v>0</v>
      </c>
      <c r="K349" s="88">
        <f t="shared" si="96"/>
        <v>0</v>
      </c>
      <c r="L349" s="88">
        <f t="shared" si="96"/>
        <v>0</v>
      </c>
      <c r="M349" s="88">
        <f t="shared" si="96"/>
        <v>0</v>
      </c>
      <c r="N349" s="88">
        <f t="shared" si="96"/>
        <v>0</v>
      </c>
      <c r="O349" s="88">
        <f t="shared" si="96"/>
        <v>0</v>
      </c>
      <c r="P349" s="88">
        <f t="shared" si="96"/>
        <v>0</v>
      </c>
    </row>
    <row r="350" spans="1:16" ht="6" customHeight="1" x14ac:dyDescent="0.2"/>
    <row r="351" spans="1:16" x14ac:dyDescent="0.2">
      <c r="A351" s="68" t="s">
        <v>687</v>
      </c>
      <c r="B351" s="756"/>
      <c r="D351" s="70">
        <f t="shared" ref="D351:O351" si="97">D341-D349</f>
        <v>0</v>
      </c>
      <c r="E351" s="70">
        <f t="shared" si="97"/>
        <v>0</v>
      </c>
      <c r="F351" s="70">
        <f t="shared" si="97"/>
        <v>0</v>
      </c>
      <c r="G351" s="70">
        <f t="shared" si="97"/>
        <v>0</v>
      </c>
      <c r="H351" s="70">
        <f t="shared" si="97"/>
        <v>0</v>
      </c>
      <c r="I351" s="70">
        <f t="shared" si="97"/>
        <v>0</v>
      </c>
      <c r="J351" s="70">
        <f t="shared" si="97"/>
        <v>0</v>
      </c>
      <c r="K351" s="70">
        <f t="shared" si="97"/>
        <v>0</v>
      </c>
      <c r="L351" s="70">
        <f t="shared" si="97"/>
        <v>0</v>
      </c>
      <c r="M351" s="70">
        <f t="shared" si="97"/>
        <v>0</v>
      </c>
      <c r="N351" s="70">
        <f t="shared" si="97"/>
        <v>0</v>
      </c>
      <c r="O351" s="70">
        <f t="shared" si="97"/>
        <v>0</v>
      </c>
      <c r="P351" s="70">
        <f>SUM(D351:O351)</f>
        <v>0</v>
      </c>
    </row>
    <row r="352" spans="1:16" x14ac:dyDescent="0.2">
      <c r="A352" s="78" t="s">
        <v>623</v>
      </c>
      <c r="D352" s="69">
        <v>0</v>
      </c>
      <c r="E352" s="69">
        <v>0</v>
      </c>
      <c r="F352" s="69">
        <v>0</v>
      </c>
      <c r="G352" s="69">
        <v>0</v>
      </c>
      <c r="H352" s="69">
        <v>0</v>
      </c>
      <c r="I352" s="69">
        <v>0</v>
      </c>
      <c r="J352" s="69">
        <v>0</v>
      </c>
      <c r="K352" s="69">
        <v>0</v>
      </c>
      <c r="L352" s="69">
        <v>0</v>
      </c>
      <c r="M352" s="69">
        <v>0</v>
      </c>
      <c r="N352" s="69">
        <v>0</v>
      </c>
      <c r="O352" s="69">
        <v>0</v>
      </c>
      <c r="P352" s="70">
        <f>SUM(D352:O352)</f>
        <v>0</v>
      </c>
    </row>
    <row r="353" spans="1:16" x14ac:dyDescent="0.2">
      <c r="A353" s="78" t="s">
        <v>623</v>
      </c>
      <c r="D353" s="69">
        <v>0</v>
      </c>
      <c r="E353" s="69">
        <v>0</v>
      </c>
      <c r="F353" s="69">
        <v>0</v>
      </c>
      <c r="G353" s="69">
        <v>0</v>
      </c>
      <c r="H353" s="69">
        <v>0</v>
      </c>
      <c r="I353" s="69">
        <v>0</v>
      </c>
      <c r="J353" s="69">
        <v>0</v>
      </c>
      <c r="K353" s="69">
        <v>0</v>
      </c>
      <c r="L353" s="69">
        <v>0</v>
      </c>
      <c r="M353" s="69">
        <v>0</v>
      </c>
      <c r="N353" s="69">
        <v>0</v>
      </c>
      <c r="O353" s="69">
        <v>0</v>
      </c>
      <c r="P353" s="70">
        <f>SUM(D353:O353)</f>
        <v>0</v>
      </c>
    </row>
    <row r="354" spans="1:16" x14ac:dyDescent="0.2">
      <c r="A354" s="68" t="s">
        <v>653</v>
      </c>
      <c r="D354" s="257">
        <v>0</v>
      </c>
      <c r="E354" s="257">
        <v>0</v>
      </c>
      <c r="F354" s="257">
        <v>0</v>
      </c>
      <c r="G354" s="257">
        <v>0</v>
      </c>
      <c r="H354" s="257">
        <v>0</v>
      </c>
      <c r="I354" s="257">
        <v>0</v>
      </c>
      <c r="J354" s="257">
        <v>0</v>
      </c>
      <c r="K354" s="257">
        <v>0</v>
      </c>
      <c r="L354" s="257">
        <v>0</v>
      </c>
      <c r="M354" s="257">
        <v>0</v>
      </c>
      <c r="N354" s="257">
        <v>0</v>
      </c>
      <c r="O354" s="257">
        <v>0</v>
      </c>
      <c r="P354" s="72">
        <f>SUM(D354:O354)</f>
        <v>0</v>
      </c>
    </row>
    <row r="355" spans="1:16" ht="3.95" customHeight="1" x14ac:dyDescent="0.2"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1:16" x14ac:dyDescent="0.2">
      <c r="A356" s="57" t="s">
        <v>654</v>
      </c>
      <c r="B356" s="760"/>
      <c r="C356" s="59"/>
      <c r="D356" s="75">
        <f t="shared" ref="D356:O356" si="98">SUM(D351:D354)</f>
        <v>0</v>
      </c>
      <c r="E356" s="75">
        <f t="shared" si="98"/>
        <v>0</v>
      </c>
      <c r="F356" s="75">
        <f t="shared" si="98"/>
        <v>0</v>
      </c>
      <c r="G356" s="75">
        <f t="shared" si="98"/>
        <v>0</v>
      </c>
      <c r="H356" s="75">
        <f t="shared" si="98"/>
        <v>0</v>
      </c>
      <c r="I356" s="75">
        <f t="shared" si="98"/>
        <v>0</v>
      </c>
      <c r="J356" s="75">
        <f t="shared" si="98"/>
        <v>0</v>
      </c>
      <c r="K356" s="75">
        <f t="shared" si="98"/>
        <v>0</v>
      </c>
      <c r="L356" s="75">
        <f t="shared" si="98"/>
        <v>0</v>
      </c>
      <c r="M356" s="75">
        <f t="shared" si="98"/>
        <v>0</v>
      </c>
      <c r="N356" s="75">
        <f t="shared" si="98"/>
        <v>0</v>
      </c>
      <c r="O356" s="75">
        <f t="shared" si="98"/>
        <v>0</v>
      </c>
      <c r="P356" s="75">
        <f>SUM(D356:O356)</f>
        <v>0</v>
      </c>
    </row>
    <row r="357" spans="1:16" ht="6" customHeight="1" x14ac:dyDescent="0.2">
      <c r="A357" s="67"/>
      <c r="B357" s="756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</row>
    <row r="358" spans="1:16" x14ac:dyDescent="0.2">
      <c r="A358" s="66" t="s">
        <v>784</v>
      </c>
      <c r="B358" s="757"/>
      <c r="C358" s="59"/>
      <c r="D358" s="75">
        <f t="shared" ref="D358:O358" si="99">-1*D356</f>
        <v>0</v>
      </c>
      <c r="E358" s="75">
        <f t="shared" si="99"/>
        <v>0</v>
      </c>
      <c r="F358" s="75">
        <f t="shared" si="99"/>
        <v>0</v>
      </c>
      <c r="G358" s="75">
        <f t="shared" si="99"/>
        <v>0</v>
      </c>
      <c r="H358" s="75">
        <f t="shared" si="99"/>
        <v>0</v>
      </c>
      <c r="I358" s="75">
        <f t="shared" si="99"/>
        <v>0</v>
      </c>
      <c r="J358" s="75">
        <f t="shared" si="99"/>
        <v>0</v>
      </c>
      <c r="K358" s="75">
        <f t="shared" si="99"/>
        <v>0</v>
      </c>
      <c r="L358" s="75">
        <f t="shared" si="99"/>
        <v>0</v>
      </c>
      <c r="M358" s="75">
        <f t="shared" si="99"/>
        <v>0</v>
      </c>
      <c r="N358" s="75">
        <f t="shared" si="99"/>
        <v>0</v>
      </c>
      <c r="O358" s="75">
        <f t="shared" si="99"/>
        <v>0</v>
      </c>
      <c r="P358" s="75">
        <f>SUM(D358:O358)</f>
        <v>0</v>
      </c>
    </row>
    <row r="359" spans="1:16" ht="4.5" customHeight="1" x14ac:dyDescent="0.2">
      <c r="A359" s="67"/>
      <c r="B359" s="756"/>
    </row>
    <row r="360" spans="1:16" ht="6" customHeight="1" x14ac:dyDescent="0.2">
      <c r="A360" s="82"/>
      <c r="B360" s="758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</row>
    <row r="361" spans="1:16" ht="5.25" customHeight="1" x14ac:dyDescent="0.2"/>
    <row r="362" spans="1:16" x14ac:dyDescent="0.2">
      <c r="A362" s="341" t="s">
        <v>785</v>
      </c>
      <c r="B362" s="756"/>
      <c r="C362" s="63" t="str">
        <f>C30</f>
        <v>12/31/99</v>
      </c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59"/>
    </row>
    <row r="363" spans="1:16" ht="3.95" customHeight="1" x14ac:dyDescent="0.2">
      <c r="A363" s="67"/>
      <c r="B363" s="756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1:16" x14ac:dyDescent="0.2">
      <c r="A364" s="329" t="s">
        <v>657</v>
      </c>
      <c r="B364" s="756"/>
      <c r="D364" s="70">
        <f t="shared" ref="D364:O364" si="100">C374</f>
        <v>0</v>
      </c>
      <c r="E364" s="70">
        <f t="shared" si="100"/>
        <v>0</v>
      </c>
      <c r="F364" s="70">
        <f t="shared" si="100"/>
        <v>0</v>
      </c>
      <c r="G364" s="70">
        <f t="shared" si="100"/>
        <v>0</v>
      </c>
      <c r="H364" s="70">
        <f t="shared" si="100"/>
        <v>0</v>
      </c>
      <c r="I364" s="70">
        <f t="shared" si="100"/>
        <v>0</v>
      </c>
      <c r="J364" s="70">
        <f t="shared" si="100"/>
        <v>0</v>
      </c>
      <c r="K364" s="70">
        <f t="shared" si="100"/>
        <v>0</v>
      </c>
      <c r="L364" s="70">
        <f t="shared" si="100"/>
        <v>0</v>
      </c>
      <c r="M364" s="70">
        <f t="shared" si="100"/>
        <v>0</v>
      </c>
      <c r="N364" s="70">
        <f t="shared" si="100"/>
        <v>0</v>
      </c>
      <c r="O364" s="70">
        <f t="shared" si="100"/>
        <v>0</v>
      </c>
      <c r="P364" s="70"/>
    </row>
    <row r="365" spans="1:16" ht="6" customHeight="1" x14ac:dyDescent="0.2">
      <c r="A365" s="330"/>
    </row>
    <row r="366" spans="1:16" x14ac:dyDescent="0.2">
      <c r="A366" s="98" t="s">
        <v>730</v>
      </c>
      <c r="B366" s="94"/>
      <c r="D366" s="69">
        <v>0</v>
      </c>
      <c r="E366" s="69">
        <v>0</v>
      </c>
      <c r="F366" s="69">
        <v>0</v>
      </c>
      <c r="G366" s="69">
        <v>0</v>
      </c>
      <c r="H366" s="69">
        <v>0</v>
      </c>
      <c r="I366" s="69">
        <v>0</v>
      </c>
      <c r="J366" s="69">
        <v>0</v>
      </c>
      <c r="K366" s="69">
        <v>0</v>
      </c>
      <c r="L366" s="69">
        <v>0</v>
      </c>
      <c r="M366" s="69">
        <v>0</v>
      </c>
      <c r="N366" s="69">
        <v>0</v>
      </c>
      <c r="O366" s="69">
        <v>0</v>
      </c>
      <c r="P366" s="70">
        <f>SUM(D366:O366)</f>
        <v>0</v>
      </c>
    </row>
    <row r="367" spans="1:16" ht="6" customHeight="1" x14ac:dyDescent="0.2">
      <c r="A367" s="67"/>
      <c r="B367" s="756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</row>
    <row r="368" spans="1:16" x14ac:dyDescent="0.2">
      <c r="A368" s="336" t="s">
        <v>770</v>
      </c>
      <c r="B368" s="756"/>
      <c r="D368" s="70">
        <f t="shared" ref="D368:O368" si="101">D358</f>
        <v>0</v>
      </c>
      <c r="E368" s="70">
        <f t="shared" si="101"/>
        <v>0</v>
      </c>
      <c r="F368" s="70">
        <f t="shared" si="101"/>
        <v>0</v>
      </c>
      <c r="G368" s="70">
        <f t="shared" si="101"/>
        <v>0</v>
      </c>
      <c r="H368" s="70">
        <f t="shared" si="101"/>
        <v>0</v>
      </c>
      <c r="I368" s="70">
        <f t="shared" si="101"/>
        <v>0</v>
      </c>
      <c r="J368" s="70">
        <f t="shared" si="101"/>
        <v>0</v>
      </c>
      <c r="K368" s="70">
        <f t="shared" si="101"/>
        <v>0</v>
      </c>
      <c r="L368" s="70">
        <f t="shared" si="101"/>
        <v>0</v>
      </c>
      <c r="M368" s="70">
        <f t="shared" si="101"/>
        <v>0</v>
      </c>
      <c r="N368" s="70">
        <f t="shared" si="101"/>
        <v>0</v>
      </c>
      <c r="O368" s="70">
        <f t="shared" si="101"/>
        <v>0</v>
      </c>
      <c r="P368" s="70">
        <f>SUM(D368:O368)</f>
        <v>0</v>
      </c>
    </row>
    <row r="369" spans="1:16" ht="6" customHeight="1" x14ac:dyDescent="0.2">
      <c r="A369" s="67"/>
      <c r="B369" s="756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</row>
    <row r="370" spans="1:16" x14ac:dyDescent="0.2">
      <c r="A370" s="336" t="s">
        <v>786</v>
      </c>
      <c r="B370" s="756"/>
      <c r="D370" s="69">
        <v>0</v>
      </c>
      <c r="E370" s="69">
        <v>0</v>
      </c>
      <c r="F370" s="69">
        <v>0</v>
      </c>
      <c r="G370" s="69">
        <v>0</v>
      </c>
      <c r="H370" s="69">
        <v>0</v>
      </c>
      <c r="I370" s="69">
        <v>0</v>
      </c>
      <c r="J370" s="69">
        <v>0</v>
      </c>
      <c r="K370" s="69">
        <v>0</v>
      </c>
      <c r="L370" s="69">
        <v>0</v>
      </c>
      <c r="M370" s="69">
        <v>0</v>
      </c>
      <c r="N370" s="69">
        <v>0</v>
      </c>
      <c r="O370" s="69">
        <v>0</v>
      </c>
      <c r="P370" s="70">
        <f>SUM(D370:O370)</f>
        <v>0</v>
      </c>
    </row>
    <row r="371" spans="1:16" ht="6" customHeight="1" x14ac:dyDescent="0.2">
      <c r="A371" s="67"/>
      <c r="B371" s="756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</row>
    <row r="372" spans="1:16" x14ac:dyDescent="0.2">
      <c r="A372" s="68" t="s">
        <v>693</v>
      </c>
      <c r="B372" s="756"/>
      <c r="D372" s="72">
        <f t="shared" ref="D372:P372" si="102">D445</f>
        <v>0</v>
      </c>
      <c r="E372" s="72">
        <f t="shared" si="102"/>
        <v>0</v>
      </c>
      <c r="F372" s="72">
        <f t="shared" si="102"/>
        <v>0</v>
      </c>
      <c r="G372" s="72">
        <f t="shared" si="102"/>
        <v>0</v>
      </c>
      <c r="H372" s="72">
        <f t="shared" si="102"/>
        <v>0</v>
      </c>
      <c r="I372" s="72">
        <f t="shared" si="102"/>
        <v>0</v>
      </c>
      <c r="J372" s="72">
        <f t="shared" si="102"/>
        <v>0</v>
      </c>
      <c r="K372" s="72">
        <f t="shared" si="102"/>
        <v>0</v>
      </c>
      <c r="L372" s="72">
        <f t="shared" si="102"/>
        <v>0</v>
      </c>
      <c r="M372" s="72">
        <f t="shared" si="102"/>
        <v>0</v>
      </c>
      <c r="N372" s="72">
        <f t="shared" si="102"/>
        <v>0</v>
      </c>
      <c r="O372" s="72">
        <f t="shared" si="102"/>
        <v>0</v>
      </c>
      <c r="P372" s="72">
        <f t="shared" si="102"/>
        <v>0</v>
      </c>
    </row>
    <row r="373" spans="1:16" ht="3.95" customHeight="1" x14ac:dyDescent="0.2">
      <c r="A373" s="67"/>
      <c r="B373" s="756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1:16" x14ac:dyDescent="0.2">
      <c r="A374" s="329" t="s">
        <v>662</v>
      </c>
      <c r="C374" s="254">
        <v>0</v>
      </c>
      <c r="D374" s="88">
        <f t="shared" ref="D374:O374" si="103">SUM(D364:D372)</f>
        <v>0</v>
      </c>
      <c r="E374" s="88">
        <f t="shared" si="103"/>
        <v>0</v>
      </c>
      <c r="F374" s="88">
        <f t="shared" si="103"/>
        <v>0</v>
      </c>
      <c r="G374" s="88">
        <f t="shared" si="103"/>
        <v>0</v>
      </c>
      <c r="H374" s="88">
        <f t="shared" si="103"/>
        <v>0</v>
      </c>
      <c r="I374" s="88">
        <f t="shared" si="103"/>
        <v>0</v>
      </c>
      <c r="J374" s="88">
        <f t="shared" si="103"/>
        <v>0</v>
      </c>
      <c r="K374" s="88">
        <f t="shared" si="103"/>
        <v>0</v>
      </c>
      <c r="L374" s="88">
        <f t="shared" si="103"/>
        <v>0</v>
      </c>
      <c r="M374" s="88">
        <f t="shared" si="103"/>
        <v>0</v>
      </c>
      <c r="N374" s="88">
        <f t="shared" si="103"/>
        <v>0</v>
      </c>
      <c r="O374" s="88">
        <f t="shared" si="103"/>
        <v>0</v>
      </c>
      <c r="P374" s="88">
        <f>SUM(P366:P372)+D364</f>
        <v>0</v>
      </c>
    </row>
    <row r="375" spans="1:16" ht="6" customHeight="1" x14ac:dyDescent="0.2">
      <c r="A375" s="67"/>
      <c r="C375" s="67"/>
      <c r="D375" s="80"/>
      <c r="E375" s="80"/>
      <c r="F375" s="77"/>
      <c r="G375" s="80"/>
      <c r="H375" s="80"/>
      <c r="I375" s="77"/>
      <c r="J375" s="80"/>
      <c r="K375" s="80"/>
      <c r="L375" s="80"/>
      <c r="M375" s="80"/>
      <c r="N375" s="80"/>
      <c r="O375" s="80"/>
    </row>
    <row r="376" spans="1:16" ht="6" customHeight="1" x14ac:dyDescent="0.2"/>
    <row r="377" spans="1:16" x14ac:dyDescent="0.2">
      <c r="A377" s="68" t="s">
        <v>787</v>
      </c>
      <c r="C377" s="67"/>
      <c r="D377" s="347" t="e">
        <f>ROUND((D372/C374)*(366/31),4)</f>
        <v>#DIV/0!</v>
      </c>
      <c r="E377" s="347" t="e">
        <f>ROUND((E372/D374)*(366/29),4)</f>
        <v>#DIV/0!</v>
      </c>
      <c r="F377" s="347" t="e">
        <f>ROUND((F372/E374)*(366/31),4)</f>
        <v>#DIV/0!</v>
      </c>
      <c r="G377" s="347" t="e">
        <f>ROUND((G372/F374)*(366/30),4)</f>
        <v>#DIV/0!</v>
      </c>
      <c r="H377" s="347" t="e">
        <f>ROUND((H372/G374)*(366/31),4)</f>
        <v>#DIV/0!</v>
      </c>
      <c r="I377" s="347" t="e">
        <f>ROUND((I372/H374)*(366/30),4)</f>
        <v>#DIV/0!</v>
      </c>
      <c r="J377" s="347" t="e">
        <f>ROUND((J372/I374)*(366/31),4)</f>
        <v>#DIV/0!</v>
      </c>
      <c r="K377" s="347" t="e">
        <f>ROUND((K372/J374)*(366/31),4)</f>
        <v>#DIV/0!</v>
      </c>
      <c r="L377" s="347" t="e">
        <f>ROUND((L372/K374)*(366/30),4)</f>
        <v>#DIV/0!</v>
      </c>
      <c r="M377" s="347" t="e">
        <f>ROUND((M372/L374)*(366/31),4)</f>
        <v>#DIV/0!</v>
      </c>
      <c r="N377" s="347" t="e">
        <f>ROUND((N372/M374)*(366/30),4)</f>
        <v>#DIV/0!</v>
      </c>
      <c r="O377" s="347" t="e">
        <f>ROUND((O372/N374)*(366/31),4)</f>
        <v>#DIV/0!</v>
      </c>
    </row>
    <row r="378" spans="1:16" x14ac:dyDescent="0.2">
      <c r="A378" s="68" t="s">
        <v>664</v>
      </c>
      <c r="C378" s="67"/>
      <c r="D378" s="339" t="e">
        <f>ROUND((D377/366)*31,4)</f>
        <v>#DIV/0!</v>
      </c>
      <c r="E378" s="339" t="e">
        <f>ROUND((E377/366)*29,4)</f>
        <v>#DIV/0!</v>
      </c>
      <c r="F378" s="339" t="e">
        <f>ROUND((F377/366)*31,4)</f>
        <v>#DIV/0!</v>
      </c>
      <c r="G378" s="339" t="e">
        <f>ROUND((G377/366)*30,4)</f>
        <v>#DIV/0!</v>
      </c>
      <c r="H378" s="339" t="e">
        <f>ROUND((H377/366)*31,4)</f>
        <v>#DIV/0!</v>
      </c>
      <c r="I378" s="339" t="e">
        <f>ROUND((I377/366)*30,4)</f>
        <v>#DIV/0!</v>
      </c>
      <c r="J378" s="339" t="e">
        <f>ROUND((J377/366)*31,4)</f>
        <v>#DIV/0!</v>
      </c>
      <c r="K378" s="339" t="e">
        <f>ROUND((K377/366)*31,4)</f>
        <v>#DIV/0!</v>
      </c>
      <c r="L378" s="339" t="e">
        <f>ROUND((L377/366)*30,4)</f>
        <v>#DIV/0!</v>
      </c>
      <c r="M378" s="339" t="e">
        <f>ROUND((M377/366)*31,4)</f>
        <v>#DIV/0!</v>
      </c>
      <c r="N378" s="339" t="e">
        <f>ROUND((N377/366)*30,4)</f>
        <v>#DIV/0!</v>
      </c>
      <c r="O378" s="339" t="e">
        <f>ROUND((O377/366)*31,4)</f>
        <v>#DIV/0!</v>
      </c>
    </row>
    <row r="379" spans="1:16" ht="6" customHeight="1" x14ac:dyDescent="0.2">
      <c r="A379" s="67"/>
      <c r="C379" s="67"/>
    </row>
    <row r="380" spans="1:16" x14ac:dyDescent="0.2">
      <c r="A380" s="66" t="s">
        <v>665</v>
      </c>
      <c r="C380" s="87"/>
      <c r="D380" s="75">
        <f t="shared" ref="D380:O380" si="104">D372</f>
        <v>0</v>
      </c>
      <c r="E380" s="75">
        <f t="shared" si="104"/>
        <v>0</v>
      </c>
      <c r="F380" s="75">
        <f t="shared" si="104"/>
        <v>0</v>
      </c>
      <c r="G380" s="75">
        <f t="shared" si="104"/>
        <v>0</v>
      </c>
      <c r="H380" s="75">
        <f t="shared" si="104"/>
        <v>0</v>
      </c>
      <c r="I380" s="75">
        <f t="shared" si="104"/>
        <v>0</v>
      </c>
      <c r="J380" s="75">
        <f t="shared" si="104"/>
        <v>0</v>
      </c>
      <c r="K380" s="75">
        <f t="shared" si="104"/>
        <v>0</v>
      </c>
      <c r="L380" s="75">
        <f t="shared" si="104"/>
        <v>0</v>
      </c>
      <c r="M380" s="75">
        <f t="shared" si="104"/>
        <v>0</v>
      </c>
      <c r="N380" s="75">
        <f t="shared" si="104"/>
        <v>0</v>
      </c>
      <c r="O380" s="75">
        <f t="shared" si="104"/>
        <v>0</v>
      </c>
      <c r="P380" s="75">
        <f>SUM(D380:O380)</f>
        <v>0</v>
      </c>
    </row>
    <row r="381" spans="1:16" ht="6" customHeight="1" x14ac:dyDescent="0.2">
      <c r="A381" s="67"/>
      <c r="B381" s="756"/>
    </row>
    <row r="382" spans="1:16" x14ac:dyDescent="0.2">
      <c r="A382" s="66" t="s">
        <v>666</v>
      </c>
      <c r="B382" s="756"/>
      <c r="D382" s="70">
        <f>D380</f>
        <v>0</v>
      </c>
      <c r="E382" s="70">
        <f t="shared" ref="E382:O382" si="105">E380+D382</f>
        <v>0</v>
      </c>
      <c r="F382" s="70">
        <f t="shared" si="105"/>
        <v>0</v>
      </c>
      <c r="G382" s="70">
        <f t="shared" si="105"/>
        <v>0</v>
      </c>
      <c r="H382" s="70">
        <f t="shared" si="105"/>
        <v>0</v>
      </c>
      <c r="I382" s="70">
        <f t="shared" si="105"/>
        <v>0</v>
      </c>
      <c r="J382" s="70">
        <f t="shared" si="105"/>
        <v>0</v>
      </c>
      <c r="K382" s="70">
        <f t="shared" si="105"/>
        <v>0</v>
      </c>
      <c r="L382" s="70">
        <f t="shared" si="105"/>
        <v>0</v>
      </c>
      <c r="M382" s="70">
        <f t="shared" si="105"/>
        <v>0</v>
      </c>
      <c r="N382" s="70">
        <f t="shared" si="105"/>
        <v>0</v>
      </c>
      <c r="O382" s="70">
        <f t="shared" si="105"/>
        <v>0</v>
      </c>
    </row>
    <row r="384" spans="1:16" customFormat="1" x14ac:dyDescent="0.2">
      <c r="B384" s="759"/>
    </row>
    <row r="385" spans="1:16" customFormat="1" x14ac:dyDescent="0.2">
      <c r="B385" s="759"/>
    </row>
    <row r="386" spans="1:16" x14ac:dyDescent="0.2">
      <c r="A386" s="553" t="str">
        <f ca="1">A1</f>
        <v>P:\Finance\2002 Plan\[EMTW02PL.XLS]IncomeState</v>
      </c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</row>
    <row r="387" spans="1:16" x14ac:dyDescent="0.2">
      <c r="A387" s="326" t="s">
        <v>788</v>
      </c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</row>
    <row r="388" spans="1:16" x14ac:dyDescent="0.2">
      <c r="A388" s="340" t="str">
        <f>A3</f>
        <v>2002 OPERATING PLAN</v>
      </c>
      <c r="B388" s="754">
        <f ca="1">NOW()</f>
        <v>37189.6149224537</v>
      </c>
      <c r="C388" s="61" t="s">
        <v>772</v>
      </c>
      <c r="D388" s="61"/>
      <c r="E388" s="60"/>
      <c r="F388" s="60"/>
      <c r="G388" s="61"/>
      <c r="H388" s="61"/>
      <c r="I388" s="61"/>
      <c r="J388" s="60"/>
      <c r="K388" s="60"/>
      <c r="L388" s="60"/>
      <c r="M388" s="60"/>
      <c r="N388" s="60"/>
      <c r="O388" s="60"/>
      <c r="P388" s="91"/>
    </row>
    <row r="389" spans="1:16" x14ac:dyDescent="0.2">
      <c r="A389" s="62"/>
      <c r="B389" s="755">
        <f ca="1">NOW()</f>
        <v>37189.6149224537</v>
      </c>
      <c r="C389" s="324" t="str">
        <f t="shared" ref="C389:P389" si="106">C4</f>
        <v>BALANCE</v>
      </c>
      <c r="D389" s="324" t="str">
        <f t="shared" si="106"/>
        <v>JAN</v>
      </c>
      <c r="E389" s="324" t="str">
        <f t="shared" si="106"/>
        <v>FEB</v>
      </c>
      <c r="F389" s="324" t="str">
        <f t="shared" si="106"/>
        <v>MAR</v>
      </c>
      <c r="G389" s="324" t="str">
        <f t="shared" si="106"/>
        <v>APR</v>
      </c>
      <c r="H389" s="324" t="str">
        <f t="shared" si="106"/>
        <v>MAY</v>
      </c>
      <c r="I389" s="324" t="str">
        <f t="shared" si="106"/>
        <v>JUN</v>
      </c>
      <c r="J389" s="324" t="str">
        <f t="shared" si="106"/>
        <v>JUL</v>
      </c>
      <c r="K389" s="324" t="str">
        <f t="shared" si="106"/>
        <v>AUG</v>
      </c>
      <c r="L389" s="324" t="str">
        <f t="shared" si="106"/>
        <v>SEP</v>
      </c>
      <c r="M389" s="324" t="str">
        <f t="shared" si="106"/>
        <v>OCT</v>
      </c>
      <c r="N389" s="324" t="str">
        <f t="shared" si="106"/>
        <v>NOV</v>
      </c>
      <c r="O389" s="324" t="str">
        <f t="shared" si="106"/>
        <v>DEC</v>
      </c>
      <c r="P389" s="324">
        <f t="shared" si="106"/>
        <v>2002</v>
      </c>
    </row>
    <row r="390" spans="1:16" ht="3.95" customHeight="1" x14ac:dyDescent="0.2"/>
    <row r="391" spans="1:16" x14ac:dyDescent="0.2">
      <c r="A391" s="341" t="s">
        <v>789</v>
      </c>
      <c r="B391" s="756"/>
      <c r="C391" s="63" t="str">
        <f>C30</f>
        <v>12/31/99</v>
      </c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59"/>
    </row>
    <row r="392" spans="1:16" ht="3.95" customHeight="1" x14ac:dyDescent="0.2">
      <c r="A392" s="67"/>
      <c r="B392" s="756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</row>
    <row r="393" spans="1:16" x14ac:dyDescent="0.2">
      <c r="A393" s="329" t="s">
        <v>657</v>
      </c>
      <c r="B393" s="756"/>
      <c r="D393" s="70">
        <f t="shared" ref="D393:O393" si="107">C403</f>
        <v>0</v>
      </c>
      <c r="E393" s="70">
        <f t="shared" si="107"/>
        <v>0</v>
      </c>
      <c r="F393" s="70">
        <f t="shared" si="107"/>
        <v>0</v>
      </c>
      <c r="G393" s="70">
        <f t="shared" si="107"/>
        <v>0</v>
      </c>
      <c r="H393" s="70">
        <f t="shared" si="107"/>
        <v>0</v>
      </c>
      <c r="I393" s="70">
        <f t="shared" si="107"/>
        <v>0</v>
      </c>
      <c r="J393" s="70">
        <f t="shared" si="107"/>
        <v>0</v>
      </c>
      <c r="K393" s="70">
        <f t="shared" si="107"/>
        <v>0</v>
      </c>
      <c r="L393" s="70">
        <f t="shared" si="107"/>
        <v>0</v>
      </c>
      <c r="M393" s="70">
        <f t="shared" si="107"/>
        <v>0</v>
      </c>
      <c r="N393" s="70">
        <f t="shared" si="107"/>
        <v>0</v>
      </c>
      <c r="O393" s="70">
        <f t="shared" si="107"/>
        <v>0</v>
      </c>
      <c r="P393" s="70"/>
    </row>
    <row r="394" spans="1:16" ht="6" customHeight="1" x14ac:dyDescent="0.2"/>
    <row r="395" spans="1:16" x14ac:dyDescent="0.2">
      <c r="A395" s="98" t="s">
        <v>730</v>
      </c>
      <c r="B395" s="94"/>
      <c r="D395" s="69">
        <v>0</v>
      </c>
      <c r="E395" s="69">
        <v>0</v>
      </c>
      <c r="F395" s="69">
        <v>0</v>
      </c>
      <c r="G395" s="69">
        <v>0</v>
      </c>
      <c r="H395" s="69">
        <v>0</v>
      </c>
      <c r="I395" s="69">
        <v>0</v>
      </c>
      <c r="J395" s="69">
        <v>0</v>
      </c>
      <c r="K395" s="69">
        <v>0</v>
      </c>
      <c r="L395" s="69">
        <v>0</v>
      </c>
      <c r="M395" s="69">
        <v>0</v>
      </c>
      <c r="N395" s="69">
        <v>0</v>
      </c>
      <c r="O395" s="69">
        <v>0</v>
      </c>
      <c r="P395" s="70">
        <f>SUM(D395:O395)</f>
        <v>0</v>
      </c>
    </row>
    <row r="396" spans="1:16" ht="6" customHeight="1" x14ac:dyDescent="0.2">
      <c r="A396" s="67"/>
      <c r="B396" s="75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</row>
    <row r="397" spans="1:16" x14ac:dyDescent="0.2">
      <c r="A397" s="336" t="s">
        <v>770</v>
      </c>
      <c r="B397" s="756"/>
      <c r="D397" s="70">
        <f t="shared" ref="D397:O397" si="108">D368-D419</f>
        <v>0</v>
      </c>
      <c r="E397" s="70">
        <f t="shared" si="108"/>
        <v>0</v>
      </c>
      <c r="F397" s="70">
        <f t="shared" si="108"/>
        <v>0</v>
      </c>
      <c r="G397" s="70">
        <f t="shared" si="108"/>
        <v>0</v>
      </c>
      <c r="H397" s="70">
        <f t="shared" si="108"/>
        <v>0</v>
      </c>
      <c r="I397" s="70">
        <f t="shared" si="108"/>
        <v>0</v>
      </c>
      <c r="J397" s="70">
        <f t="shared" si="108"/>
        <v>0</v>
      </c>
      <c r="K397" s="70">
        <f t="shared" si="108"/>
        <v>0</v>
      </c>
      <c r="L397" s="70">
        <f t="shared" si="108"/>
        <v>0</v>
      </c>
      <c r="M397" s="70">
        <f t="shared" si="108"/>
        <v>0</v>
      </c>
      <c r="N397" s="70">
        <f t="shared" si="108"/>
        <v>0</v>
      </c>
      <c r="O397" s="70">
        <f t="shared" si="108"/>
        <v>0</v>
      </c>
      <c r="P397" s="70">
        <f>SUM(D397:O397)</f>
        <v>0</v>
      </c>
    </row>
    <row r="398" spans="1:16" ht="6" customHeight="1" x14ac:dyDescent="0.2">
      <c r="A398" s="67"/>
      <c r="B398" s="756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</row>
    <row r="399" spans="1:16" x14ac:dyDescent="0.2">
      <c r="A399" s="336" t="s">
        <v>790</v>
      </c>
      <c r="B399" s="756"/>
      <c r="D399" s="469">
        <f t="shared" ref="D399:O399" si="109">D370</f>
        <v>0</v>
      </c>
      <c r="E399" s="469">
        <f t="shared" si="109"/>
        <v>0</v>
      </c>
      <c r="F399" s="469">
        <f t="shared" si="109"/>
        <v>0</v>
      </c>
      <c r="G399" s="469">
        <f t="shared" si="109"/>
        <v>0</v>
      </c>
      <c r="H399" s="469">
        <f t="shared" si="109"/>
        <v>0</v>
      </c>
      <c r="I399" s="469">
        <f t="shared" si="109"/>
        <v>0</v>
      </c>
      <c r="J399" s="469">
        <f t="shared" si="109"/>
        <v>0</v>
      </c>
      <c r="K399" s="469">
        <f t="shared" si="109"/>
        <v>0</v>
      </c>
      <c r="L399" s="469">
        <f t="shared" si="109"/>
        <v>0</v>
      </c>
      <c r="M399" s="469">
        <f t="shared" si="109"/>
        <v>0</v>
      </c>
      <c r="N399" s="469">
        <f t="shared" si="109"/>
        <v>0</v>
      </c>
      <c r="O399" s="469">
        <f t="shared" si="109"/>
        <v>0</v>
      </c>
      <c r="P399" s="70">
        <f>SUM(D399:O399)</f>
        <v>0</v>
      </c>
    </row>
    <row r="400" spans="1:16" ht="6" customHeight="1" x14ac:dyDescent="0.2">
      <c r="A400" s="67"/>
      <c r="B400" s="75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</row>
    <row r="401" spans="1:16" x14ac:dyDescent="0.2">
      <c r="A401" s="68" t="s">
        <v>693</v>
      </c>
      <c r="B401" s="756"/>
      <c r="D401" s="72">
        <f t="shared" ref="D401:O401" si="110">D408</f>
        <v>0</v>
      </c>
      <c r="E401" s="72">
        <f t="shared" si="110"/>
        <v>0</v>
      </c>
      <c r="F401" s="72">
        <f t="shared" si="110"/>
        <v>0</v>
      </c>
      <c r="G401" s="72">
        <f t="shared" si="110"/>
        <v>0</v>
      </c>
      <c r="H401" s="72">
        <f t="shared" si="110"/>
        <v>0</v>
      </c>
      <c r="I401" s="72">
        <f t="shared" si="110"/>
        <v>0</v>
      </c>
      <c r="J401" s="72">
        <f t="shared" si="110"/>
        <v>0</v>
      </c>
      <c r="K401" s="72">
        <f t="shared" si="110"/>
        <v>0</v>
      </c>
      <c r="L401" s="72">
        <f t="shared" si="110"/>
        <v>0</v>
      </c>
      <c r="M401" s="72">
        <f t="shared" si="110"/>
        <v>0</v>
      </c>
      <c r="N401" s="72">
        <f t="shared" si="110"/>
        <v>0</v>
      </c>
      <c r="O401" s="72">
        <f t="shared" si="110"/>
        <v>0</v>
      </c>
      <c r="P401" s="72">
        <f>SUM(D401:O401)</f>
        <v>0</v>
      </c>
    </row>
    <row r="402" spans="1:16" ht="3.95" customHeight="1" x14ac:dyDescent="0.2">
      <c r="A402" s="67"/>
      <c r="B402" s="756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</row>
    <row r="403" spans="1:16" x14ac:dyDescent="0.2">
      <c r="A403" s="329" t="s">
        <v>662</v>
      </c>
      <c r="B403" s="762"/>
      <c r="C403" s="254">
        <v>0</v>
      </c>
      <c r="D403" s="88">
        <f t="shared" ref="D403:O403" si="111">SUM(D393:D401)</f>
        <v>0</v>
      </c>
      <c r="E403" s="88">
        <f t="shared" si="111"/>
        <v>0</v>
      </c>
      <c r="F403" s="88">
        <f t="shared" si="111"/>
        <v>0</v>
      </c>
      <c r="G403" s="88">
        <f t="shared" si="111"/>
        <v>0</v>
      </c>
      <c r="H403" s="88">
        <f t="shared" si="111"/>
        <v>0</v>
      </c>
      <c r="I403" s="88">
        <f t="shared" si="111"/>
        <v>0</v>
      </c>
      <c r="J403" s="88">
        <f t="shared" si="111"/>
        <v>0</v>
      </c>
      <c r="K403" s="88">
        <f t="shared" si="111"/>
        <v>0</v>
      </c>
      <c r="L403" s="88">
        <f t="shared" si="111"/>
        <v>0</v>
      </c>
      <c r="M403" s="88">
        <f t="shared" si="111"/>
        <v>0</v>
      </c>
      <c r="N403" s="88">
        <f t="shared" si="111"/>
        <v>0</v>
      </c>
      <c r="O403" s="88">
        <f t="shared" si="111"/>
        <v>0</v>
      </c>
      <c r="P403" s="88">
        <f>SUM(P395:P401)+D393</f>
        <v>0</v>
      </c>
    </row>
    <row r="404" spans="1:16" x14ac:dyDescent="0.2">
      <c r="A404" s="67"/>
      <c r="C404" s="67"/>
      <c r="D404" s="80"/>
      <c r="E404" s="80"/>
      <c r="F404" s="80"/>
      <c r="G404" s="80"/>
      <c r="H404" s="80"/>
      <c r="I404" s="77"/>
      <c r="J404" s="80"/>
      <c r="K404" s="80"/>
      <c r="L404" s="80"/>
      <c r="M404" s="80"/>
      <c r="N404" s="80"/>
      <c r="O404" s="80"/>
    </row>
    <row r="405" spans="1:16" x14ac:dyDescent="0.2">
      <c r="A405" s="68" t="s">
        <v>663</v>
      </c>
      <c r="C405" s="67"/>
      <c r="D405" s="100">
        <f t="shared" ref="D405:O405" si="112">D45</f>
        <v>9.0200000000000002E-2</v>
      </c>
      <c r="E405" s="100">
        <f t="shared" si="112"/>
        <v>9.0200000000000002E-2</v>
      </c>
      <c r="F405" s="100">
        <f t="shared" si="112"/>
        <v>9.0200000000000002E-2</v>
      </c>
      <c r="G405" s="100">
        <f t="shared" si="112"/>
        <v>9.0200000000000002E-2</v>
      </c>
      <c r="H405" s="100">
        <f t="shared" si="112"/>
        <v>9.0200000000000002E-2</v>
      </c>
      <c r="I405" s="100">
        <f t="shared" si="112"/>
        <v>9.0200000000000002E-2</v>
      </c>
      <c r="J405" s="100">
        <f t="shared" si="112"/>
        <v>9.0200000000000002E-2</v>
      </c>
      <c r="K405" s="100">
        <f t="shared" si="112"/>
        <v>9.0200000000000002E-2</v>
      </c>
      <c r="L405" s="100">
        <f t="shared" si="112"/>
        <v>9.0200000000000002E-2</v>
      </c>
      <c r="M405" s="100">
        <f t="shared" si="112"/>
        <v>9.0200000000000002E-2</v>
      </c>
      <c r="N405" s="100">
        <f t="shared" si="112"/>
        <v>9.0200000000000002E-2</v>
      </c>
      <c r="O405" s="100">
        <f t="shared" si="112"/>
        <v>9.0200000000000002E-2</v>
      </c>
    </row>
    <row r="406" spans="1:16" x14ac:dyDescent="0.2">
      <c r="A406" s="68" t="s">
        <v>664</v>
      </c>
      <c r="C406" s="67"/>
      <c r="D406" s="90">
        <f t="shared" ref="D406:O406" si="113">D46</f>
        <v>7.7000000000000002E-3</v>
      </c>
      <c r="E406" s="90">
        <f t="shared" si="113"/>
        <v>6.8999999999999999E-3</v>
      </c>
      <c r="F406" s="90">
        <f t="shared" si="113"/>
        <v>7.7000000000000002E-3</v>
      </c>
      <c r="G406" s="90">
        <f t="shared" si="113"/>
        <v>7.4000000000000003E-3</v>
      </c>
      <c r="H406" s="90">
        <f t="shared" si="113"/>
        <v>7.7000000000000002E-3</v>
      </c>
      <c r="I406" s="90">
        <f t="shared" si="113"/>
        <v>7.4000000000000003E-3</v>
      </c>
      <c r="J406" s="90">
        <f t="shared" si="113"/>
        <v>7.7000000000000002E-3</v>
      </c>
      <c r="K406" s="90">
        <f t="shared" si="113"/>
        <v>7.7000000000000002E-3</v>
      </c>
      <c r="L406" s="90">
        <f t="shared" si="113"/>
        <v>7.4000000000000003E-3</v>
      </c>
      <c r="M406" s="90">
        <f t="shared" si="113"/>
        <v>7.7000000000000002E-3</v>
      </c>
      <c r="N406" s="90">
        <f t="shared" si="113"/>
        <v>7.4000000000000003E-3</v>
      </c>
      <c r="O406" s="90">
        <f t="shared" si="113"/>
        <v>7.7000000000000002E-3</v>
      </c>
    </row>
    <row r="407" spans="1:16" ht="12.75" customHeight="1" x14ac:dyDescent="0.2">
      <c r="A407" s="67"/>
      <c r="C407" s="67"/>
    </row>
    <row r="408" spans="1:16" x14ac:dyDescent="0.2">
      <c r="A408" s="329" t="s">
        <v>665</v>
      </c>
      <c r="C408" s="87"/>
      <c r="D408" s="348">
        <f>ROUND(C403*D406,0)</f>
        <v>0</v>
      </c>
      <c r="E408" s="348">
        <f>ROUND(D403*E406,0)</f>
        <v>0</v>
      </c>
      <c r="F408" s="348">
        <f>ROUND(E403*F406,0)</f>
        <v>0</v>
      </c>
      <c r="G408" s="75">
        <f>ROUND(F403*G406,0)</f>
        <v>0</v>
      </c>
      <c r="H408" s="75">
        <f t="shared" ref="H408:O408" si="114">ROUND(G403*H406,0)</f>
        <v>0</v>
      </c>
      <c r="I408" s="75">
        <f>ROUND(H403*I406,0)</f>
        <v>0</v>
      </c>
      <c r="J408" s="348">
        <f>ROUND(I403*J406,0)</f>
        <v>0</v>
      </c>
      <c r="K408" s="75">
        <f t="shared" si="114"/>
        <v>0</v>
      </c>
      <c r="L408" s="348">
        <f>ROUND(K403*L406,0)</f>
        <v>0</v>
      </c>
      <c r="M408" s="75">
        <f t="shared" si="114"/>
        <v>0</v>
      </c>
      <c r="N408" s="75">
        <f t="shared" si="114"/>
        <v>0</v>
      </c>
      <c r="O408" s="75">
        <f t="shared" si="114"/>
        <v>0</v>
      </c>
      <c r="P408" s="75">
        <f>SUM(D408:O408)</f>
        <v>0</v>
      </c>
    </row>
    <row r="409" spans="1:16" ht="6" customHeight="1" x14ac:dyDescent="0.2">
      <c r="A409" s="67"/>
      <c r="B409" s="756"/>
    </row>
    <row r="410" spans="1:16" x14ac:dyDescent="0.2">
      <c r="A410" s="329" t="s">
        <v>666</v>
      </c>
      <c r="B410" s="756"/>
      <c r="D410" s="70">
        <f>D408</f>
        <v>0</v>
      </c>
      <c r="E410" s="70">
        <f t="shared" ref="E410:O410" si="115">E408+D410</f>
        <v>0</v>
      </c>
      <c r="F410" s="70">
        <f t="shared" si="115"/>
        <v>0</v>
      </c>
      <c r="G410" s="70">
        <f t="shared" si="115"/>
        <v>0</v>
      </c>
      <c r="H410" s="70">
        <f t="shared" si="115"/>
        <v>0</v>
      </c>
      <c r="I410" s="70">
        <f t="shared" si="115"/>
        <v>0</v>
      </c>
      <c r="J410" s="70">
        <f t="shared" si="115"/>
        <v>0</v>
      </c>
      <c r="K410" s="70">
        <f t="shared" si="115"/>
        <v>0</v>
      </c>
      <c r="L410" s="70">
        <f t="shared" si="115"/>
        <v>0</v>
      </c>
      <c r="M410" s="70">
        <f t="shared" si="115"/>
        <v>0</v>
      </c>
      <c r="N410" s="70">
        <f t="shared" si="115"/>
        <v>0</v>
      </c>
      <c r="O410" s="70">
        <f t="shared" si="115"/>
        <v>0</v>
      </c>
    </row>
    <row r="413" spans="1:16" x14ac:dyDescent="0.2">
      <c r="A413" s="341" t="s">
        <v>791</v>
      </c>
      <c r="B413" s="756"/>
      <c r="C413" s="63" t="str">
        <f>C30</f>
        <v>12/31/99</v>
      </c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59"/>
    </row>
    <row r="414" spans="1:16" ht="3.95" customHeight="1" x14ac:dyDescent="0.2">
      <c r="A414" s="67"/>
      <c r="B414" s="756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</row>
    <row r="415" spans="1:16" x14ac:dyDescent="0.2">
      <c r="A415" s="329" t="s">
        <v>657</v>
      </c>
      <c r="B415" s="756"/>
      <c r="D415" s="70">
        <f t="shared" ref="D415:O415" si="116">C425</f>
        <v>0</v>
      </c>
      <c r="E415" s="70">
        <f t="shared" si="116"/>
        <v>0</v>
      </c>
      <c r="F415" s="70">
        <f t="shared" si="116"/>
        <v>0</v>
      </c>
      <c r="G415" s="70">
        <f t="shared" si="116"/>
        <v>0</v>
      </c>
      <c r="H415" s="70">
        <f t="shared" si="116"/>
        <v>0</v>
      </c>
      <c r="I415" s="70">
        <f t="shared" si="116"/>
        <v>0</v>
      </c>
      <c r="J415" s="70">
        <f t="shared" si="116"/>
        <v>0</v>
      </c>
      <c r="K415" s="70">
        <f t="shared" si="116"/>
        <v>0</v>
      </c>
      <c r="L415" s="70">
        <f t="shared" si="116"/>
        <v>0</v>
      </c>
      <c r="M415" s="70">
        <f t="shared" si="116"/>
        <v>0</v>
      </c>
      <c r="N415" s="70">
        <f t="shared" si="116"/>
        <v>0</v>
      </c>
      <c r="O415" s="70">
        <f t="shared" si="116"/>
        <v>0</v>
      </c>
      <c r="P415" s="70"/>
    </row>
    <row r="416" spans="1:16" ht="6" customHeight="1" x14ac:dyDescent="0.2"/>
    <row r="417" spans="1:16" x14ac:dyDescent="0.2">
      <c r="A417" s="78" t="s">
        <v>792</v>
      </c>
      <c r="B417" s="94"/>
      <c r="D417" s="70">
        <f t="shared" ref="D417:O417" si="117">D366-D395</f>
        <v>0</v>
      </c>
      <c r="E417" s="70">
        <f t="shared" si="117"/>
        <v>0</v>
      </c>
      <c r="F417" s="70">
        <f t="shared" si="117"/>
        <v>0</v>
      </c>
      <c r="G417" s="70">
        <f t="shared" si="117"/>
        <v>0</v>
      </c>
      <c r="H417" s="70">
        <f t="shared" si="117"/>
        <v>0</v>
      </c>
      <c r="I417" s="70">
        <f t="shared" si="117"/>
        <v>0</v>
      </c>
      <c r="J417" s="70">
        <f t="shared" si="117"/>
        <v>0</v>
      </c>
      <c r="K417" s="70">
        <f t="shared" si="117"/>
        <v>0</v>
      </c>
      <c r="L417" s="70">
        <f t="shared" si="117"/>
        <v>0</v>
      </c>
      <c r="M417" s="70">
        <f t="shared" si="117"/>
        <v>0</v>
      </c>
      <c r="N417" s="70">
        <f t="shared" si="117"/>
        <v>0</v>
      </c>
      <c r="O417" s="70">
        <f t="shared" si="117"/>
        <v>0</v>
      </c>
      <c r="P417" s="70">
        <f>SUM(D417:O417)</f>
        <v>0</v>
      </c>
    </row>
    <row r="418" spans="1:16" ht="6" customHeight="1" x14ac:dyDescent="0.2">
      <c r="A418" s="67"/>
      <c r="B418" s="756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</row>
    <row r="419" spans="1:16" x14ac:dyDescent="0.2">
      <c r="A419" s="336" t="s">
        <v>793</v>
      </c>
      <c r="B419" s="756"/>
      <c r="D419" s="69">
        <v>0</v>
      </c>
      <c r="E419" s="69">
        <v>0</v>
      </c>
      <c r="F419" s="69">
        <v>0</v>
      </c>
      <c r="G419" s="69">
        <v>0</v>
      </c>
      <c r="H419" s="69">
        <v>0</v>
      </c>
      <c r="I419" s="69">
        <v>0</v>
      </c>
      <c r="J419" s="69">
        <v>0</v>
      </c>
      <c r="K419" s="69">
        <v>0</v>
      </c>
      <c r="L419" s="69">
        <v>0</v>
      </c>
      <c r="M419" s="69">
        <v>0</v>
      </c>
      <c r="N419" s="69">
        <v>0</v>
      </c>
      <c r="O419" s="69">
        <v>0</v>
      </c>
      <c r="P419" s="70">
        <f>SUM(D419:O419)</f>
        <v>0</v>
      </c>
    </row>
    <row r="420" spans="1:16" ht="6" customHeight="1" x14ac:dyDescent="0.2">
      <c r="A420" s="67"/>
      <c r="B420" s="75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</row>
    <row r="421" spans="1:16" x14ac:dyDescent="0.2">
      <c r="A421" s="68" t="s">
        <v>794</v>
      </c>
      <c r="B421" s="756"/>
      <c r="D421" s="70">
        <f t="shared" ref="D421:O421" si="118">D370-D399</f>
        <v>0</v>
      </c>
      <c r="E421" s="70">
        <f t="shared" si="118"/>
        <v>0</v>
      </c>
      <c r="F421" s="70">
        <f t="shared" si="118"/>
        <v>0</v>
      </c>
      <c r="G421" s="70">
        <f t="shared" si="118"/>
        <v>0</v>
      </c>
      <c r="H421" s="70">
        <f t="shared" si="118"/>
        <v>0</v>
      </c>
      <c r="I421" s="70">
        <f t="shared" si="118"/>
        <v>0</v>
      </c>
      <c r="J421" s="70">
        <f t="shared" si="118"/>
        <v>0</v>
      </c>
      <c r="K421" s="70">
        <f t="shared" si="118"/>
        <v>0</v>
      </c>
      <c r="L421" s="70">
        <f t="shared" si="118"/>
        <v>0</v>
      </c>
      <c r="M421" s="70">
        <f t="shared" si="118"/>
        <v>0</v>
      </c>
      <c r="N421" s="70">
        <f t="shared" si="118"/>
        <v>0</v>
      </c>
      <c r="O421" s="70">
        <f t="shared" si="118"/>
        <v>0</v>
      </c>
      <c r="P421" s="70">
        <f>SUM(D421:O421)</f>
        <v>0</v>
      </c>
    </row>
    <row r="422" spans="1:16" ht="6" customHeight="1" x14ac:dyDescent="0.2">
      <c r="A422" s="67"/>
      <c r="B422" s="756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</row>
    <row r="423" spans="1:16" x14ac:dyDescent="0.2">
      <c r="A423" s="68" t="s">
        <v>693</v>
      </c>
      <c r="B423" s="756"/>
      <c r="D423" s="72">
        <f t="shared" ref="D423:O423" si="119">D430</f>
        <v>0</v>
      </c>
      <c r="E423" s="72">
        <f t="shared" si="119"/>
        <v>0</v>
      </c>
      <c r="F423" s="72">
        <f t="shared" si="119"/>
        <v>0</v>
      </c>
      <c r="G423" s="72">
        <f t="shared" si="119"/>
        <v>0</v>
      </c>
      <c r="H423" s="72">
        <f t="shared" si="119"/>
        <v>0</v>
      </c>
      <c r="I423" s="72">
        <f t="shared" si="119"/>
        <v>0</v>
      </c>
      <c r="J423" s="72">
        <f t="shared" si="119"/>
        <v>0</v>
      </c>
      <c r="K423" s="72">
        <f t="shared" si="119"/>
        <v>0</v>
      </c>
      <c r="L423" s="72">
        <f t="shared" si="119"/>
        <v>0</v>
      </c>
      <c r="M423" s="72">
        <f t="shared" si="119"/>
        <v>0</v>
      </c>
      <c r="N423" s="72">
        <f t="shared" si="119"/>
        <v>0</v>
      </c>
      <c r="O423" s="72">
        <f t="shared" si="119"/>
        <v>0</v>
      </c>
      <c r="P423" s="72">
        <f>SUM(D423:O423)</f>
        <v>0</v>
      </c>
    </row>
    <row r="424" spans="1:16" ht="3.95" customHeight="1" x14ac:dyDescent="0.2">
      <c r="A424" s="67"/>
      <c r="B424" s="756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</row>
    <row r="425" spans="1:16" x14ac:dyDescent="0.2">
      <c r="A425" s="329" t="s">
        <v>662</v>
      </c>
      <c r="B425" s="762"/>
      <c r="C425" s="75">
        <f>C374-C403</f>
        <v>0</v>
      </c>
      <c r="D425" s="88">
        <f t="shared" ref="D425:O425" si="120">SUM(D415:D423)</f>
        <v>0</v>
      </c>
      <c r="E425" s="88">
        <f t="shared" si="120"/>
        <v>0</v>
      </c>
      <c r="F425" s="88">
        <f t="shared" si="120"/>
        <v>0</v>
      </c>
      <c r="G425" s="88">
        <f t="shared" si="120"/>
        <v>0</v>
      </c>
      <c r="H425" s="88">
        <f t="shared" si="120"/>
        <v>0</v>
      </c>
      <c r="I425" s="88">
        <f t="shared" si="120"/>
        <v>0</v>
      </c>
      <c r="J425" s="88">
        <f t="shared" si="120"/>
        <v>0</v>
      </c>
      <c r="K425" s="88">
        <f t="shared" si="120"/>
        <v>0</v>
      </c>
      <c r="L425" s="88">
        <f t="shared" si="120"/>
        <v>0</v>
      </c>
      <c r="M425" s="88">
        <f t="shared" si="120"/>
        <v>0</v>
      </c>
      <c r="N425" s="88">
        <f t="shared" si="120"/>
        <v>0</v>
      </c>
      <c r="O425" s="88">
        <f t="shared" si="120"/>
        <v>0</v>
      </c>
      <c r="P425" s="88">
        <f>SUM(P417:P423)+D415</f>
        <v>0</v>
      </c>
    </row>
    <row r="426" spans="1:16" x14ac:dyDescent="0.2">
      <c r="A426" s="67"/>
      <c r="C426" s="67"/>
      <c r="D426" s="80"/>
      <c r="E426" s="80"/>
      <c r="F426" s="80"/>
      <c r="G426" s="80"/>
      <c r="H426" s="80"/>
      <c r="I426" s="77"/>
      <c r="J426" s="80"/>
      <c r="K426" s="80"/>
      <c r="L426" s="80"/>
      <c r="M426" s="80"/>
      <c r="N426" s="80"/>
      <c r="O426" s="80"/>
    </row>
    <row r="427" spans="1:16" x14ac:dyDescent="0.2">
      <c r="A427" s="68" t="s">
        <v>795</v>
      </c>
      <c r="C427" s="67"/>
      <c r="D427" s="89">
        <v>0</v>
      </c>
      <c r="E427" s="89">
        <v>0</v>
      </c>
      <c r="F427" s="89">
        <v>0</v>
      </c>
      <c r="G427" s="89">
        <v>0</v>
      </c>
      <c r="H427" s="89">
        <v>0</v>
      </c>
      <c r="I427" s="89">
        <v>0</v>
      </c>
      <c r="J427" s="89">
        <v>0</v>
      </c>
      <c r="K427" s="89">
        <v>0</v>
      </c>
      <c r="L427" s="89">
        <v>0</v>
      </c>
      <c r="M427" s="89">
        <v>0</v>
      </c>
      <c r="N427" s="89">
        <v>0</v>
      </c>
      <c r="O427" s="89">
        <v>0</v>
      </c>
    </row>
    <row r="428" spans="1:16" x14ac:dyDescent="0.2">
      <c r="A428" s="68" t="s">
        <v>664</v>
      </c>
      <c r="C428" s="67"/>
      <c r="D428" s="90">
        <f>ROUND((D427/365)*31,4)</f>
        <v>0</v>
      </c>
      <c r="E428" s="90">
        <f>ROUND((E427/365)*28,4)</f>
        <v>0</v>
      </c>
      <c r="F428" s="90">
        <f>ROUND((F427/365)*31,4)</f>
        <v>0</v>
      </c>
      <c r="G428" s="90">
        <f>ROUND((G427/365)*30,4)</f>
        <v>0</v>
      </c>
      <c r="H428" s="90">
        <f>ROUND((H427/365)*31,4)</f>
        <v>0</v>
      </c>
      <c r="I428" s="90">
        <f>ROUND((I427/365)*30,4)</f>
        <v>0</v>
      </c>
      <c r="J428" s="90">
        <f>ROUND((J427/365)*31,4)</f>
        <v>0</v>
      </c>
      <c r="K428" s="90">
        <f>ROUND((K427/365)*31,4)</f>
        <v>0</v>
      </c>
      <c r="L428" s="90">
        <f>ROUND((L427/365)*30,4)</f>
        <v>0</v>
      </c>
      <c r="M428" s="90">
        <f>ROUND((M427/365)*31,4)</f>
        <v>0</v>
      </c>
      <c r="N428" s="90">
        <f>ROUND((N427/365)*30,4)</f>
        <v>0</v>
      </c>
      <c r="O428" s="90">
        <f>ROUND((O427/365)*31,4)</f>
        <v>0</v>
      </c>
    </row>
    <row r="429" spans="1:16" ht="6" customHeight="1" x14ac:dyDescent="0.2">
      <c r="A429" s="67"/>
      <c r="C429" s="67"/>
    </row>
    <row r="430" spans="1:16" x14ac:dyDescent="0.2">
      <c r="A430" s="329" t="s">
        <v>665</v>
      </c>
      <c r="C430" s="87"/>
      <c r="D430" s="75">
        <f t="shared" ref="D430:O430" si="121">ROUND(C425*D428,0)</f>
        <v>0</v>
      </c>
      <c r="E430" s="75">
        <f t="shared" si="121"/>
        <v>0</v>
      </c>
      <c r="F430" s="75">
        <f t="shared" si="121"/>
        <v>0</v>
      </c>
      <c r="G430" s="75">
        <f t="shared" si="121"/>
        <v>0</v>
      </c>
      <c r="H430" s="75">
        <f t="shared" si="121"/>
        <v>0</v>
      </c>
      <c r="I430" s="75">
        <f t="shared" si="121"/>
        <v>0</v>
      </c>
      <c r="J430" s="75">
        <f t="shared" si="121"/>
        <v>0</v>
      </c>
      <c r="K430" s="75">
        <f t="shared" si="121"/>
        <v>0</v>
      </c>
      <c r="L430" s="75">
        <f t="shared" si="121"/>
        <v>0</v>
      </c>
      <c r="M430" s="75">
        <f t="shared" si="121"/>
        <v>0</v>
      </c>
      <c r="N430" s="75">
        <f t="shared" si="121"/>
        <v>0</v>
      </c>
      <c r="O430" s="75">
        <f t="shared" si="121"/>
        <v>0</v>
      </c>
      <c r="P430" s="75">
        <f>SUM(D430:O430)</f>
        <v>0</v>
      </c>
    </row>
    <row r="431" spans="1:16" ht="6" customHeight="1" x14ac:dyDescent="0.2">
      <c r="A431" s="67"/>
      <c r="B431" s="756"/>
    </row>
    <row r="432" spans="1:16" x14ac:dyDescent="0.2">
      <c r="A432" s="329" t="s">
        <v>666</v>
      </c>
      <c r="B432" s="756"/>
      <c r="D432" s="70">
        <f>D430</f>
        <v>0</v>
      </c>
      <c r="E432" s="70">
        <f t="shared" ref="E432:O432" si="122">E430+D432</f>
        <v>0</v>
      </c>
      <c r="F432" s="70">
        <f t="shared" si="122"/>
        <v>0</v>
      </c>
      <c r="G432" s="70">
        <f t="shared" si="122"/>
        <v>0</v>
      </c>
      <c r="H432" s="70">
        <f t="shared" si="122"/>
        <v>0</v>
      </c>
      <c r="I432" s="70">
        <f t="shared" si="122"/>
        <v>0</v>
      </c>
      <c r="J432" s="70">
        <f t="shared" si="122"/>
        <v>0</v>
      </c>
      <c r="K432" s="70">
        <f t="shared" si="122"/>
        <v>0</v>
      </c>
      <c r="L432" s="70">
        <f t="shared" si="122"/>
        <v>0</v>
      </c>
      <c r="M432" s="70">
        <f t="shared" si="122"/>
        <v>0</v>
      </c>
      <c r="N432" s="70">
        <f t="shared" si="122"/>
        <v>0</v>
      </c>
      <c r="O432" s="70">
        <f t="shared" si="122"/>
        <v>0</v>
      </c>
    </row>
    <row r="433" spans="1:16" x14ac:dyDescent="0.2">
      <c r="A433" s="330"/>
    </row>
    <row r="434" spans="1:16" x14ac:dyDescent="0.2">
      <c r="A434" s="330"/>
    </row>
    <row r="435" spans="1:16" x14ac:dyDescent="0.2">
      <c r="A435" s="341" t="s">
        <v>796</v>
      </c>
      <c r="B435" s="756"/>
      <c r="C435" s="63" t="str">
        <f>C30</f>
        <v>12/31/99</v>
      </c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59"/>
    </row>
    <row r="436" spans="1:16" ht="3.95" customHeight="1" x14ac:dyDescent="0.2">
      <c r="A436" s="67"/>
      <c r="B436" s="756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</row>
    <row r="437" spans="1:16" x14ac:dyDescent="0.2">
      <c r="A437" s="329" t="s">
        <v>657</v>
      </c>
      <c r="B437" s="756"/>
      <c r="D437" s="70">
        <f t="shared" ref="D437:O437" si="123">C447</f>
        <v>0</v>
      </c>
      <c r="E437" s="70">
        <f t="shared" si="123"/>
        <v>0</v>
      </c>
      <c r="F437" s="70">
        <f t="shared" si="123"/>
        <v>0</v>
      </c>
      <c r="G437" s="70">
        <f t="shared" si="123"/>
        <v>0</v>
      </c>
      <c r="H437" s="70">
        <f t="shared" si="123"/>
        <v>0</v>
      </c>
      <c r="I437" s="70">
        <f t="shared" si="123"/>
        <v>0</v>
      </c>
      <c r="J437" s="70">
        <f t="shared" si="123"/>
        <v>0</v>
      </c>
      <c r="K437" s="70">
        <f t="shared" si="123"/>
        <v>0</v>
      </c>
      <c r="L437" s="70">
        <f t="shared" si="123"/>
        <v>0</v>
      </c>
      <c r="M437" s="70">
        <f t="shared" si="123"/>
        <v>0</v>
      </c>
      <c r="N437" s="70">
        <f t="shared" si="123"/>
        <v>0</v>
      </c>
      <c r="O437" s="70">
        <f t="shared" si="123"/>
        <v>0</v>
      </c>
      <c r="P437" s="70"/>
    </row>
    <row r="438" spans="1:16" ht="6" customHeight="1" x14ac:dyDescent="0.2"/>
    <row r="439" spans="1:16" x14ac:dyDescent="0.2">
      <c r="A439" s="78" t="s">
        <v>792</v>
      </c>
      <c r="B439" s="94"/>
      <c r="D439" s="70">
        <f t="shared" ref="D439:O439" si="124">D395+D417</f>
        <v>0</v>
      </c>
      <c r="E439" s="70">
        <f t="shared" si="124"/>
        <v>0</v>
      </c>
      <c r="F439" s="70">
        <f t="shared" si="124"/>
        <v>0</v>
      </c>
      <c r="G439" s="70">
        <f t="shared" si="124"/>
        <v>0</v>
      </c>
      <c r="H439" s="70">
        <f t="shared" si="124"/>
        <v>0</v>
      </c>
      <c r="I439" s="70">
        <f t="shared" si="124"/>
        <v>0</v>
      </c>
      <c r="J439" s="70">
        <f t="shared" si="124"/>
        <v>0</v>
      </c>
      <c r="K439" s="70">
        <f t="shared" si="124"/>
        <v>0</v>
      </c>
      <c r="L439" s="70">
        <f t="shared" si="124"/>
        <v>0</v>
      </c>
      <c r="M439" s="70">
        <f t="shared" si="124"/>
        <v>0</v>
      </c>
      <c r="N439" s="70">
        <f t="shared" si="124"/>
        <v>0</v>
      </c>
      <c r="O439" s="70">
        <f t="shared" si="124"/>
        <v>0</v>
      </c>
      <c r="P439" s="70">
        <f>SUM(D439:O439)</f>
        <v>0</v>
      </c>
    </row>
    <row r="440" spans="1:16" ht="6" customHeight="1" x14ac:dyDescent="0.2">
      <c r="A440" s="67"/>
      <c r="B440" s="75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</row>
    <row r="441" spans="1:16" x14ac:dyDescent="0.2">
      <c r="A441" s="68" t="s">
        <v>659</v>
      </c>
      <c r="B441" s="756"/>
      <c r="D441" s="70">
        <f t="shared" ref="D441:O441" si="125">D397+D419</f>
        <v>0</v>
      </c>
      <c r="E441" s="70">
        <f t="shared" si="125"/>
        <v>0</v>
      </c>
      <c r="F441" s="70">
        <f t="shared" si="125"/>
        <v>0</v>
      </c>
      <c r="G441" s="70">
        <f t="shared" si="125"/>
        <v>0</v>
      </c>
      <c r="H441" s="70">
        <f t="shared" si="125"/>
        <v>0</v>
      </c>
      <c r="I441" s="70">
        <f t="shared" si="125"/>
        <v>0</v>
      </c>
      <c r="J441" s="70">
        <f t="shared" si="125"/>
        <v>0</v>
      </c>
      <c r="K441" s="70">
        <f t="shared" si="125"/>
        <v>0</v>
      </c>
      <c r="L441" s="70">
        <f t="shared" si="125"/>
        <v>0</v>
      </c>
      <c r="M441" s="70">
        <f t="shared" si="125"/>
        <v>0</v>
      </c>
      <c r="N441" s="70">
        <f t="shared" si="125"/>
        <v>0</v>
      </c>
      <c r="O441" s="70">
        <f t="shared" si="125"/>
        <v>0</v>
      </c>
      <c r="P441" s="70">
        <f>SUM(D441:O441)</f>
        <v>0</v>
      </c>
    </row>
    <row r="442" spans="1:16" ht="6" customHeight="1" x14ac:dyDescent="0.2">
      <c r="A442" s="67"/>
      <c r="B442" s="756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</row>
    <row r="443" spans="1:16" x14ac:dyDescent="0.2">
      <c r="A443" s="68" t="s">
        <v>794</v>
      </c>
      <c r="B443" s="756"/>
      <c r="D443" s="70">
        <f t="shared" ref="D443:O443" si="126">D399+D421</f>
        <v>0</v>
      </c>
      <c r="E443" s="70">
        <f t="shared" si="126"/>
        <v>0</v>
      </c>
      <c r="F443" s="70">
        <f t="shared" si="126"/>
        <v>0</v>
      </c>
      <c r="G443" s="70">
        <f t="shared" si="126"/>
        <v>0</v>
      </c>
      <c r="H443" s="70">
        <f t="shared" si="126"/>
        <v>0</v>
      </c>
      <c r="I443" s="70">
        <f t="shared" si="126"/>
        <v>0</v>
      </c>
      <c r="J443" s="70">
        <f t="shared" si="126"/>
        <v>0</v>
      </c>
      <c r="K443" s="70">
        <f t="shared" si="126"/>
        <v>0</v>
      </c>
      <c r="L443" s="70">
        <f t="shared" si="126"/>
        <v>0</v>
      </c>
      <c r="M443" s="70">
        <f t="shared" si="126"/>
        <v>0</v>
      </c>
      <c r="N443" s="70">
        <f t="shared" si="126"/>
        <v>0</v>
      </c>
      <c r="O443" s="70">
        <f t="shared" si="126"/>
        <v>0</v>
      </c>
      <c r="P443" s="70">
        <f>SUM(D443:O443)</f>
        <v>0</v>
      </c>
    </row>
    <row r="444" spans="1:16" ht="6" customHeight="1" x14ac:dyDescent="0.2">
      <c r="A444" s="67"/>
      <c r="B444" s="75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</row>
    <row r="445" spans="1:16" x14ac:dyDescent="0.2">
      <c r="A445" s="68" t="s">
        <v>693</v>
      </c>
      <c r="B445" s="756"/>
      <c r="D445" s="72">
        <f t="shared" ref="D445:O445" si="127">D401+D423</f>
        <v>0</v>
      </c>
      <c r="E445" s="72">
        <f t="shared" si="127"/>
        <v>0</v>
      </c>
      <c r="F445" s="72">
        <f t="shared" si="127"/>
        <v>0</v>
      </c>
      <c r="G445" s="72">
        <f t="shared" si="127"/>
        <v>0</v>
      </c>
      <c r="H445" s="72">
        <f t="shared" si="127"/>
        <v>0</v>
      </c>
      <c r="I445" s="72">
        <f t="shared" si="127"/>
        <v>0</v>
      </c>
      <c r="J445" s="72">
        <f t="shared" si="127"/>
        <v>0</v>
      </c>
      <c r="K445" s="72">
        <f t="shared" si="127"/>
        <v>0</v>
      </c>
      <c r="L445" s="72">
        <f t="shared" si="127"/>
        <v>0</v>
      </c>
      <c r="M445" s="72">
        <f t="shared" si="127"/>
        <v>0</v>
      </c>
      <c r="N445" s="72">
        <f t="shared" si="127"/>
        <v>0</v>
      </c>
      <c r="O445" s="72">
        <f t="shared" si="127"/>
        <v>0</v>
      </c>
      <c r="P445" s="72">
        <f>SUM(D445:O445)</f>
        <v>0</v>
      </c>
    </row>
    <row r="446" spans="1:16" ht="3.95" customHeight="1" x14ac:dyDescent="0.2">
      <c r="A446" s="67"/>
      <c r="B446" s="756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</row>
    <row r="447" spans="1:16" x14ac:dyDescent="0.2">
      <c r="A447" s="329" t="s">
        <v>662</v>
      </c>
      <c r="C447" s="75">
        <f>C403+C425</f>
        <v>0</v>
      </c>
      <c r="D447" s="88">
        <f t="shared" ref="D447:O447" si="128">SUM(D437:D445)</f>
        <v>0</v>
      </c>
      <c r="E447" s="88">
        <f t="shared" si="128"/>
        <v>0</v>
      </c>
      <c r="F447" s="88">
        <f t="shared" si="128"/>
        <v>0</v>
      </c>
      <c r="G447" s="88">
        <f t="shared" si="128"/>
        <v>0</v>
      </c>
      <c r="H447" s="88">
        <f t="shared" si="128"/>
        <v>0</v>
      </c>
      <c r="I447" s="88">
        <f t="shared" si="128"/>
        <v>0</v>
      </c>
      <c r="J447" s="88">
        <f t="shared" si="128"/>
        <v>0</v>
      </c>
      <c r="K447" s="88">
        <f t="shared" si="128"/>
        <v>0</v>
      </c>
      <c r="L447" s="88">
        <f t="shared" si="128"/>
        <v>0</v>
      </c>
      <c r="M447" s="88">
        <f t="shared" si="128"/>
        <v>0</v>
      </c>
      <c r="N447" s="88">
        <f t="shared" si="128"/>
        <v>0</v>
      </c>
      <c r="O447" s="88">
        <f t="shared" si="128"/>
        <v>0</v>
      </c>
      <c r="P447" s="88">
        <f>SUM(P439:P445)+D437</f>
        <v>0</v>
      </c>
    </row>
    <row r="448" spans="1:16" x14ac:dyDescent="0.2">
      <c r="A448" s="67"/>
      <c r="C448" s="67"/>
      <c r="D448" s="80"/>
      <c r="E448" s="80"/>
      <c r="F448" s="80"/>
      <c r="G448" s="80"/>
      <c r="H448" s="80"/>
      <c r="I448" s="77"/>
      <c r="J448" s="80"/>
      <c r="K448" s="80"/>
      <c r="L448" s="80"/>
      <c r="M448" s="80"/>
      <c r="N448" s="80"/>
      <c r="O448" s="80"/>
    </row>
    <row r="449" spans="1:16" x14ac:dyDescent="0.2">
      <c r="A449" s="68" t="s">
        <v>787</v>
      </c>
      <c r="C449" s="67"/>
      <c r="D449" s="347" t="e">
        <f>ROUND((D445/C447)*(366/31),4)</f>
        <v>#DIV/0!</v>
      </c>
      <c r="E449" s="347" t="e">
        <f>ROUND((E445/D447)*(366/29),4)</f>
        <v>#DIV/0!</v>
      </c>
      <c r="F449" s="347" t="e">
        <f>ROUND((F445/E447)*(366/31),4)</f>
        <v>#DIV/0!</v>
      </c>
      <c r="G449" s="347" t="e">
        <f>ROUND((G445/F447)*(366/30),4)</f>
        <v>#DIV/0!</v>
      </c>
      <c r="H449" s="347" t="e">
        <f>ROUND((H445/G447)*(366/31),4)</f>
        <v>#DIV/0!</v>
      </c>
      <c r="I449" s="347" t="e">
        <f>ROUND((I445/H447)*(366/30),4)</f>
        <v>#DIV/0!</v>
      </c>
      <c r="J449" s="347" t="e">
        <f>ROUND((J445/I447)*(366/31),4)</f>
        <v>#DIV/0!</v>
      </c>
      <c r="K449" s="347" t="e">
        <f>ROUND((K445/J447)*(366/31),4)</f>
        <v>#DIV/0!</v>
      </c>
      <c r="L449" s="347" t="e">
        <f>ROUND((L445/K447)*(366/30),4)</f>
        <v>#DIV/0!</v>
      </c>
      <c r="M449" s="347" t="e">
        <f>ROUND((M445/L447)*(366/31),4)</f>
        <v>#DIV/0!</v>
      </c>
      <c r="N449" s="347" t="e">
        <f>ROUND((N445/M447)*(366/30),4)</f>
        <v>#DIV/0!</v>
      </c>
      <c r="O449" s="347" t="e">
        <f>ROUND((O445/N447)*(366/31),4)</f>
        <v>#DIV/0!</v>
      </c>
    </row>
    <row r="450" spans="1:16" x14ac:dyDescent="0.2">
      <c r="A450" s="68" t="s">
        <v>664</v>
      </c>
      <c r="C450" s="67"/>
      <c r="D450" s="339" t="e">
        <f>ROUND((D449/366)*31,4)</f>
        <v>#DIV/0!</v>
      </c>
      <c r="E450" s="339" t="e">
        <f>ROUND((E449/366)*29,4)</f>
        <v>#DIV/0!</v>
      </c>
      <c r="F450" s="339" t="e">
        <f>ROUND((F449/366)*31,4)</f>
        <v>#DIV/0!</v>
      </c>
      <c r="G450" s="339" t="e">
        <f>ROUND((G449/366)*30,4)</f>
        <v>#DIV/0!</v>
      </c>
      <c r="H450" s="339" t="e">
        <f>ROUND((H449/366)*31,4)</f>
        <v>#DIV/0!</v>
      </c>
      <c r="I450" s="339" t="e">
        <f>ROUND((I449/366)*30,4)</f>
        <v>#DIV/0!</v>
      </c>
      <c r="J450" s="339" t="e">
        <f>ROUND((J449/366)*31,4)</f>
        <v>#DIV/0!</v>
      </c>
      <c r="K450" s="339" t="e">
        <f>ROUND((K449/366)*31,4)</f>
        <v>#DIV/0!</v>
      </c>
      <c r="L450" s="339" t="e">
        <f>ROUND((L449/366)*30,4)</f>
        <v>#DIV/0!</v>
      </c>
      <c r="M450" s="339" t="e">
        <f>ROUND((M449/366)*31,4)</f>
        <v>#DIV/0!</v>
      </c>
      <c r="N450" s="339" t="e">
        <f>ROUND((N449/366)*30,4)</f>
        <v>#DIV/0!</v>
      </c>
      <c r="O450" s="339" t="e">
        <f>ROUND((O449/366)*31,4)</f>
        <v>#DIV/0!</v>
      </c>
    </row>
    <row r="451" spans="1:16" ht="6" customHeight="1" x14ac:dyDescent="0.2">
      <c r="A451" s="67"/>
      <c r="C451" s="67"/>
    </row>
    <row r="452" spans="1:16" x14ac:dyDescent="0.2">
      <c r="A452" s="66" t="s">
        <v>665</v>
      </c>
      <c r="C452" s="87"/>
      <c r="D452" s="75">
        <f t="shared" ref="D452:O452" si="129">D445</f>
        <v>0</v>
      </c>
      <c r="E452" s="75">
        <f t="shared" si="129"/>
        <v>0</v>
      </c>
      <c r="F452" s="75">
        <f t="shared" si="129"/>
        <v>0</v>
      </c>
      <c r="G452" s="75">
        <f t="shared" si="129"/>
        <v>0</v>
      </c>
      <c r="H452" s="75">
        <f t="shared" si="129"/>
        <v>0</v>
      </c>
      <c r="I452" s="75">
        <f t="shared" si="129"/>
        <v>0</v>
      </c>
      <c r="J452" s="75">
        <f t="shared" si="129"/>
        <v>0</v>
      </c>
      <c r="K452" s="75">
        <f t="shared" si="129"/>
        <v>0</v>
      </c>
      <c r="L452" s="75">
        <f t="shared" si="129"/>
        <v>0</v>
      </c>
      <c r="M452" s="75">
        <f t="shared" si="129"/>
        <v>0</v>
      </c>
      <c r="N452" s="75">
        <f t="shared" si="129"/>
        <v>0</v>
      </c>
      <c r="O452" s="75">
        <f t="shared" si="129"/>
        <v>0</v>
      </c>
      <c r="P452" s="75">
        <f>SUM(D452:O452)</f>
        <v>0</v>
      </c>
    </row>
    <row r="453" spans="1:16" ht="6" customHeight="1" x14ac:dyDescent="0.2">
      <c r="A453" s="67"/>
      <c r="B453" s="756"/>
    </row>
    <row r="454" spans="1:16" x14ac:dyDescent="0.2">
      <c r="A454" s="66" t="s">
        <v>666</v>
      </c>
      <c r="B454" s="756"/>
      <c r="D454" s="70">
        <f>D452</f>
        <v>0</v>
      </c>
      <c r="E454" s="70">
        <f t="shared" ref="E454:O454" si="130">E452+D454</f>
        <v>0</v>
      </c>
      <c r="F454" s="70">
        <f t="shared" si="130"/>
        <v>0</v>
      </c>
      <c r="G454" s="70">
        <f t="shared" si="130"/>
        <v>0</v>
      </c>
      <c r="H454" s="70">
        <f t="shared" si="130"/>
        <v>0</v>
      </c>
      <c r="I454" s="70">
        <f t="shared" si="130"/>
        <v>0</v>
      </c>
      <c r="J454" s="70">
        <f t="shared" si="130"/>
        <v>0</v>
      </c>
      <c r="K454" s="70">
        <f t="shared" si="130"/>
        <v>0</v>
      </c>
      <c r="L454" s="70">
        <f t="shared" si="130"/>
        <v>0</v>
      </c>
      <c r="M454" s="70">
        <f t="shared" si="130"/>
        <v>0</v>
      </c>
      <c r="N454" s="70">
        <f t="shared" si="130"/>
        <v>0</v>
      </c>
      <c r="O454" s="70">
        <f t="shared" si="130"/>
        <v>0</v>
      </c>
    </row>
    <row r="456" spans="1:16" s="108" customFormat="1" x14ac:dyDescent="0.2">
      <c r="B456" s="765"/>
    </row>
    <row r="458" spans="1:16" x14ac:dyDescent="0.2">
      <c r="A458" s="553" t="str">
        <f ca="1">A1</f>
        <v>P:\Finance\2002 Plan\[EMTW02PL.XLS]IncomeState</v>
      </c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</row>
    <row r="459" spans="1:16" x14ac:dyDescent="0.2">
      <c r="A459" s="326" t="s">
        <v>797</v>
      </c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</row>
    <row r="460" spans="1:16" x14ac:dyDescent="0.2">
      <c r="A460" s="340" t="str">
        <f>A3</f>
        <v>2002 OPERATING PLAN</v>
      </c>
      <c r="B460" s="754">
        <f ca="1">NOW()</f>
        <v>37189.6149224537</v>
      </c>
      <c r="C460" s="61" t="s">
        <v>798</v>
      </c>
      <c r="D460" s="61"/>
      <c r="E460" s="60"/>
      <c r="F460" s="60"/>
      <c r="G460" s="61"/>
      <c r="H460" s="61"/>
      <c r="I460" s="61"/>
      <c r="J460" s="60"/>
      <c r="K460" s="60"/>
      <c r="L460" s="60"/>
      <c r="M460" s="60"/>
      <c r="N460" s="60"/>
      <c r="O460" s="60"/>
      <c r="P460" s="91"/>
    </row>
    <row r="461" spans="1:16" ht="12.95" customHeight="1" x14ac:dyDescent="0.2">
      <c r="A461" s="62"/>
      <c r="B461" s="755">
        <f ca="1">NOW()</f>
        <v>37189.6149224537</v>
      </c>
      <c r="C461" s="324" t="str">
        <f t="shared" ref="C461:P461" si="131">C4</f>
        <v>BALANCE</v>
      </c>
      <c r="D461" s="324" t="str">
        <f t="shared" si="131"/>
        <v>JAN</v>
      </c>
      <c r="E461" s="324" t="str">
        <f t="shared" si="131"/>
        <v>FEB</v>
      </c>
      <c r="F461" s="324" t="str">
        <f t="shared" si="131"/>
        <v>MAR</v>
      </c>
      <c r="G461" s="324" t="str">
        <f t="shared" si="131"/>
        <v>APR</v>
      </c>
      <c r="H461" s="324" t="str">
        <f t="shared" si="131"/>
        <v>MAY</v>
      </c>
      <c r="I461" s="324" t="str">
        <f t="shared" si="131"/>
        <v>JUN</v>
      </c>
      <c r="J461" s="324" t="str">
        <f t="shared" si="131"/>
        <v>JUL</v>
      </c>
      <c r="K461" s="324" t="str">
        <f t="shared" si="131"/>
        <v>AUG</v>
      </c>
      <c r="L461" s="324" t="str">
        <f t="shared" si="131"/>
        <v>SEP</v>
      </c>
      <c r="M461" s="324" t="str">
        <f t="shared" si="131"/>
        <v>OCT</v>
      </c>
      <c r="N461" s="324" t="str">
        <f t="shared" si="131"/>
        <v>NOV</v>
      </c>
      <c r="O461" s="324" t="str">
        <f t="shared" si="131"/>
        <v>DEC</v>
      </c>
      <c r="P461" s="324">
        <f t="shared" si="131"/>
        <v>2002</v>
      </c>
    </row>
    <row r="462" spans="1:16" ht="3.95" customHeight="1" x14ac:dyDescent="0.2"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59"/>
    </row>
    <row r="463" spans="1:16" ht="12" customHeight="1" x14ac:dyDescent="0.2">
      <c r="A463" s="335" t="s">
        <v>799</v>
      </c>
      <c r="B463" s="756"/>
    </row>
    <row r="464" spans="1:16" x14ac:dyDescent="0.2">
      <c r="A464" s="68" t="s">
        <v>642</v>
      </c>
      <c r="B464" s="756"/>
      <c r="D464" s="70">
        <f t="shared" ref="D464:O464" si="132">D327</f>
        <v>0</v>
      </c>
      <c r="E464" s="70">
        <f t="shared" si="132"/>
        <v>0</v>
      </c>
      <c r="F464" s="70">
        <f t="shared" si="132"/>
        <v>0</v>
      </c>
      <c r="G464" s="70">
        <f t="shared" si="132"/>
        <v>0</v>
      </c>
      <c r="H464" s="70">
        <f t="shared" si="132"/>
        <v>0</v>
      </c>
      <c r="I464" s="70">
        <f t="shared" si="132"/>
        <v>0</v>
      </c>
      <c r="J464" s="70">
        <f t="shared" si="132"/>
        <v>0</v>
      </c>
      <c r="K464" s="70">
        <f t="shared" si="132"/>
        <v>0</v>
      </c>
      <c r="L464" s="70">
        <f t="shared" si="132"/>
        <v>0</v>
      </c>
      <c r="M464" s="70">
        <f t="shared" si="132"/>
        <v>0</v>
      </c>
      <c r="N464" s="70">
        <f t="shared" si="132"/>
        <v>0</v>
      </c>
      <c r="O464" s="70">
        <f t="shared" si="132"/>
        <v>0</v>
      </c>
      <c r="P464" s="70">
        <f>SUM(D464:O464)</f>
        <v>0</v>
      </c>
    </row>
    <row r="465" spans="1:16" x14ac:dyDescent="0.2">
      <c r="A465" s="336" t="s">
        <v>703</v>
      </c>
      <c r="D465" s="70">
        <f t="shared" ref="D465:O465" si="133">D328</f>
        <v>0</v>
      </c>
      <c r="E465" s="70">
        <f t="shared" si="133"/>
        <v>0</v>
      </c>
      <c r="F465" s="70">
        <f t="shared" si="133"/>
        <v>0</v>
      </c>
      <c r="G465" s="70">
        <f t="shared" si="133"/>
        <v>0</v>
      </c>
      <c r="H465" s="70">
        <f t="shared" si="133"/>
        <v>0</v>
      </c>
      <c r="I465" s="70">
        <f t="shared" si="133"/>
        <v>0</v>
      </c>
      <c r="J465" s="70">
        <f t="shared" si="133"/>
        <v>0</v>
      </c>
      <c r="K465" s="70">
        <f t="shared" si="133"/>
        <v>0</v>
      </c>
      <c r="L465" s="70">
        <f t="shared" si="133"/>
        <v>0</v>
      </c>
      <c r="M465" s="70">
        <f t="shared" si="133"/>
        <v>0</v>
      </c>
      <c r="N465" s="70">
        <f t="shared" si="133"/>
        <v>0</v>
      </c>
      <c r="O465" s="70">
        <f t="shared" si="133"/>
        <v>0</v>
      </c>
      <c r="P465" s="70">
        <f>SUM(D465:O465)</f>
        <v>0</v>
      </c>
    </row>
    <row r="466" spans="1:16" x14ac:dyDescent="0.2">
      <c r="A466" s="336" t="s">
        <v>704</v>
      </c>
      <c r="D466" s="72">
        <f t="shared" ref="D466:O466" si="134">D329</f>
        <v>0</v>
      </c>
      <c r="E466" s="72">
        <f t="shared" si="134"/>
        <v>0</v>
      </c>
      <c r="F466" s="72">
        <f t="shared" si="134"/>
        <v>0</v>
      </c>
      <c r="G466" s="72">
        <f t="shared" si="134"/>
        <v>0</v>
      </c>
      <c r="H466" s="72">
        <f t="shared" si="134"/>
        <v>0</v>
      </c>
      <c r="I466" s="72">
        <f t="shared" si="134"/>
        <v>0</v>
      </c>
      <c r="J466" s="72">
        <f t="shared" si="134"/>
        <v>0</v>
      </c>
      <c r="K466" s="72">
        <f t="shared" si="134"/>
        <v>0</v>
      </c>
      <c r="L466" s="72">
        <f t="shared" si="134"/>
        <v>0</v>
      </c>
      <c r="M466" s="72">
        <f t="shared" si="134"/>
        <v>0</v>
      </c>
      <c r="N466" s="72">
        <f t="shared" si="134"/>
        <v>0</v>
      </c>
      <c r="O466" s="72">
        <f t="shared" si="134"/>
        <v>0</v>
      </c>
      <c r="P466" s="72">
        <f>SUM(D466:O466)</f>
        <v>0</v>
      </c>
    </row>
    <row r="467" spans="1:16" ht="3.95" customHeight="1" x14ac:dyDescent="0.2"/>
    <row r="468" spans="1:16" x14ac:dyDescent="0.2">
      <c r="A468" s="68" t="s">
        <v>645</v>
      </c>
      <c r="B468" s="756"/>
      <c r="D468" s="70">
        <f t="shared" ref="D468:O468" si="135">D464+D465+D466</f>
        <v>0</v>
      </c>
      <c r="E468" s="70">
        <f t="shared" si="135"/>
        <v>0</v>
      </c>
      <c r="F468" s="70">
        <f t="shared" si="135"/>
        <v>0</v>
      </c>
      <c r="G468" s="70">
        <f t="shared" si="135"/>
        <v>0</v>
      </c>
      <c r="H468" s="70">
        <f t="shared" si="135"/>
        <v>0</v>
      </c>
      <c r="I468" s="70">
        <f t="shared" si="135"/>
        <v>0</v>
      </c>
      <c r="J468" s="70">
        <f t="shared" si="135"/>
        <v>0</v>
      </c>
      <c r="K468" s="70">
        <f t="shared" si="135"/>
        <v>0</v>
      </c>
      <c r="L468" s="70">
        <f t="shared" si="135"/>
        <v>0</v>
      </c>
      <c r="M468" s="70">
        <f t="shared" si="135"/>
        <v>0</v>
      </c>
      <c r="N468" s="70">
        <f t="shared" si="135"/>
        <v>0</v>
      </c>
      <c r="O468" s="70">
        <f t="shared" si="135"/>
        <v>0</v>
      </c>
      <c r="P468" s="70">
        <f>SUM(D468:O468)</f>
        <v>0</v>
      </c>
    </row>
    <row r="469" spans="1:16" ht="3.95" customHeight="1" x14ac:dyDescent="0.2"/>
    <row r="470" spans="1:16" x14ac:dyDescent="0.2">
      <c r="A470" s="68" t="s">
        <v>800</v>
      </c>
      <c r="B470" s="756"/>
      <c r="D470" s="73">
        <f t="shared" ref="D470:P470" si="136">IF(D468=0,0,ROUND(D472/D468,4))</f>
        <v>0</v>
      </c>
      <c r="E470" s="73">
        <f t="shared" si="136"/>
        <v>0</v>
      </c>
      <c r="F470" s="73">
        <f t="shared" si="136"/>
        <v>0</v>
      </c>
      <c r="G470" s="73">
        <f t="shared" si="136"/>
        <v>0</v>
      </c>
      <c r="H470" s="73">
        <f t="shared" si="136"/>
        <v>0</v>
      </c>
      <c r="I470" s="73">
        <f t="shared" si="136"/>
        <v>0</v>
      </c>
      <c r="J470" s="73">
        <f t="shared" si="136"/>
        <v>0</v>
      </c>
      <c r="K470" s="73">
        <f t="shared" si="136"/>
        <v>0</v>
      </c>
      <c r="L470" s="73">
        <f t="shared" si="136"/>
        <v>0</v>
      </c>
      <c r="M470" s="73">
        <f t="shared" si="136"/>
        <v>0</v>
      </c>
      <c r="N470" s="73">
        <f t="shared" si="136"/>
        <v>0</v>
      </c>
      <c r="O470" s="73">
        <f t="shared" si="136"/>
        <v>0</v>
      </c>
      <c r="P470" s="73">
        <f t="shared" si="136"/>
        <v>0</v>
      </c>
    </row>
    <row r="471" spans="1:16" ht="3.95" customHeight="1" x14ac:dyDescent="0.2"/>
    <row r="472" spans="1:16" x14ac:dyDescent="0.2">
      <c r="A472" s="336" t="s">
        <v>801</v>
      </c>
      <c r="B472" s="756"/>
      <c r="D472" s="70">
        <v>0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f>SUM(D472:O472)</f>
        <v>0</v>
      </c>
    </row>
    <row r="473" spans="1:16" x14ac:dyDescent="0.2">
      <c r="A473" s="78" t="s">
        <v>624</v>
      </c>
      <c r="D473" s="69">
        <v>0</v>
      </c>
      <c r="E473" s="69">
        <v>0</v>
      </c>
      <c r="F473" s="69">
        <v>0</v>
      </c>
      <c r="G473" s="69">
        <v>0</v>
      </c>
      <c r="H473" s="69">
        <v>0</v>
      </c>
      <c r="I473" s="69">
        <v>0</v>
      </c>
      <c r="J473" s="69">
        <v>0</v>
      </c>
      <c r="K473" s="69">
        <v>0</v>
      </c>
      <c r="L473" s="69">
        <v>0</v>
      </c>
      <c r="M473" s="69">
        <v>0</v>
      </c>
      <c r="N473" s="69">
        <v>0</v>
      </c>
      <c r="O473" s="69">
        <v>0</v>
      </c>
      <c r="P473" s="70">
        <f>SUM(D473:O473)</f>
        <v>0</v>
      </c>
    </row>
    <row r="474" spans="1:16" x14ac:dyDescent="0.2">
      <c r="A474" s="78" t="s">
        <v>624</v>
      </c>
      <c r="D474" s="257">
        <v>0</v>
      </c>
      <c r="E474" s="257">
        <v>0</v>
      </c>
      <c r="F474" s="257">
        <v>0</v>
      </c>
      <c r="G474" s="257">
        <v>0</v>
      </c>
      <c r="H474" s="257">
        <v>0</v>
      </c>
      <c r="I474" s="257">
        <v>0</v>
      </c>
      <c r="J474" s="257">
        <v>0</v>
      </c>
      <c r="K474" s="257">
        <v>0</v>
      </c>
      <c r="L474" s="257">
        <v>0</v>
      </c>
      <c r="M474" s="257">
        <v>0</v>
      </c>
      <c r="N474" s="257">
        <v>0</v>
      </c>
      <c r="O474" s="257">
        <v>0</v>
      </c>
      <c r="P474" s="72">
        <f>SUM(D474:O474)</f>
        <v>0</v>
      </c>
    </row>
    <row r="475" spans="1:16" ht="3.95" customHeight="1" x14ac:dyDescent="0.2"/>
    <row r="476" spans="1:16" x14ac:dyDescent="0.2">
      <c r="A476" s="335" t="s">
        <v>802</v>
      </c>
      <c r="D476" s="88">
        <f t="shared" ref="D476:P476" si="137">SUM(D472:D474)</f>
        <v>0</v>
      </c>
      <c r="E476" s="88">
        <f t="shared" si="137"/>
        <v>0</v>
      </c>
      <c r="F476" s="88">
        <f t="shared" si="137"/>
        <v>0</v>
      </c>
      <c r="G476" s="88">
        <f t="shared" si="137"/>
        <v>0</v>
      </c>
      <c r="H476" s="88">
        <f t="shared" si="137"/>
        <v>0</v>
      </c>
      <c r="I476" s="88">
        <f t="shared" si="137"/>
        <v>0</v>
      </c>
      <c r="J476" s="88">
        <f t="shared" si="137"/>
        <v>0</v>
      </c>
      <c r="K476" s="88">
        <f t="shared" si="137"/>
        <v>0</v>
      </c>
      <c r="L476" s="88">
        <f t="shared" si="137"/>
        <v>0</v>
      </c>
      <c r="M476" s="88">
        <f t="shared" si="137"/>
        <v>0</v>
      </c>
      <c r="N476" s="88">
        <f t="shared" si="137"/>
        <v>0</v>
      </c>
      <c r="O476" s="88">
        <f t="shared" si="137"/>
        <v>0</v>
      </c>
      <c r="P476" s="88">
        <f t="shared" si="137"/>
        <v>0</v>
      </c>
    </row>
    <row r="477" spans="1:16" x14ac:dyDescent="0.2">
      <c r="A477" s="343"/>
    </row>
    <row r="478" spans="1:16" x14ac:dyDescent="0.2">
      <c r="A478" s="335" t="s">
        <v>803</v>
      </c>
      <c r="B478" s="75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</row>
    <row r="479" spans="1:16" x14ac:dyDescent="0.2">
      <c r="A479" s="98" t="s">
        <v>804</v>
      </c>
      <c r="D479" s="69">
        <v>0</v>
      </c>
      <c r="E479" s="69">
        <v>0</v>
      </c>
      <c r="F479" s="69">
        <v>0</v>
      </c>
      <c r="G479" s="69">
        <v>0</v>
      </c>
      <c r="H479" s="69">
        <v>0</v>
      </c>
      <c r="I479" s="69">
        <v>0</v>
      </c>
      <c r="J479" s="69">
        <v>0</v>
      </c>
      <c r="K479" s="69">
        <v>0</v>
      </c>
      <c r="L479" s="69">
        <v>0</v>
      </c>
      <c r="M479" s="69">
        <v>0</v>
      </c>
      <c r="N479" s="69">
        <v>0</v>
      </c>
      <c r="O479" s="69">
        <v>0</v>
      </c>
      <c r="P479" s="70">
        <f>SUM(D479:O479)</f>
        <v>0</v>
      </c>
    </row>
    <row r="480" spans="1:16" x14ac:dyDescent="0.2">
      <c r="A480" s="98" t="s">
        <v>805</v>
      </c>
      <c r="D480" s="69">
        <v>0</v>
      </c>
      <c r="E480" s="69">
        <v>0</v>
      </c>
      <c r="F480" s="69">
        <v>0</v>
      </c>
      <c r="G480" s="69">
        <v>0</v>
      </c>
      <c r="H480" s="69">
        <v>0</v>
      </c>
      <c r="I480" s="69">
        <v>0</v>
      </c>
      <c r="J480" s="69">
        <v>0</v>
      </c>
      <c r="K480" s="69">
        <v>0</v>
      </c>
      <c r="L480" s="69">
        <v>0</v>
      </c>
      <c r="M480" s="69">
        <v>0</v>
      </c>
      <c r="N480" s="69">
        <v>0</v>
      </c>
      <c r="O480" s="69">
        <v>0</v>
      </c>
      <c r="P480" s="70">
        <f>SUM(D480:O480)</f>
        <v>0</v>
      </c>
    </row>
    <row r="481" spans="1:16" x14ac:dyDescent="0.2">
      <c r="A481" s="98" t="s">
        <v>624</v>
      </c>
      <c r="D481" s="69">
        <v>0</v>
      </c>
      <c r="E481" s="69">
        <v>0</v>
      </c>
      <c r="F481" s="69">
        <v>0</v>
      </c>
      <c r="G481" s="69">
        <v>0</v>
      </c>
      <c r="H481" s="69">
        <v>0</v>
      </c>
      <c r="I481" s="69">
        <v>0</v>
      </c>
      <c r="J481" s="69">
        <v>0</v>
      </c>
      <c r="K481" s="69">
        <v>0</v>
      </c>
      <c r="L481" s="69">
        <v>0</v>
      </c>
      <c r="M481" s="69">
        <v>0</v>
      </c>
      <c r="N481" s="69">
        <v>0</v>
      </c>
      <c r="O481" s="69">
        <v>0</v>
      </c>
      <c r="P481" s="70">
        <f>SUM(D481:O481)</f>
        <v>0</v>
      </c>
    </row>
    <row r="482" spans="1:16" x14ac:dyDescent="0.2">
      <c r="A482" s="98" t="s">
        <v>624</v>
      </c>
      <c r="D482" s="257">
        <v>0</v>
      </c>
      <c r="E482" s="257">
        <v>0</v>
      </c>
      <c r="F482" s="257">
        <v>0</v>
      </c>
      <c r="G482" s="257">
        <v>0</v>
      </c>
      <c r="H482" s="257">
        <v>0</v>
      </c>
      <c r="I482" s="257">
        <v>0</v>
      </c>
      <c r="J482" s="257">
        <v>0</v>
      </c>
      <c r="K482" s="257">
        <v>0</v>
      </c>
      <c r="L482" s="257">
        <v>0</v>
      </c>
      <c r="M482" s="257">
        <v>0</v>
      </c>
      <c r="N482" s="257">
        <v>0</v>
      </c>
      <c r="O482" s="257">
        <v>0</v>
      </c>
      <c r="P482" s="72">
        <f>SUM(D482:O482)</f>
        <v>0</v>
      </c>
    </row>
    <row r="483" spans="1:16" ht="3.95" customHeight="1" x14ac:dyDescent="0.2"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</row>
    <row r="484" spans="1:16" x14ac:dyDescent="0.2">
      <c r="A484" s="335" t="s">
        <v>806</v>
      </c>
      <c r="B484" s="757"/>
      <c r="C484" s="59"/>
      <c r="D484" s="88">
        <f t="shared" ref="D484:P484" si="138">SUM(D479:D482)</f>
        <v>0</v>
      </c>
      <c r="E484" s="88">
        <f t="shared" si="138"/>
        <v>0</v>
      </c>
      <c r="F484" s="88">
        <f t="shared" si="138"/>
        <v>0</v>
      </c>
      <c r="G484" s="88">
        <f t="shared" si="138"/>
        <v>0</v>
      </c>
      <c r="H484" s="88">
        <f t="shared" si="138"/>
        <v>0</v>
      </c>
      <c r="I484" s="88">
        <f t="shared" si="138"/>
        <v>0</v>
      </c>
      <c r="J484" s="88">
        <f t="shared" si="138"/>
        <v>0</v>
      </c>
      <c r="K484" s="88">
        <f t="shared" si="138"/>
        <v>0</v>
      </c>
      <c r="L484" s="88">
        <f t="shared" si="138"/>
        <v>0</v>
      </c>
      <c r="M484" s="88">
        <f t="shared" si="138"/>
        <v>0</v>
      </c>
      <c r="N484" s="88">
        <f t="shared" si="138"/>
        <v>0</v>
      </c>
      <c r="O484" s="88">
        <f t="shared" si="138"/>
        <v>0</v>
      </c>
      <c r="P484" s="88">
        <f t="shared" si="138"/>
        <v>0</v>
      </c>
    </row>
    <row r="485" spans="1:16" ht="6" customHeight="1" x14ac:dyDescent="0.2"/>
    <row r="486" spans="1:16" x14ac:dyDescent="0.2">
      <c r="A486" s="68" t="s">
        <v>687</v>
      </c>
      <c r="B486" s="756"/>
      <c r="D486" s="70">
        <f t="shared" ref="D486:O486" si="139">D476-D484</f>
        <v>0</v>
      </c>
      <c r="E486" s="70">
        <f t="shared" si="139"/>
        <v>0</v>
      </c>
      <c r="F486" s="70">
        <f t="shared" si="139"/>
        <v>0</v>
      </c>
      <c r="G486" s="70">
        <f t="shared" si="139"/>
        <v>0</v>
      </c>
      <c r="H486" s="70">
        <f t="shared" si="139"/>
        <v>0</v>
      </c>
      <c r="I486" s="70">
        <f t="shared" si="139"/>
        <v>0</v>
      </c>
      <c r="J486" s="70">
        <f t="shared" si="139"/>
        <v>0</v>
      </c>
      <c r="K486" s="70">
        <f t="shared" si="139"/>
        <v>0</v>
      </c>
      <c r="L486" s="70">
        <f t="shared" si="139"/>
        <v>0</v>
      </c>
      <c r="M486" s="70">
        <f t="shared" si="139"/>
        <v>0</v>
      </c>
      <c r="N486" s="70">
        <f t="shared" si="139"/>
        <v>0</v>
      </c>
      <c r="O486" s="70">
        <f t="shared" si="139"/>
        <v>0</v>
      </c>
      <c r="P486" s="70">
        <f>SUM(D486:O486)</f>
        <v>0</v>
      </c>
    </row>
    <row r="487" spans="1:16" x14ac:dyDescent="0.2">
      <c r="A487" s="78" t="s">
        <v>807</v>
      </c>
      <c r="D487" s="69">
        <v>0</v>
      </c>
      <c r="E487" s="69">
        <v>0</v>
      </c>
      <c r="F487" s="69">
        <v>0</v>
      </c>
      <c r="G487" s="69">
        <v>0</v>
      </c>
      <c r="H487" s="69">
        <v>0</v>
      </c>
      <c r="I487" s="69">
        <v>0</v>
      </c>
      <c r="J487" s="69">
        <v>0</v>
      </c>
      <c r="K487" s="69">
        <v>0</v>
      </c>
      <c r="L487" s="69">
        <v>0</v>
      </c>
      <c r="M487" s="69">
        <v>0</v>
      </c>
      <c r="N487" s="69">
        <v>0</v>
      </c>
      <c r="O487" s="69">
        <v>0</v>
      </c>
      <c r="P487" s="70">
        <f>SUM(D487:O487)</f>
        <v>0</v>
      </c>
    </row>
    <row r="488" spans="1:16" x14ac:dyDescent="0.2">
      <c r="A488" s="78" t="s">
        <v>623</v>
      </c>
      <c r="D488" s="69">
        <v>0</v>
      </c>
      <c r="E488" s="69">
        <v>0</v>
      </c>
      <c r="F488" s="69">
        <v>0</v>
      </c>
      <c r="G488" s="69">
        <v>0</v>
      </c>
      <c r="H488" s="69">
        <v>0</v>
      </c>
      <c r="I488" s="69">
        <v>0</v>
      </c>
      <c r="J488" s="69">
        <v>0</v>
      </c>
      <c r="K488" s="69">
        <v>0</v>
      </c>
      <c r="L488" s="69">
        <v>0</v>
      </c>
      <c r="M488" s="69">
        <v>0</v>
      </c>
      <c r="N488" s="69">
        <v>0</v>
      </c>
      <c r="O488" s="69">
        <v>0</v>
      </c>
      <c r="P488" s="70">
        <f>SUM(D488:O488)</f>
        <v>0</v>
      </c>
    </row>
    <row r="489" spans="1:16" x14ac:dyDescent="0.2">
      <c r="A489" s="68" t="s">
        <v>653</v>
      </c>
      <c r="D489" s="257">
        <v>0</v>
      </c>
      <c r="E489" s="257">
        <v>0</v>
      </c>
      <c r="F489" s="257">
        <v>0</v>
      </c>
      <c r="G489" s="257">
        <v>0</v>
      </c>
      <c r="H489" s="257">
        <v>0</v>
      </c>
      <c r="I489" s="257">
        <v>0</v>
      </c>
      <c r="J489" s="257">
        <v>0</v>
      </c>
      <c r="K489" s="257">
        <v>0</v>
      </c>
      <c r="L489" s="257">
        <v>0</v>
      </c>
      <c r="M489" s="257">
        <v>0</v>
      </c>
      <c r="N489" s="257">
        <v>0</v>
      </c>
      <c r="O489" s="257">
        <v>0</v>
      </c>
      <c r="P489" s="72">
        <f>SUM(D489:O489)</f>
        <v>0</v>
      </c>
    </row>
    <row r="490" spans="1:16" ht="3.95" customHeight="1" x14ac:dyDescent="0.2"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</row>
    <row r="491" spans="1:16" x14ac:dyDescent="0.2">
      <c r="A491" s="331" t="s">
        <v>654</v>
      </c>
      <c r="B491" s="760"/>
      <c r="C491" s="59"/>
      <c r="D491" s="75">
        <f t="shared" ref="D491:O491" si="140">SUM(D486:D489)</f>
        <v>0</v>
      </c>
      <c r="E491" s="75">
        <f t="shared" si="140"/>
        <v>0</v>
      </c>
      <c r="F491" s="75">
        <f t="shared" si="140"/>
        <v>0</v>
      </c>
      <c r="G491" s="75">
        <f t="shared" si="140"/>
        <v>0</v>
      </c>
      <c r="H491" s="75">
        <f t="shared" si="140"/>
        <v>0</v>
      </c>
      <c r="I491" s="75">
        <f t="shared" si="140"/>
        <v>0</v>
      </c>
      <c r="J491" s="75">
        <f t="shared" si="140"/>
        <v>0</v>
      </c>
      <c r="K491" s="75">
        <f t="shared" si="140"/>
        <v>0</v>
      </c>
      <c r="L491" s="75">
        <f t="shared" si="140"/>
        <v>0</v>
      </c>
      <c r="M491" s="75">
        <f t="shared" si="140"/>
        <v>0</v>
      </c>
      <c r="N491" s="75">
        <f t="shared" si="140"/>
        <v>0</v>
      </c>
      <c r="O491" s="75">
        <f t="shared" si="140"/>
        <v>0</v>
      </c>
      <c r="P491" s="75">
        <f>SUM(D491:O491)</f>
        <v>0</v>
      </c>
    </row>
    <row r="492" spans="1:16" ht="6" customHeight="1" x14ac:dyDescent="0.2">
      <c r="A492" s="67"/>
      <c r="B492" s="756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</row>
    <row r="493" spans="1:16" x14ac:dyDescent="0.2">
      <c r="A493" s="335" t="s">
        <v>808</v>
      </c>
      <c r="B493" s="757"/>
      <c r="C493" s="59"/>
      <c r="D493" s="75">
        <f t="shared" ref="D493:O493" si="141">-1*D491</f>
        <v>0</v>
      </c>
      <c r="E493" s="75">
        <f t="shared" si="141"/>
        <v>0</v>
      </c>
      <c r="F493" s="75">
        <f t="shared" si="141"/>
        <v>0</v>
      </c>
      <c r="G493" s="75">
        <f t="shared" si="141"/>
        <v>0</v>
      </c>
      <c r="H493" s="75">
        <f t="shared" si="141"/>
        <v>0</v>
      </c>
      <c r="I493" s="75">
        <f t="shared" si="141"/>
        <v>0</v>
      </c>
      <c r="J493" s="75">
        <f t="shared" si="141"/>
        <v>0</v>
      </c>
      <c r="K493" s="75">
        <f t="shared" si="141"/>
        <v>0</v>
      </c>
      <c r="L493" s="75">
        <f t="shared" si="141"/>
        <v>0</v>
      </c>
      <c r="M493" s="75">
        <f t="shared" si="141"/>
        <v>0</v>
      </c>
      <c r="N493" s="75">
        <f t="shared" si="141"/>
        <v>0</v>
      </c>
      <c r="O493" s="75">
        <f t="shared" si="141"/>
        <v>0</v>
      </c>
      <c r="P493" s="75">
        <f>SUM(D493:O493)</f>
        <v>0</v>
      </c>
    </row>
    <row r="494" spans="1:16" x14ac:dyDescent="0.2">
      <c r="A494" s="67"/>
      <c r="B494" s="756"/>
    </row>
    <row r="495" spans="1:16" x14ac:dyDescent="0.2">
      <c r="A495" s="82"/>
      <c r="B495" s="758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</row>
    <row r="496" spans="1:16" x14ac:dyDescent="0.2">
      <c r="A496" s="330"/>
    </row>
    <row r="497" spans="1:16" x14ac:dyDescent="0.2">
      <c r="A497" s="341" t="s">
        <v>809</v>
      </c>
      <c r="B497" s="756"/>
      <c r="C497" s="63" t="str">
        <f>C30</f>
        <v>12/31/99</v>
      </c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59"/>
    </row>
    <row r="498" spans="1:16" ht="3.95" customHeight="1" x14ac:dyDescent="0.2">
      <c r="A498" s="67"/>
      <c r="B498" s="756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</row>
    <row r="499" spans="1:16" x14ac:dyDescent="0.2">
      <c r="A499" s="329" t="s">
        <v>657</v>
      </c>
      <c r="B499" s="756"/>
      <c r="D499" s="70">
        <f t="shared" ref="D499:O499" si="142">C509</f>
        <v>0</v>
      </c>
      <c r="E499" s="70">
        <f t="shared" si="142"/>
        <v>0</v>
      </c>
      <c r="F499" s="70">
        <f t="shared" si="142"/>
        <v>0</v>
      </c>
      <c r="G499" s="70">
        <f t="shared" si="142"/>
        <v>0</v>
      </c>
      <c r="H499" s="70">
        <f t="shared" si="142"/>
        <v>0</v>
      </c>
      <c r="I499" s="70">
        <f t="shared" si="142"/>
        <v>0</v>
      </c>
      <c r="J499" s="70">
        <f t="shared" si="142"/>
        <v>0</v>
      </c>
      <c r="K499" s="70">
        <f t="shared" si="142"/>
        <v>0</v>
      </c>
      <c r="L499" s="70">
        <f t="shared" si="142"/>
        <v>0</v>
      </c>
      <c r="M499" s="70">
        <f t="shared" si="142"/>
        <v>0</v>
      </c>
      <c r="N499" s="70">
        <f t="shared" si="142"/>
        <v>0</v>
      </c>
      <c r="O499" s="70">
        <f t="shared" si="142"/>
        <v>0</v>
      </c>
      <c r="P499" s="70"/>
    </row>
    <row r="500" spans="1:16" ht="6" customHeight="1" x14ac:dyDescent="0.2">
      <c r="A500" s="330"/>
    </row>
    <row r="501" spans="1:16" x14ac:dyDescent="0.2">
      <c r="A501" s="98" t="s">
        <v>810</v>
      </c>
      <c r="B501" s="94"/>
      <c r="D501" s="69">
        <v>0</v>
      </c>
      <c r="E501" s="69">
        <v>0</v>
      </c>
      <c r="F501" s="69">
        <v>0</v>
      </c>
      <c r="G501" s="69">
        <v>0</v>
      </c>
      <c r="H501" s="69">
        <v>0</v>
      </c>
      <c r="I501" s="69">
        <v>0</v>
      </c>
      <c r="J501" s="69">
        <v>0</v>
      </c>
      <c r="K501" s="69">
        <v>0</v>
      </c>
      <c r="L501" s="69">
        <v>0</v>
      </c>
      <c r="M501" s="69">
        <v>0</v>
      </c>
      <c r="N501" s="69">
        <v>0</v>
      </c>
      <c r="O501" s="69">
        <v>0</v>
      </c>
      <c r="P501" s="70">
        <f>SUM(D501:O501)</f>
        <v>0</v>
      </c>
    </row>
    <row r="502" spans="1:16" ht="6" customHeight="1" x14ac:dyDescent="0.2">
      <c r="A502" s="67"/>
      <c r="B502" s="756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</row>
    <row r="503" spans="1:16" x14ac:dyDescent="0.2">
      <c r="A503" s="336" t="s">
        <v>770</v>
      </c>
      <c r="B503" s="756"/>
      <c r="D503" s="70">
        <f t="shared" ref="D503:O503" si="143">D493</f>
        <v>0</v>
      </c>
      <c r="E503" s="70">
        <f t="shared" si="143"/>
        <v>0</v>
      </c>
      <c r="F503" s="70">
        <f t="shared" si="143"/>
        <v>0</v>
      </c>
      <c r="G503" s="70">
        <f t="shared" si="143"/>
        <v>0</v>
      </c>
      <c r="H503" s="70">
        <f t="shared" si="143"/>
        <v>0</v>
      </c>
      <c r="I503" s="70">
        <f t="shared" si="143"/>
        <v>0</v>
      </c>
      <c r="J503" s="70">
        <f t="shared" si="143"/>
        <v>0</v>
      </c>
      <c r="K503" s="70">
        <f t="shared" si="143"/>
        <v>0</v>
      </c>
      <c r="L503" s="70">
        <f t="shared" si="143"/>
        <v>0</v>
      </c>
      <c r="M503" s="70">
        <f t="shared" si="143"/>
        <v>0</v>
      </c>
      <c r="N503" s="70">
        <f t="shared" si="143"/>
        <v>0</v>
      </c>
      <c r="O503" s="70">
        <f t="shared" si="143"/>
        <v>0</v>
      </c>
      <c r="P503" s="70">
        <f>SUM(D503:O503)</f>
        <v>0</v>
      </c>
    </row>
    <row r="504" spans="1:16" ht="6" customHeight="1" x14ac:dyDescent="0.2">
      <c r="A504" s="67"/>
      <c r="B504" s="756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</row>
    <row r="505" spans="1:16" x14ac:dyDescent="0.2">
      <c r="A505" s="336" t="s">
        <v>758</v>
      </c>
      <c r="B505" s="756"/>
      <c r="D505" s="69">
        <v>0</v>
      </c>
      <c r="E505" s="69">
        <v>0</v>
      </c>
      <c r="F505" s="69">
        <v>0</v>
      </c>
      <c r="G505" s="69">
        <v>0</v>
      </c>
      <c r="H505" s="69">
        <v>0</v>
      </c>
      <c r="I505" s="69">
        <v>0</v>
      </c>
      <c r="J505" s="69">
        <v>0</v>
      </c>
      <c r="K505" s="69">
        <v>0</v>
      </c>
      <c r="L505" s="69">
        <v>0</v>
      </c>
      <c r="M505" s="69">
        <v>0</v>
      </c>
      <c r="N505" s="69">
        <v>0</v>
      </c>
      <c r="O505" s="69">
        <v>0</v>
      </c>
      <c r="P505" s="70">
        <f>SUM(D505:O505)</f>
        <v>0</v>
      </c>
    </row>
    <row r="506" spans="1:16" ht="6" customHeight="1" x14ac:dyDescent="0.2">
      <c r="A506" s="67"/>
      <c r="B506" s="756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</row>
    <row r="507" spans="1:16" x14ac:dyDescent="0.2">
      <c r="A507" s="68" t="s">
        <v>693</v>
      </c>
      <c r="B507" s="756"/>
      <c r="D507" s="72">
        <f t="shared" ref="D507:O507" si="144">D515</f>
        <v>0</v>
      </c>
      <c r="E507" s="72">
        <f t="shared" si="144"/>
        <v>0</v>
      </c>
      <c r="F507" s="72">
        <f t="shared" si="144"/>
        <v>0</v>
      </c>
      <c r="G507" s="72">
        <f t="shared" si="144"/>
        <v>0</v>
      </c>
      <c r="H507" s="72">
        <f t="shared" si="144"/>
        <v>0</v>
      </c>
      <c r="I507" s="72">
        <f t="shared" si="144"/>
        <v>0</v>
      </c>
      <c r="J507" s="72">
        <f t="shared" si="144"/>
        <v>0</v>
      </c>
      <c r="K507" s="72">
        <f t="shared" si="144"/>
        <v>0</v>
      </c>
      <c r="L507" s="72">
        <f t="shared" si="144"/>
        <v>0</v>
      </c>
      <c r="M507" s="72">
        <f t="shared" si="144"/>
        <v>0</v>
      </c>
      <c r="N507" s="72">
        <f t="shared" si="144"/>
        <v>0</v>
      </c>
      <c r="O507" s="72">
        <f t="shared" si="144"/>
        <v>0</v>
      </c>
      <c r="P507" s="72">
        <f>SUM(D507:O507)</f>
        <v>0</v>
      </c>
    </row>
    <row r="508" spans="1:16" ht="3.95" customHeight="1" x14ac:dyDescent="0.2">
      <c r="A508" s="67"/>
      <c r="B508" s="756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</row>
    <row r="509" spans="1:16" x14ac:dyDescent="0.2">
      <c r="A509" s="329" t="s">
        <v>662</v>
      </c>
      <c r="B509" s="762"/>
      <c r="C509" s="254">
        <v>0</v>
      </c>
      <c r="D509" s="88">
        <f t="shared" ref="D509:O509" si="145">SUM(D499:D507)</f>
        <v>0</v>
      </c>
      <c r="E509" s="88">
        <f t="shared" si="145"/>
        <v>0</v>
      </c>
      <c r="F509" s="88">
        <f t="shared" si="145"/>
        <v>0</v>
      </c>
      <c r="G509" s="88">
        <f t="shared" si="145"/>
        <v>0</v>
      </c>
      <c r="H509" s="88">
        <f t="shared" si="145"/>
        <v>0</v>
      </c>
      <c r="I509" s="88">
        <f t="shared" si="145"/>
        <v>0</v>
      </c>
      <c r="J509" s="88">
        <f t="shared" si="145"/>
        <v>0</v>
      </c>
      <c r="K509" s="88">
        <f t="shared" si="145"/>
        <v>0</v>
      </c>
      <c r="L509" s="88">
        <f t="shared" si="145"/>
        <v>0</v>
      </c>
      <c r="M509" s="88">
        <f t="shared" si="145"/>
        <v>0</v>
      </c>
      <c r="N509" s="88">
        <f t="shared" si="145"/>
        <v>0</v>
      </c>
      <c r="O509" s="88">
        <f t="shared" si="145"/>
        <v>0</v>
      </c>
      <c r="P509" s="88">
        <f>SUM(P501:P507)+D499</f>
        <v>0</v>
      </c>
    </row>
    <row r="510" spans="1:16" x14ac:dyDescent="0.2">
      <c r="A510" s="67"/>
      <c r="C510" s="67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</row>
    <row r="512" spans="1:16" x14ac:dyDescent="0.2">
      <c r="A512" s="68" t="s">
        <v>733</v>
      </c>
      <c r="C512" s="67"/>
      <c r="D512" s="100">
        <f t="shared" ref="D512:O512" si="146">D45</f>
        <v>9.0200000000000002E-2</v>
      </c>
      <c r="E512" s="100">
        <f t="shared" si="146"/>
        <v>9.0200000000000002E-2</v>
      </c>
      <c r="F512" s="100">
        <f t="shared" si="146"/>
        <v>9.0200000000000002E-2</v>
      </c>
      <c r="G512" s="100">
        <f t="shared" si="146"/>
        <v>9.0200000000000002E-2</v>
      </c>
      <c r="H512" s="100">
        <f t="shared" si="146"/>
        <v>9.0200000000000002E-2</v>
      </c>
      <c r="I512" s="100">
        <f t="shared" si="146"/>
        <v>9.0200000000000002E-2</v>
      </c>
      <c r="J512" s="100">
        <f t="shared" si="146"/>
        <v>9.0200000000000002E-2</v>
      </c>
      <c r="K512" s="100">
        <f t="shared" si="146"/>
        <v>9.0200000000000002E-2</v>
      </c>
      <c r="L512" s="100">
        <f t="shared" si="146"/>
        <v>9.0200000000000002E-2</v>
      </c>
      <c r="M512" s="100">
        <f t="shared" si="146"/>
        <v>9.0200000000000002E-2</v>
      </c>
      <c r="N512" s="100">
        <f t="shared" si="146"/>
        <v>9.0200000000000002E-2</v>
      </c>
      <c r="O512" s="100">
        <f t="shared" si="146"/>
        <v>9.0200000000000002E-2</v>
      </c>
    </row>
    <row r="513" spans="1:16" x14ac:dyDescent="0.2">
      <c r="A513" s="68" t="s">
        <v>664</v>
      </c>
      <c r="C513" s="67"/>
      <c r="D513" s="90">
        <f t="shared" ref="D513:O513" si="147">D46</f>
        <v>7.7000000000000002E-3</v>
      </c>
      <c r="E513" s="90">
        <f t="shared" si="147"/>
        <v>6.8999999999999999E-3</v>
      </c>
      <c r="F513" s="90">
        <f t="shared" si="147"/>
        <v>7.7000000000000002E-3</v>
      </c>
      <c r="G513" s="90">
        <f t="shared" si="147"/>
        <v>7.4000000000000003E-3</v>
      </c>
      <c r="H513" s="90">
        <f t="shared" si="147"/>
        <v>7.7000000000000002E-3</v>
      </c>
      <c r="I513" s="90">
        <f t="shared" si="147"/>
        <v>7.4000000000000003E-3</v>
      </c>
      <c r="J513" s="90">
        <f t="shared" si="147"/>
        <v>7.7000000000000002E-3</v>
      </c>
      <c r="K513" s="90">
        <f t="shared" si="147"/>
        <v>7.7000000000000002E-3</v>
      </c>
      <c r="L513" s="90">
        <f t="shared" si="147"/>
        <v>7.4000000000000003E-3</v>
      </c>
      <c r="M513" s="90">
        <f t="shared" si="147"/>
        <v>7.7000000000000002E-3</v>
      </c>
      <c r="N513" s="90">
        <f t="shared" si="147"/>
        <v>7.4000000000000003E-3</v>
      </c>
      <c r="O513" s="90">
        <f t="shared" si="147"/>
        <v>7.7000000000000002E-3</v>
      </c>
    </row>
    <row r="514" spans="1:16" ht="12.75" customHeight="1" x14ac:dyDescent="0.2">
      <c r="A514" s="67"/>
      <c r="C514" s="67"/>
    </row>
    <row r="515" spans="1:16" x14ac:dyDescent="0.2">
      <c r="A515" s="329" t="s">
        <v>665</v>
      </c>
      <c r="C515" s="87"/>
      <c r="D515" s="75">
        <f t="shared" ref="D515:O515" si="148">ROUND(C509*D513,0)</f>
        <v>0</v>
      </c>
      <c r="E515" s="75">
        <f t="shared" si="148"/>
        <v>0</v>
      </c>
      <c r="F515" s="75">
        <f t="shared" si="148"/>
        <v>0</v>
      </c>
      <c r="G515" s="75">
        <f t="shared" si="148"/>
        <v>0</v>
      </c>
      <c r="H515" s="75">
        <f t="shared" si="148"/>
        <v>0</v>
      </c>
      <c r="I515" s="75">
        <f t="shared" si="148"/>
        <v>0</v>
      </c>
      <c r="J515" s="75">
        <f t="shared" si="148"/>
        <v>0</v>
      </c>
      <c r="K515" s="75">
        <f t="shared" si="148"/>
        <v>0</v>
      </c>
      <c r="L515" s="75">
        <f t="shared" si="148"/>
        <v>0</v>
      </c>
      <c r="M515" s="75">
        <f t="shared" si="148"/>
        <v>0</v>
      </c>
      <c r="N515" s="75">
        <f t="shared" si="148"/>
        <v>0</v>
      </c>
      <c r="O515" s="75">
        <f t="shared" si="148"/>
        <v>0</v>
      </c>
      <c r="P515" s="75">
        <f>SUM(D515:O515)</f>
        <v>0</v>
      </c>
    </row>
    <row r="516" spans="1:16" ht="6" customHeight="1" x14ac:dyDescent="0.2">
      <c r="A516" s="67"/>
      <c r="B516" s="756"/>
    </row>
    <row r="517" spans="1:16" x14ac:dyDescent="0.2">
      <c r="A517" s="329" t="s">
        <v>666</v>
      </c>
      <c r="B517" s="756"/>
      <c r="D517" s="70">
        <f>D515</f>
        <v>0</v>
      </c>
      <c r="E517" s="70">
        <f t="shared" ref="E517:O517" si="149">E515+D517</f>
        <v>0</v>
      </c>
      <c r="F517" s="70">
        <f t="shared" si="149"/>
        <v>0</v>
      </c>
      <c r="G517" s="70">
        <f t="shared" si="149"/>
        <v>0</v>
      </c>
      <c r="H517" s="70">
        <f t="shared" si="149"/>
        <v>0</v>
      </c>
      <c r="I517" s="70">
        <f t="shared" si="149"/>
        <v>0</v>
      </c>
      <c r="J517" s="70">
        <f t="shared" si="149"/>
        <v>0</v>
      </c>
      <c r="K517" s="70">
        <f t="shared" si="149"/>
        <v>0</v>
      </c>
      <c r="L517" s="70">
        <f t="shared" si="149"/>
        <v>0</v>
      </c>
      <c r="M517" s="70">
        <f t="shared" si="149"/>
        <v>0</v>
      </c>
      <c r="N517" s="70">
        <f t="shared" si="149"/>
        <v>0</v>
      </c>
      <c r="O517" s="70">
        <f t="shared" si="149"/>
        <v>0</v>
      </c>
    </row>
    <row r="519" spans="1:16" customFormat="1" x14ac:dyDescent="0.2">
      <c r="B519" s="759"/>
    </row>
    <row r="520" spans="1:16" x14ac:dyDescent="0.2">
      <c r="A520" s="340" t="str">
        <f ca="1">A1</f>
        <v>P:\Finance\2002 Plan\[EMTW02PL.XLS]IncomeState</v>
      </c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</row>
    <row r="521" spans="1:16" x14ac:dyDescent="0.2">
      <c r="A521" s="326" t="s">
        <v>811</v>
      </c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</row>
    <row r="522" spans="1:16" x14ac:dyDescent="0.2">
      <c r="A522" s="340" t="str">
        <f>A3</f>
        <v>2002 OPERATING PLAN</v>
      </c>
      <c r="B522" s="754">
        <f ca="1">NOW()</f>
        <v>37189.6149224537</v>
      </c>
      <c r="C522" s="61" t="s">
        <v>812</v>
      </c>
      <c r="D522" s="61"/>
      <c r="E522" s="60"/>
      <c r="F522" s="60"/>
      <c r="G522" s="104"/>
      <c r="H522" s="104"/>
      <c r="I522" s="104"/>
      <c r="J522" s="105"/>
      <c r="K522" s="60"/>
      <c r="L522" s="60"/>
      <c r="M522" s="60"/>
      <c r="N522" s="60"/>
      <c r="O522" s="60"/>
      <c r="P522" s="91"/>
    </row>
    <row r="523" spans="1:16" ht="12.95" customHeight="1" x14ac:dyDescent="0.2">
      <c r="A523" s="62"/>
      <c r="B523" s="755">
        <f ca="1">NOW()</f>
        <v>37189.6149224537</v>
      </c>
      <c r="C523" s="324" t="str">
        <f t="shared" ref="C523:P523" si="150">C4</f>
        <v>BALANCE</v>
      </c>
      <c r="D523" s="324" t="str">
        <f t="shared" si="150"/>
        <v>JAN</v>
      </c>
      <c r="E523" s="324" t="str">
        <f t="shared" si="150"/>
        <v>FEB</v>
      </c>
      <c r="F523" s="324" t="str">
        <f t="shared" si="150"/>
        <v>MAR</v>
      </c>
      <c r="G523" s="324" t="str">
        <f t="shared" si="150"/>
        <v>APR</v>
      </c>
      <c r="H523" s="324" t="str">
        <f t="shared" si="150"/>
        <v>MAY</v>
      </c>
      <c r="I523" s="324" t="str">
        <f t="shared" si="150"/>
        <v>JUN</v>
      </c>
      <c r="J523" s="324" t="str">
        <f t="shared" si="150"/>
        <v>JUL</v>
      </c>
      <c r="K523" s="324" t="str">
        <f t="shared" si="150"/>
        <v>AUG</v>
      </c>
      <c r="L523" s="324" t="str">
        <f t="shared" si="150"/>
        <v>SEP</v>
      </c>
      <c r="M523" s="324" t="str">
        <f t="shared" si="150"/>
        <v>OCT</v>
      </c>
      <c r="N523" s="324" t="str">
        <f t="shared" si="150"/>
        <v>NOV</v>
      </c>
      <c r="O523" s="324" t="str">
        <f t="shared" si="150"/>
        <v>DEC</v>
      </c>
      <c r="P523" s="324">
        <f t="shared" si="150"/>
        <v>2002</v>
      </c>
    </row>
    <row r="524" spans="1:16" ht="3.95" customHeight="1" x14ac:dyDescent="0.2"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5"/>
    </row>
    <row r="525" spans="1:16" x14ac:dyDescent="0.2">
      <c r="A525" s="329" t="s">
        <v>813</v>
      </c>
      <c r="B525" s="756"/>
    </row>
    <row r="526" spans="1:16" x14ac:dyDescent="0.2">
      <c r="A526" s="68" t="s">
        <v>642</v>
      </c>
      <c r="B526" s="756"/>
      <c r="D526" s="70">
        <f t="shared" ref="D526:O526" si="151">D59</f>
        <v>0</v>
      </c>
      <c r="E526" s="70">
        <f t="shared" si="151"/>
        <v>0</v>
      </c>
      <c r="F526" s="70">
        <f t="shared" si="151"/>
        <v>0</v>
      </c>
      <c r="G526" s="70">
        <f t="shared" si="151"/>
        <v>0</v>
      </c>
      <c r="H526" s="70">
        <f t="shared" si="151"/>
        <v>0</v>
      </c>
      <c r="I526" s="70">
        <f t="shared" si="151"/>
        <v>0</v>
      </c>
      <c r="J526" s="70">
        <f t="shared" si="151"/>
        <v>0</v>
      </c>
      <c r="K526" s="70">
        <f t="shared" si="151"/>
        <v>0</v>
      </c>
      <c r="L526" s="70">
        <f t="shared" si="151"/>
        <v>0</v>
      </c>
      <c r="M526" s="70">
        <f t="shared" si="151"/>
        <v>0</v>
      </c>
      <c r="N526" s="70">
        <f t="shared" si="151"/>
        <v>0</v>
      </c>
      <c r="O526" s="70">
        <f t="shared" si="151"/>
        <v>0</v>
      </c>
      <c r="P526" s="70">
        <f>SUM(D526:O526)</f>
        <v>0</v>
      </c>
    </row>
    <row r="527" spans="1:16" x14ac:dyDescent="0.2">
      <c r="A527" s="336" t="s">
        <v>703</v>
      </c>
      <c r="D527" s="70">
        <f t="shared" ref="D527:O527" si="152">D60</f>
        <v>0</v>
      </c>
      <c r="E527" s="70">
        <f t="shared" si="152"/>
        <v>0</v>
      </c>
      <c r="F527" s="70">
        <f t="shared" si="152"/>
        <v>0</v>
      </c>
      <c r="G527" s="70">
        <f t="shared" si="152"/>
        <v>0</v>
      </c>
      <c r="H527" s="70">
        <f t="shared" si="152"/>
        <v>0</v>
      </c>
      <c r="I527" s="70">
        <f t="shared" si="152"/>
        <v>0</v>
      </c>
      <c r="J527" s="70">
        <f t="shared" si="152"/>
        <v>0</v>
      </c>
      <c r="K527" s="70">
        <f t="shared" si="152"/>
        <v>0</v>
      </c>
      <c r="L527" s="70">
        <f t="shared" si="152"/>
        <v>0</v>
      </c>
      <c r="M527" s="70">
        <f t="shared" si="152"/>
        <v>0</v>
      </c>
      <c r="N527" s="70">
        <f t="shared" si="152"/>
        <v>0</v>
      </c>
      <c r="O527" s="70">
        <f t="shared" si="152"/>
        <v>0</v>
      </c>
      <c r="P527" s="70">
        <f>SUM(D527:O527)</f>
        <v>0</v>
      </c>
    </row>
    <row r="528" spans="1:16" x14ac:dyDescent="0.2">
      <c r="A528" s="336" t="s">
        <v>704</v>
      </c>
      <c r="D528" s="72">
        <f t="shared" ref="D528:O528" si="153">D61</f>
        <v>0</v>
      </c>
      <c r="E528" s="72">
        <f t="shared" si="153"/>
        <v>0</v>
      </c>
      <c r="F528" s="72">
        <f t="shared" si="153"/>
        <v>0</v>
      </c>
      <c r="G528" s="72">
        <f t="shared" si="153"/>
        <v>0</v>
      </c>
      <c r="H528" s="72">
        <f t="shared" si="153"/>
        <v>0</v>
      </c>
      <c r="I528" s="72">
        <f t="shared" si="153"/>
        <v>0</v>
      </c>
      <c r="J528" s="72">
        <f t="shared" si="153"/>
        <v>0</v>
      </c>
      <c r="K528" s="72">
        <f t="shared" si="153"/>
        <v>0</v>
      </c>
      <c r="L528" s="72">
        <f t="shared" si="153"/>
        <v>0</v>
      </c>
      <c r="M528" s="72">
        <f t="shared" si="153"/>
        <v>0</v>
      </c>
      <c r="N528" s="72">
        <f t="shared" si="153"/>
        <v>0</v>
      </c>
      <c r="O528" s="72">
        <f t="shared" si="153"/>
        <v>0</v>
      </c>
      <c r="P528" s="72">
        <f>SUM(D528:O528)</f>
        <v>0</v>
      </c>
    </row>
    <row r="529" spans="1:16" ht="3.95" customHeight="1" x14ac:dyDescent="0.2"/>
    <row r="530" spans="1:16" x14ac:dyDescent="0.2">
      <c r="A530" s="68" t="s">
        <v>645</v>
      </c>
      <c r="B530" s="756"/>
      <c r="D530" s="70">
        <f t="shared" ref="D530:O530" si="154">D526+D527+D528</f>
        <v>0</v>
      </c>
      <c r="E530" s="70">
        <f t="shared" si="154"/>
        <v>0</v>
      </c>
      <c r="F530" s="70">
        <f t="shared" si="154"/>
        <v>0</v>
      </c>
      <c r="G530" s="70">
        <f t="shared" si="154"/>
        <v>0</v>
      </c>
      <c r="H530" s="70">
        <f t="shared" si="154"/>
        <v>0</v>
      </c>
      <c r="I530" s="70">
        <f t="shared" si="154"/>
        <v>0</v>
      </c>
      <c r="J530" s="70">
        <f t="shared" si="154"/>
        <v>0</v>
      </c>
      <c r="K530" s="70">
        <f t="shared" si="154"/>
        <v>0</v>
      </c>
      <c r="L530" s="70">
        <f t="shared" si="154"/>
        <v>0</v>
      </c>
      <c r="M530" s="70">
        <f t="shared" si="154"/>
        <v>0</v>
      </c>
      <c r="N530" s="70">
        <f t="shared" si="154"/>
        <v>0</v>
      </c>
      <c r="O530" s="70">
        <f t="shared" si="154"/>
        <v>0</v>
      </c>
      <c r="P530" s="70">
        <f>SUM(D530:O530)</f>
        <v>0</v>
      </c>
    </row>
    <row r="531" spans="1:16" ht="3.95" customHeight="1" x14ac:dyDescent="0.2"/>
    <row r="532" spans="1:16" x14ac:dyDescent="0.2">
      <c r="A532" s="336" t="s">
        <v>814</v>
      </c>
      <c r="B532" s="756"/>
      <c r="D532" s="73" t="e">
        <f t="shared" ref="D532:P532" si="155">D534/D530</f>
        <v>#DIV/0!</v>
      </c>
      <c r="E532" s="73" t="e">
        <f t="shared" si="155"/>
        <v>#DIV/0!</v>
      </c>
      <c r="F532" s="73" t="e">
        <f t="shared" si="155"/>
        <v>#DIV/0!</v>
      </c>
      <c r="G532" s="73" t="e">
        <f t="shared" si="155"/>
        <v>#DIV/0!</v>
      </c>
      <c r="H532" s="73" t="e">
        <f t="shared" si="155"/>
        <v>#DIV/0!</v>
      </c>
      <c r="I532" s="73" t="e">
        <f t="shared" si="155"/>
        <v>#DIV/0!</v>
      </c>
      <c r="J532" s="73" t="e">
        <f t="shared" si="155"/>
        <v>#DIV/0!</v>
      </c>
      <c r="K532" s="73" t="e">
        <f t="shared" si="155"/>
        <v>#DIV/0!</v>
      </c>
      <c r="L532" s="73" t="e">
        <f t="shared" si="155"/>
        <v>#DIV/0!</v>
      </c>
      <c r="M532" s="73" t="e">
        <f t="shared" si="155"/>
        <v>#DIV/0!</v>
      </c>
      <c r="N532" s="73" t="e">
        <f t="shared" si="155"/>
        <v>#DIV/0!</v>
      </c>
      <c r="O532" s="73" t="e">
        <f t="shared" si="155"/>
        <v>#DIV/0!</v>
      </c>
      <c r="P532" s="73" t="e">
        <f t="shared" si="155"/>
        <v>#DIV/0!</v>
      </c>
    </row>
    <row r="533" spans="1:16" ht="3.95" customHeight="1" x14ac:dyDescent="0.2"/>
    <row r="534" spans="1:16" x14ac:dyDescent="0.2">
      <c r="A534" s="335" t="s">
        <v>815</v>
      </c>
      <c r="B534" s="757"/>
      <c r="C534" s="59"/>
      <c r="D534" s="75">
        <v>0</v>
      </c>
      <c r="E534" s="75">
        <v>0</v>
      </c>
      <c r="F534" s="75">
        <v>0</v>
      </c>
      <c r="G534" s="75">
        <v>0</v>
      </c>
      <c r="H534" s="75">
        <v>0</v>
      </c>
      <c r="I534" s="75">
        <v>0</v>
      </c>
      <c r="J534" s="75">
        <v>0</v>
      </c>
      <c r="K534" s="75">
        <v>0</v>
      </c>
      <c r="L534" s="75">
        <v>0</v>
      </c>
      <c r="M534" s="75">
        <v>0</v>
      </c>
      <c r="N534" s="75">
        <v>0</v>
      </c>
      <c r="O534" s="75">
        <v>0</v>
      </c>
      <c r="P534" s="75">
        <f>SUM(D534:O534)</f>
        <v>0</v>
      </c>
    </row>
    <row r="535" spans="1:16" ht="8.1" customHeight="1" x14ac:dyDescent="0.2">
      <c r="A535" s="67"/>
      <c r="B535" s="75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</row>
    <row r="536" spans="1:16" x14ac:dyDescent="0.2">
      <c r="A536" s="335" t="s">
        <v>817</v>
      </c>
      <c r="B536" s="757"/>
      <c r="C536" s="59"/>
      <c r="D536" s="256">
        <v>0</v>
      </c>
      <c r="E536" s="256">
        <v>0</v>
      </c>
      <c r="F536" s="256">
        <v>0</v>
      </c>
      <c r="G536" s="256">
        <v>0</v>
      </c>
      <c r="H536" s="256">
        <v>0</v>
      </c>
      <c r="I536" s="256">
        <v>0</v>
      </c>
      <c r="J536" s="256">
        <v>0</v>
      </c>
      <c r="K536" s="256">
        <v>0</v>
      </c>
      <c r="L536" s="256">
        <v>0</v>
      </c>
      <c r="M536" s="256">
        <v>0</v>
      </c>
      <c r="N536" s="256">
        <v>0</v>
      </c>
      <c r="O536" s="256">
        <v>0</v>
      </c>
      <c r="P536" s="88">
        <f>SUM(D536:O536)</f>
        <v>0</v>
      </c>
    </row>
    <row r="537" spans="1:16" ht="6" customHeight="1" x14ac:dyDescent="0.2"/>
    <row r="538" spans="1:16" x14ac:dyDescent="0.2">
      <c r="A538" s="68" t="s">
        <v>687</v>
      </c>
      <c r="B538" s="756"/>
      <c r="D538" s="70">
        <f t="shared" ref="D538:O538" si="156">D534-D536</f>
        <v>0</v>
      </c>
      <c r="E538" s="70">
        <f t="shared" si="156"/>
        <v>0</v>
      </c>
      <c r="F538" s="70">
        <f t="shared" si="156"/>
        <v>0</v>
      </c>
      <c r="G538" s="70">
        <f t="shared" si="156"/>
        <v>0</v>
      </c>
      <c r="H538" s="70">
        <f t="shared" si="156"/>
        <v>0</v>
      </c>
      <c r="I538" s="70">
        <f t="shared" si="156"/>
        <v>0</v>
      </c>
      <c r="J538" s="70">
        <f t="shared" si="156"/>
        <v>0</v>
      </c>
      <c r="K538" s="70">
        <f t="shared" si="156"/>
        <v>0</v>
      </c>
      <c r="L538" s="70">
        <f t="shared" si="156"/>
        <v>0</v>
      </c>
      <c r="M538" s="70">
        <f t="shared" si="156"/>
        <v>0</v>
      </c>
      <c r="N538" s="70">
        <f t="shared" si="156"/>
        <v>0</v>
      </c>
      <c r="O538" s="70">
        <f t="shared" si="156"/>
        <v>0</v>
      </c>
      <c r="P538" s="70">
        <f>SUM(D538:O538)</f>
        <v>0</v>
      </c>
    </row>
    <row r="539" spans="1:16" x14ac:dyDescent="0.2">
      <c r="A539" s="78" t="s">
        <v>623</v>
      </c>
      <c r="D539" s="69">
        <v>0</v>
      </c>
      <c r="E539" s="69">
        <v>0</v>
      </c>
      <c r="F539" s="69">
        <v>0</v>
      </c>
      <c r="G539" s="69">
        <v>0</v>
      </c>
      <c r="H539" s="69">
        <v>0</v>
      </c>
      <c r="I539" s="69">
        <v>0</v>
      </c>
      <c r="J539" s="69">
        <v>0</v>
      </c>
      <c r="K539" s="69">
        <v>0</v>
      </c>
      <c r="L539" s="69">
        <v>0</v>
      </c>
      <c r="M539" s="69">
        <v>0</v>
      </c>
      <c r="N539" s="69">
        <v>0</v>
      </c>
      <c r="O539" s="69">
        <v>0</v>
      </c>
      <c r="P539" s="70">
        <f>SUM(D539:O539)</f>
        <v>0</v>
      </c>
    </row>
    <row r="540" spans="1:16" x14ac:dyDescent="0.2">
      <c r="A540" s="78" t="s">
        <v>623</v>
      </c>
      <c r="D540" s="69">
        <v>0</v>
      </c>
      <c r="E540" s="69">
        <v>0</v>
      </c>
      <c r="F540" s="69">
        <v>0</v>
      </c>
      <c r="G540" s="69">
        <v>0</v>
      </c>
      <c r="H540" s="69">
        <v>0</v>
      </c>
      <c r="I540" s="69">
        <v>0</v>
      </c>
      <c r="J540" s="69">
        <v>0</v>
      </c>
      <c r="K540" s="69">
        <v>0</v>
      </c>
      <c r="L540" s="69">
        <v>0</v>
      </c>
      <c r="M540" s="69">
        <v>0</v>
      </c>
      <c r="N540" s="69">
        <v>0</v>
      </c>
      <c r="O540" s="69">
        <v>0</v>
      </c>
      <c r="P540" s="70">
        <f>SUM(D540:O540)</f>
        <v>0</v>
      </c>
    </row>
    <row r="541" spans="1:16" x14ac:dyDescent="0.2">
      <c r="A541" s="68" t="s">
        <v>653</v>
      </c>
      <c r="D541" s="257">
        <v>0</v>
      </c>
      <c r="E541" s="257">
        <v>0</v>
      </c>
      <c r="F541" s="257">
        <v>0</v>
      </c>
      <c r="G541" s="257">
        <v>0</v>
      </c>
      <c r="H541" s="257">
        <v>0</v>
      </c>
      <c r="I541" s="257">
        <v>0</v>
      </c>
      <c r="J541" s="257">
        <v>0</v>
      </c>
      <c r="K541" s="257">
        <v>0</v>
      </c>
      <c r="L541" s="257">
        <v>0</v>
      </c>
      <c r="M541" s="257">
        <v>0</v>
      </c>
      <c r="N541" s="257">
        <v>0</v>
      </c>
      <c r="O541" s="257">
        <v>0</v>
      </c>
      <c r="P541" s="72">
        <f>SUM(D541:O541)</f>
        <v>0</v>
      </c>
    </row>
    <row r="542" spans="1:16" ht="3.95" customHeight="1" x14ac:dyDescent="0.2"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</row>
    <row r="543" spans="1:16" x14ac:dyDescent="0.2">
      <c r="A543" s="331" t="s">
        <v>654</v>
      </c>
      <c r="B543" s="760"/>
      <c r="C543" s="59"/>
      <c r="D543" s="75">
        <f t="shared" ref="D543:O543" si="157">SUM(D538:D541)</f>
        <v>0</v>
      </c>
      <c r="E543" s="75">
        <f t="shared" si="157"/>
        <v>0</v>
      </c>
      <c r="F543" s="75">
        <f t="shared" si="157"/>
        <v>0</v>
      </c>
      <c r="G543" s="75">
        <f t="shared" si="157"/>
        <v>0</v>
      </c>
      <c r="H543" s="75">
        <f t="shared" si="157"/>
        <v>0</v>
      </c>
      <c r="I543" s="75">
        <f t="shared" si="157"/>
        <v>0</v>
      </c>
      <c r="J543" s="75">
        <f t="shared" si="157"/>
        <v>0</v>
      </c>
      <c r="K543" s="75">
        <f t="shared" si="157"/>
        <v>0</v>
      </c>
      <c r="L543" s="75">
        <f t="shared" si="157"/>
        <v>0</v>
      </c>
      <c r="M543" s="75">
        <f t="shared" si="157"/>
        <v>0</v>
      </c>
      <c r="N543" s="75">
        <f t="shared" si="157"/>
        <v>0</v>
      </c>
      <c r="O543" s="75">
        <f t="shared" si="157"/>
        <v>0</v>
      </c>
      <c r="P543" s="75">
        <f>SUM(D543:O543)</f>
        <v>0</v>
      </c>
    </row>
    <row r="544" spans="1:16" ht="8.1" customHeight="1" x14ac:dyDescent="0.2">
      <c r="A544" s="67"/>
      <c r="B544" s="756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</row>
    <row r="545" spans="1:16" x14ac:dyDescent="0.2">
      <c r="A545" s="329" t="s">
        <v>818</v>
      </c>
      <c r="B545" s="757"/>
      <c r="C545" s="59"/>
      <c r="D545" s="75">
        <f t="shared" ref="D545:O545" si="158">-1*D543</f>
        <v>0</v>
      </c>
      <c r="E545" s="75">
        <f t="shared" si="158"/>
        <v>0</v>
      </c>
      <c r="F545" s="75">
        <f t="shared" si="158"/>
        <v>0</v>
      </c>
      <c r="G545" s="75">
        <f t="shared" si="158"/>
        <v>0</v>
      </c>
      <c r="H545" s="75">
        <f t="shared" si="158"/>
        <v>0</v>
      </c>
      <c r="I545" s="75">
        <f t="shared" si="158"/>
        <v>0</v>
      </c>
      <c r="J545" s="75">
        <f t="shared" si="158"/>
        <v>0</v>
      </c>
      <c r="K545" s="75">
        <f t="shared" si="158"/>
        <v>0</v>
      </c>
      <c r="L545" s="75">
        <f t="shared" si="158"/>
        <v>0</v>
      </c>
      <c r="M545" s="75">
        <f t="shared" si="158"/>
        <v>0</v>
      </c>
      <c r="N545" s="75">
        <f t="shared" si="158"/>
        <v>0</v>
      </c>
      <c r="O545" s="75">
        <f t="shared" si="158"/>
        <v>0</v>
      </c>
      <c r="P545" s="75">
        <f>SUM(D545:O545)</f>
        <v>0</v>
      </c>
    </row>
    <row r="546" spans="1:16" x14ac:dyDescent="0.2">
      <c r="A546" s="67"/>
      <c r="B546" s="756"/>
    </row>
    <row r="547" spans="1:16" x14ac:dyDescent="0.2">
      <c r="A547" s="82"/>
      <c r="B547" s="758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</row>
    <row r="548" spans="1:16" x14ac:dyDescent="0.2">
      <c r="A548" s="330"/>
    </row>
    <row r="549" spans="1:16" x14ac:dyDescent="0.2">
      <c r="A549" s="341" t="s">
        <v>819</v>
      </c>
      <c r="B549" s="756"/>
      <c r="C549" s="63" t="str">
        <f>C30</f>
        <v>12/31/99</v>
      </c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59"/>
    </row>
    <row r="550" spans="1:16" ht="3.95" customHeight="1" x14ac:dyDescent="0.2">
      <c r="A550" s="67"/>
      <c r="B550" s="756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</row>
    <row r="551" spans="1:16" x14ac:dyDescent="0.2">
      <c r="A551" s="329" t="s">
        <v>657</v>
      </c>
      <c r="B551" s="756"/>
      <c r="D551" s="70">
        <f t="shared" ref="D551:O551" si="159">C561</f>
        <v>0</v>
      </c>
      <c r="E551" s="70">
        <f t="shared" si="159"/>
        <v>0</v>
      </c>
      <c r="F551" s="70">
        <f t="shared" si="159"/>
        <v>0</v>
      </c>
      <c r="G551" s="70">
        <f t="shared" si="159"/>
        <v>0</v>
      </c>
      <c r="H551" s="70">
        <f t="shared" si="159"/>
        <v>0</v>
      </c>
      <c r="I551" s="70">
        <f t="shared" si="159"/>
        <v>0</v>
      </c>
      <c r="J551" s="70">
        <f t="shared" si="159"/>
        <v>0</v>
      </c>
      <c r="K551" s="70">
        <f t="shared" si="159"/>
        <v>0</v>
      </c>
      <c r="L551" s="70">
        <f t="shared" si="159"/>
        <v>0</v>
      </c>
      <c r="M551" s="70">
        <f t="shared" si="159"/>
        <v>0</v>
      </c>
      <c r="N551" s="70">
        <f t="shared" si="159"/>
        <v>0</v>
      </c>
      <c r="O551" s="70">
        <f t="shared" si="159"/>
        <v>0</v>
      </c>
      <c r="P551" s="70"/>
    </row>
    <row r="552" spans="1:16" ht="6" customHeight="1" x14ac:dyDescent="0.2">
      <c r="A552" s="330"/>
    </row>
    <row r="553" spans="1:16" x14ac:dyDescent="0.2">
      <c r="A553" s="78" t="s">
        <v>658</v>
      </c>
      <c r="B553" s="94"/>
      <c r="D553" s="69">
        <v>0</v>
      </c>
      <c r="E553" s="69">
        <v>0</v>
      </c>
      <c r="F553" s="69">
        <v>0</v>
      </c>
      <c r="G553" s="69">
        <v>0</v>
      </c>
      <c r="H553" s="69">
        <v>0</v>
      </c>
      <c r="I553" s="69">
        <v>0</v>
      </c>
      <c r="J553" s="69">
        <v>0</v>
      </c>
      <c r="K553" s="69">
        <v>0</v>
      </c>
      <c r="L553" s="69">
        <v>0</v>
      </c>
      <c r="M553" s="69">
        <v>0</v>
      </c>
      <c r="N553" s="69">
        <v>0</v>
      </c>
      <c r="O553" s="69">
        <v>0</v>
      </c>
      <c r="P553" s="70">
        <f>SUM(D553:O553)</f>
        <v>0</v>
      </c>
    </row>
    <row r="554" spans="1:16" ht="6" customHeight="1" x14ac:dyDescent="0.2">
      <c r="A554" s="67"/>
      <c r="B554" s="756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</row>
    <row r="555" spans="1:16" x14ac:dyDescent="0.2">
      <c r="A555" s="336" t="s">
        <v>770</v>
      </c>
      <c r="B555" s="756"/>
      <c r="D555" s="70">
        <f t="shared" ref="D555:O555" si="160">D545</f>
        <v>0</v>
      </c>
      <c r="E555" s="70">
        <f t="shared" si="160"/>
        <v>0</v>
      </c>
      <c r="F555" s="70">
        <f t="shared" si="160"/>
        <v>0</v>
      </c>
      <c r="G555" s="70">
        <f t="shared" si="160"/>
        <v>0</v>
      </c>
      <c r="H555" s="70">
        <f t="shared" si="160"/>
        <v>0</v>
      </c>
      <c r="I555" s="70">
        <f t="shared" si="160"/>
        <v>0</v>
      </c>
      <c r="J555" s="70">
        <f t="shared" si="160"/>
        <v>0</v>
      </c>
      <c r="K555" s="70">
        <f t="shared" si="160"/>
        <v>0</v>
      </c>
      <c r="L555" s="70">
        <f t="shared" si="160"/>
        <v>0</v>
      </c>
      <c r="M555" s="70">
        <f t="shared" si="160"/>
        <v>0</v>
      </c>
      <c r="N555" s="70">
        <f t="shared" si="160"/>
        <v>0</v>
      </c>
      <c r="O555" s="70">
        <f t="shared" si="160"/>
        <v>0</v>
      </c>
      <c r="P555" s="70">
        <f>SUM(D555:O555)</f>
        <v>0</v>
      </c>
    </row>
    <row r="556" spans="1:16" ht="6" customHeight="1" x14ac:dyDescent="0.2">
      <c r="A556" s="67"/>
      <c r="B556" s="756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</row>
    <row r="557" spans="1:16" x14ac:dyDescent="0.2">
      <c r="A557" s="336" t="s">
        <v>758</v>
      </c>
      <c r="B557" s="756"/>
      <c r="D557" s="69">
        <v>0</v>
      </c>
      <c r="E557" s="69">
        <v>0</v>
      </c>
      <c r="F557" s="69">
        <v>0</v>
      </c>
      <c r="G557" s="69">
        <v>0</v>
      </c>
      <c r="H557" s="69">
        <v>0</v>
      </c>
      <c r="I557" s="69">
        <v>0</v>
      </c>
      <c r="J557" s="69">
        <v>0</v>
      </c>
      <c r="K557" s="69">
        <v>0</v>
      </c>
      <c r="L557" s="69">
        <v>0</v>
      </c>
      <c r="M557" s="69">
        <v>0</v>
      </c>
      <c r="N557" s="69">
        <v>0</v>
      </c>
      <c r="O557" s="69">
        <v>0</v>
      </c>
      <c r="P557" s="70">
        <f>SUM(D557:O557)</f>
        <v>0</v>
      </c>
    </row>
    <row r="558" spans="1:16" ht="6" customHeight="1" x14ac:dyDescent="0.2">
      <c r="A558" s="67"/>
      <c r="B558" s="756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</row>
    <row r="559" spans="1:16" x14ac:dyDescent="0.2">
      <c r="A559" s="68" t="s">
        <v>661</v>
      </c>
      <c r="B559" s="756"/>
      <c r="D559" s="72">
        <f t="shared" ref="D559:O559" si="161">D567</f>
        <v>0</v>
      </c>
      <c r="E559" s="72">
        <f t="shared" si="161"/>
        <v>0</v>
      </c>
      <c r="F559" s="72">
        <f t="shared" si="161"/>
        <v>0</v>
      </c>
      <c r="G559" s="72">
        <f t="shared" si="161"/>
        <v>0</v>
      </c>
      <c r="H559" s="72">
        <f t="shared" si="161"/>
        <v>0</v>
      </c>
      <c r="I559" s="72">
        <f t="shared" si="161"/>
        <v>0</v>
      </c>
      <c r="J559" s="72">
        <f t="shared" si="161"/>
        <v>0</v>
      </c>
      <c r="K559" s="72">
        <f t="shared" si="161"/>
        <v>0</v>
      </c>
      <c r="L559" s="72">
        <f t="shared" si="161"/>
        <v>0</v>
      </c>
      <c r="M559" s="72">
        <f t="shared" si="161"/>
        <v>0</v>
      </c>
      <c r="N559" s="72">
        <f t="shared" si="161"/>
        <v>0</v>
      </c>
      <c r="O559" s="72">
        <f t="shared" si="161"/>
        <v>0</v>
      </c>
      <c r="P559" s="72">
        <f>SUM(D559:O559)</f>
        <v>0</v>
      </c>
    </row>
    <row r="560" spans="1:16" ht="3.95" customHeight="1" x14ac:dyDescent="0.2">
      <c r="A560" s="67"/>
      <c r="B560" s="756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</row>
    <row r="561" spans="1:16" x14ac:dyDescent="0.2">
      <c r="A561" s="329" t="s">
        <v>662</v>
      </c>
      <c r="B561" s="762"/>
      <c r="C561" s="254">
        <v>0</v>
      </c>
      <c r="D561" s="88">
        <f t="shared" ref="D561:O561" si="162">SUM(D551:D559)</f>
        <v>0</v>
      </c>
      <c r="E561" s="88">
        <f t="shared" si="162"/>
        <v>0</v>
      </c>
      <c r="F561" s="88">
        <f t="shared" si="162"/>
        <v>0</v>
      </c>
      <c r="G561" s="88">
        <f t="shared" si="162"/>
        <v>0</v>
      </c>
      <c r="H561" s="88">
        <f t="shared" si="162"/>
        <v>0</v>
      </c>
      <c r="I561" s="88">
        <f t="shared" si="162"/>
        <v>0</v>
      </c>
      <c r="J561" s="88">
        <f t="shared" si="162"/>
        <v>0</v>
      </c>
      <c r="K561" s="88">
        <f t="shared" si="162"/>
        <v>0</v>
      </c>
      <c r="L561" s="88">
        <f t="shared" si="162"/>
        <v>0</v>
      </c>
      <c r="M561" s="88">
        <f t="shared" si="162"/>
        <v>0</v>
      </c>
      <c r="N561" s="88">
        <f t="shared" si="162"/>
        <v>0</v>
      </c>
      <c r="O561" s="88">
        <f t="shared" si="162"/>
        <v>0</v>
      </c>
      <c r="P561" s="88">
        <f>SUM(P553:P559)+D551</f>
        <v>0</v>
      </c>
    </row>
    <row r="562" spans="1:16" x14ac:dyDescent="0.2">
      <c r="A562" s="67"/>
      <c r="B562" s="756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</row>
    <row r="564" spans="1:16" x14ac:dyDescent="0.2">
      <c r="A564" s="68" t="s">
        <v>733</v>
      </c>
      <c r="B564" s="756"/>
      <c r="D564" s="100">
        <f t="shared" ref="D564:O564" si="163">D45</f>
        <v>9.0200000000000002E-2</v>
      </c>
      <c r="E564" s="100">
        <f t="shared" si="163"/>
        <v>9.0200000000000002E-2</v>
      </c>
      <c r="F564" s="100">
        <f t="shared" si="163"/>
        <v>9.0200000000000002E-2</v>
      </c>
      <c r="G564" s="100">
        <f t="shared" si="163"/>
        <v>9.0200000000000002E-2</v>
      </c>
      <c r="H564" s="100">
        <f t="shared" si="163"/>
        <v>9.0200000000000002E-2</v>
      </c>
      <c r="I564" s="100">
        <f t="shared" si="163"/>
        <v>9.0200000000000002E-2</v>
      </c>
      <c r="J564" s="100">
        <f t="shared" si="163"/>
        <v>9.0200000000000002E-2</v>
      </c>
      <c r="K564" s="100">
        <f t="shared" si="163"/>
        <v>9.0200000000000002E-2</v>
      </c>
      <c r="L564" s="100">
        <f t="shared" si="163"/>
        <v>9.0200000000000002E-2</v>
      </c>
      <c r="M564" s="100">
        <f t="shared" si="163"/>
        <v>9.0200000000000002E-2</v>
      </c>
      <c r="N564" s="100">
        <f t="shared" si="163"/>
        <v>9.0200000000000002E-2</v>
      </c>
      <c r="O564" s="100">
        <f t="shared" si="163"/>
        <v>9.0200000000000002E-2</v>
      </c>
    </row>
    <row r="565" spans="1:16" x14ac:dyDescent="0.2">
      <c r="A565" s="68" t="s">
        <v>664</v>
      </c>
      <c r="B565" s="756"/>
      <c r="D565" s="90">
        <f t="shared" ref="D565:O565" si="164">D46</f>
        <v>7.7000000000000002E-3</v>
      </c>
      <c r="E565" s="90">
        <f t="shared" si="164"/>
        <v>6.8999999999999999E-3</v>
      </c>
      <c r="F565" s="90">
        <f t="shared" si="164"/>
        <v>7.7000000000000002E-3</v>
      </c>
      <c r="G565" s="90">
        <f t="shared" si="164"/>
        <v>7.4000000000000003E-3</v>
      </c>
      <c r="H565" s="90">
        <f t="shared" si="164"/>
        <v>7.7000000000000002E-3</v>
      </c>
      <c r="I565" s="90">
        <f t="shared" si="164"/>
        <v>7.4000000000000003E-3</v>
      </c>
      <c r="J565" s="90">
        <f t="shared" si="164"/>
        <v>7.7000000000000002E-3</v>
      </c>
      <c r="K565" s="90">
        <f t="shared" si="164"/>
        <v>7.7000000000000002E-3</v>
      </c>
      <c r="L565" s="90">
        <f t="shared" si="164"/>
        <v>7.4000000000000003E-3</v>
      </c>
      <c r="M565" s="90">
        <f t="shared" si="164"/>
        <v>7.7000000000000002E-3</v>
      </c>
      <c r="N565" s="90">
        <f t="shared" si="164"/>
        <v>7.4000000000000003E-3</v>
      </c>
      <c r="O565" s="90">
        <f t="shared" si="164"/>
        <v>7.7000000000000002E-3</v>
      </c>
    </row>
    <row r="566" spans="1:16" ht="12.75" customHeight="1" x14ac:dyDescent="0.2">
      <c r="A566" s="67"/>
      <c r="B566" s="756"/>
    </row>
    <row r="567" spans="1:16" x14ac:dyDescent="0.2">
      <c r="A567" s="329" t="s">
        <v>665</v>
      </c>
      <c r="C567" s="87"/>
      <c r="D567" s="75">
        <f t="shared" ref="D567:O567" si="165">ROUND(C561*D565,0)</f>
        <v>0</v>
      </c>
      <c r="E567" s="75">
        <f t="shared" si="165"/>
        <v>0</v>
      </c>
      <c r="F567" s="75">
        <f t="shared" si="165"/>
        <v>0</v>
      </c>
      <c r="G567" s="75">
        <f t="shared" si="165"/>
        <v>0</v>
      </c>
      <c r="H567" s="75">
        <f t="shared" si="165"/>
        <v>0</v>
      </c>
      <c r="I567" s="75">
        <f t="shared" si="165"/>
        <v>0</v>
      </c>
      <c r="J567" s="75">
        <f t="shared" si="165"/>
        <v>0</v>
      </c>
      <c r="K567" s="75">
        <f t="shared" si="165"/>
        <v>0</v>
      </c>
      <c r="L567" s="75">
        <f t="shared" si="165"/>
        <v>0</v>
      </c>
      <c r="M567" s="75">
        <f t="shared" si="165"/>
        <v>0</v>
      </c>
      <c r="N567" s="75">
        <f t="shared" si="165"/>
        <v>0</v>
      </c>
      <c r="O567" s="75">
        <f t="shared" si="165"/>
        <v>0</v>
      </c>
      <c r="P567" s="75">
        <f>SUM(D567:O567)</f>
        <v>0</v>
      </c>
    </row>
    <row r="568" spans="1:16" ht="6" customHeight="1" x14ac:dyDescent="0.2">
      <c r="A568" s="67"/>
      <c r="B568" s="756"/>
    </row>
    <row r="569" spans="1:16" x14ac:dyDescent="0.2">
      <c r="A569" s="329" t="s">
        <v>666</v>
      </c>
      <c r="B569" s="756"/>
      <c r="D569" s="70">
        <f>D567</f>
        <v>0</v>
      </c>
      <c r="E569" s="70">
        <f t="shared" ref="E569:O569" si="166">E567+D569</f>
        <v>0</v>
      </c>
      <c r="F569" s="70">
        <f t="shared" si="166"/>
        <v>0</v>
      </c>
      <c r="G569" s="70">
        <f t="shared" si="166"/>
        <v>0</v>
      </c>
      <c r="H569" s="70">
        <f t="shared" si="166"/>
        <v>0</v>
      </c>
      <c r="I569" s="70">
        <f t="shared" si="166"/>
        <v>0</v>
      </c>
      <c r="J569" s="70">
        <f t="shared" si="166"/>
        <v>0</v>
      </c>
      <c r="K569" s="70">
        <f t="shared" si="166"/>
        <v>0</v>
      </c>
      <c r="L569" s="70">
        <f t="shared" si="166"/>
        <v>0</v>
      </c>
      <c r="M569" s="70">
        <f t="shared" si="166"/>
        <v>0</v>
      </c>
      <c r="N569" s="70">
        <f t="shared" si="166"/>
        <v>0</v>
      </c>
      <c r="O569" s="70">
        <f t="shared" si="166"/>
        <v>0</v>
      </c>
    </row>
    <row r="571" spans="1:16" customFormat="1" x14ac:dyDescent="0.2">
      <c r="B571" s="759"/>
    </row>
    <row r="572" spans="1:16" x14ac:dyDescent="0.2">
      <c r="A572" s="340" t="str">
        <f ca="1">A1</f>
        <v>P:\Finance\2002 Plan\[EMTW02PL.XLS]IncomeState</v>
      </c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</row>
    <row r="573" spans="1:16" x14ac:dyDescent="0.2">
      <c r="A573" s="326" t="s">
        <v>820</v>
      </c>
      <c r="D573" s="106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</row>
    <row r="574" spans="1:16" x14ac:dyDescent="0.2">
      <c r="A574" s="340" t="str">
        <f>A3</f>
        <v>2002 OPERATING PLAN</v>
      </c>
      <c r="B574" s="754">
        <f ca="1">NOW()</f>
        <v>37189.6149224537</v>
      </c>
      <c r="C574" s="61" t="s">
        <v>821</v>
      </c>
      <c r="D574" s="61"/>
      <c r="E574" s="60"/>
      <c r="F574" s="60"/>
      <c r="G574" s="104"/>
      <c r="H574" s="104"/>
      <c r="I574" s="104"/>
      <c r="J574" s="105"/>
      <c r="K574" s="60"/>
      <c r="L574" s="60"/>
      <c r="M574" s="60"/>
      <c r="N574" s="60"/>
      <c r="O574" s="60"/>
      <c r="P574" s="91"/>
    </row>
    <row r="575" spans="1:16" ht="12.95" customHeight="1" x14ac:dyDescent="0.2">
      <c r="A575" s="62"/>
      <c r="B575" s="755">
        <f ca="1">NOW()</f>
        <v>37189.6149224537</v>
      </c>
      <c r="C575" s="324" t="str">
        <f t="shared" ref="C575:P575" si="167">C4</f>
        <v>BALANCE</v>
      </c>
      <c r="D575" s="324" t="str">
        <f t="shared" si="167"/>
        <v>JAN</v>
      </c>
      <c r="E575" s="324" t="str">
        <f t="shared" si="167"/>
        <v>FEB</v>
      </c>
      <c r="F575" s="324" t="str">
        <f t="shared" si="167"/>
        <v>MAR</v>
      </c>
      <c r="G575" s="324" t="str">
        <f t="shared" si="167"/>
        <v>APR</v>
      </c>
      <c r="H575" s="324" t="str">
        <f t="shared" si="167"/>
        <v>MAY</v>
      </c>
      <c r="I575" s="324" t="str">
        <f t="shared" si="167"/>
        <v>JUN</v>
      </c>
      <c r="J575" s="324" t="str">
        <f t="shared" si="167"/>
        <v>JUL</v>
      </c>
      <c r="K575" s="324" t="str">
        <f t="shared" si="167"/>
        <v>AUG</v>
      </c>
      <c r="L575" s="324" t="str">
        <f t="shared" si="167"/>
        <v>SEP</v>
      </c>
      <c r="M575" s="324" t="str">
        <f t="shared" si="167"/>
        <v>OCT</v>
      </c>
      <c r="N575" s="324" t="str">
        <f t="shared" si="167"/>
        <v>NOV</v>
      </c>
      <c r="O575" s="324" t="str">
        <f t="shared" si="167"/>
        <v>DEC</v>
      </c>
      <c r="P575" s="324">
        <f t="shared" si="167"/>
        <v>2002</v>
      </c>
    </row>
    <row r="576" spans="1:16" ht="3.95" customHeight="1" x14ac:dyDescent="0.2"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5"/>
    </row>
    <row r="577" spans="1:16" x14ac:dyDescent="0.2">
      <c r="A577" s="329" t="s">
        <v>822</v>
      </c>
      <c r="B577" s="756"/>
    </row>
    <row r="578" spans="1:16" x14ac:dyDescent="0.2">
      <c r="A578" s="68" t="s">
        <v>642</v>
      </c>
      <c r="B578" s="756"/>
      <c r="D578" s="70">
        <f t="shared" ref="D578:O578" si="168">D59</f>
        <v>0</v>
      </c>
      <c r="E578" s="70">
        <f t="shared" si="168"/>
        <v>0</v>
      </c>
      <c r="F578" s="70">
        <f t="shared" si="168"/>
        <v>0</v>
      </c>
      <c r="G578" s="70">
        <f t="shared" si="168"/>
        <v>0</v>
      </c>
      <c r="H578" s="70">
        <f t="shared" si="168"/>
        <v>0</v>
      </c>
      <c r="I578" s="70">
        <f t="shared" si="168"/>
        <v>0</v>
      </c>
      <c r="J578" s="70">
        <f t="shared" si="168"/>
        <v>0</v>
      </c>
      <c r="K578" s="70">
        <f t="shared" si="168"/>
        <v>0</v>
      </c>
      <c r="L578" s="70">
        <f t="shared" si="168"/>
        <v>0</v>
      </c>
      <c r="M578" s="70">
        <f t="shared" si="168"/>
        <v>0</v>
      </c>
      <c r="N578" s="70">
        <f t="shared" si="168"/>
        <v>0</v>
      </c>
      <c r="O578" s="70">
        <f t="shared" si="168"/>
        <v>0</v>
      </c>
      <c r="P578" s="70">
        <f>SUM(D578:O578)</f>
        <v>0</v>
      </c>
    </row>
    <row r="579" spans="1:16" x14ac:dyDescent="0.2">
      <c r="A579" s="336" t="s">
        <v>703</v>
      </c>
      <c r="D579" s="70">
        <f t="shared" ref="D579:O579" si="169">D60</f>
        <v>0</v>
      </c>
      <c r="E579" s="70">
        <f t="shared" si="169"/>
        <v>0</v>
      </c>
      <c r="F579" s="70">
        <f t="shared" si="169"/>
        <v>0</v>
      </c>
      <c r="G579" s="70">
        <f t="shared" si="169"/>
        <v>0</v>
      </c>
      <c r="H579" s="70">
        <f t="shared" si="169"/>
        <v>0</v>
      </c>
      <c r="I579" s="70">
        <f t="shared" si="169"/>
        <v>0</v>
      </c>
      <c r="J579" s="70">
        <f t="shared" si="169"/>
        <v>0</v>
      </c>
      <c r="K579" s="70">
        <f t="shared" si="169"/>
        <v>0</v>
      </c>
      <c r="L579" s="70">
        <f t="shared" si="169"/>
        <v>0</v>
      </c>
      <c r="M579" s="70">
        <f t="shared" si="169"/>
        <v>0</v>
      </c>
      <c r="N579" s="70">
        <f t="shared" si="169"/>
        <v>0</v>
      </c>
      <c r="O579" s="70">
        <f t="shared" si="169"/>
        <v>0</v>
      </c>
      <c r="P579" s="70">
        <f>SUM(D579:O579)</f>
        <v>0</v>
      </c>
    </row>
    <row r="580" spans="1:16" x14ac:dyDescent="0.2">
      <c r="A580" s="336" t="s">
        <v>704</v>
      </c>
      <c r="D580" s="72">
        <f t="shared" ref="D580:O580" si="170">D61</f>
        <v>0</v>
      </c>
      <c r="E580" s="72">
        <f t="shared" si="170"/>
        <v>0</v>
      </c>
      <c r="F580" s="72">
        <f t="shared" si="170"/>
        <v>0</v>
      </c>
      <c r="G580" s="72">
        <f t="shared" si="170"/>
        <v>0</v>
      </c>
      <c r="H580" s="72">
        <f t="shared" si="170"/>
        <v>0</v>
      </c>
      <c r="I580" s="72">
        <f t="shared" si="170"/>
        <v>0</v>
      </c>
      <c r="J580" s="72">
        <f t="shared" si="170"/>
        <v>0</v>
      </c>
      <c r="K580" s="72">
        <f t="shared" si="170"/>
        <v>0</v>
      </c>
      <c r="L580" s="72">
        <f t="shared" si="170"/>
        <v>0</v>
      </c>
      <c r="M580" s="72">
        <f t="shared" si="170"/>
        <v>0</v>
      </c>
      <c r="N580" s="72">
        <f t="shared" si="170"/>
        <v>0</v>
      </c>
      <c r="O580" s="72">
        <f t="shared" si="170"/>
        <v>0</v>
      </c>
      <c r="P580" s="72">
        <f>SUM(D580:O580)</f>
        <v>0</v>
      </c>
    </row>
    <row r="581" spans="1:16" ht="3.95" customHeight="1" x14ac:dyDescent="0.2"/>
    <row r="582" spans="1:16" x14ac:dyDescent="0.2">
      <c r="A582" s="68" t="s">
        <v>645</v>
      </c>
      <c r="B582" s="756"/>
      <c r="D582" s="70">
        <f t="shared" ref="D582:O582" si="171">D578+D579+D580</f>
        <v>0</v>
      </c>
      <c r="E582" s="70">
        <f t="shared" si="171"/>
        <v>0</v>
      </c>
      <c r="F582" s="70">
        <f t="shared" si="171"/>
        <v>0</v>
      </c>
      <c r="G582" s="70">
        <f t="shared" si="171"/>
        <v>0</v>
      </c>
      <c r="H582" s="70">
        <f t="shared" si="171"/>
        <v>0</v>
      </c>
      <c r="I582" s="70">
        <f t="shared" si="171"/>
        <v>0</v>
      </c>
      <c r="J582" s="70">
        <f t="shared" si="171"/>
        <v>0</v>
      </c>
      <c r="K582" s="70">
        <f t="shared" si="171"/>
        <v>0</v>
      </c>
      <c r="L582" s="70">
        <f t="shared" si="171"/>
        <v>0</v>
      </c>
      <c r="M582" s="70">
        <f t="shared" si="171"/>
        <v>0</v>
      </c>
      <c r="N582" s="70">
        <f t="shared" si="171"/>
        <v>0</v>
      </c>
      <c r="O582" s="70">
        <f t="shared" si="171"/>
        <v>0</v>
      </c>
      <c r="P582" s="70">
        <f>SUM(D582:O582)</f>
        <v>0</v>
      </c>
    </row>
    <row r="583" spans="1:16" ht="3.95" customHeight="1" x14ac:dyDescent="0.2"/>
    <row r="584" spans="1:16" x14ac:dyDescent="0.2">
      <c r="A584" s="336" t="s">
        <v>823</v>
      </c>
      <c r="B584" s="756"/>
      <c r="D584" s="73" t="e">
        <f t="shared" ref="D584:P584" si="172">D586/D582</f>
        <v>#DIV/0!</v>
      </c>
      <c r="E584" s="73" t="e">
        <f t="shared" si="172"/>
        <v>#DIV/0!</v>
      </c>
      <c r="F584" s="73" t="e">
        <f t="shared" si="172"/>
        <v>#DIV/0!</v>
      </c>
      <c r="G584" s="73" t="e">
        <f t="shared" si="172"/>
        <v>#DIV/0!</v>
      </c>
      <c r="H584" s="73" t="e">
        <f t="shared" si="172"/>
        <v>#DIV/0!</v>
      </c>
      <c r="I584" s="73" t="e">
        <f t="shared" si="172"/>
        <v>#DIV/0!</v>
      </c>
      <c r="J584" s="73" t="e">
        <f t="shared" si="172"/>
        <v>#DIV/0!</v>
      </c>
      <c r="K584" s="73" t="e">
        <f t="shared" si="172"/>
        <v>#DIV/0!</v>
      </c>
      <c r="L584" s="73" t="e">
        <f t="shared" si="172"/>
        <v>#DIV/0!</v>
      </c>
      <c r="M584" s="73" t="e">
        <f t="shared" si="172"/>
        <v>#DIV/0!</v>
      </c>
      <c r="N584" s="73" t="e">
        <f t="shared" si="172"/>
        <v>#DIV/0!</v>
      </c>
      <c r="O584" s="73" t="e">
        <f t="shared" si="172"/>
        <v>#DIV/0!</v>
      </c>
      <c r="P584" s="73" t="e">
        <f t="shared" si="172"/>
        <v>#DIV/0!</v>
      </c>
    </row>
    <row r="585" spans="1:16" ht="3.95" customHeight="1" x14ac:dyDescent="0.2"/>
    <row r="586" spans="1:16" x14ac:dyDescent="0.2">
      <c r="A586" s="335" t="s">
        <v>824</v>
      </c>
      <c r="B586" s="757"/>
      <c r="C586" s="59"/>
      <c r="D586" s="75">
        <v>0</v>
      </c>
      <c r="E586" s="75">
        <v>0</v>
      </c>
      <c r="F586" s="75">
        <v>0</v>
      </c>
      <c r="G586" s="75">
        <v>0</v>
      </c>
      <c r="H586" s="75">
        <v>0</v>
      </c>
      <c r="I586" s="75">
        <v>0</v>
      </c>
      <c r="J586" s="75">
        <v>0</v>
      </c>
      <c r="K586" s="75">
        <v>0</v>
      </c>
      <c r="L586" s="75">
        <v>0</v>
      </c>
      <c r="M586" s="75">
        <v>0</v>
      </c>
      <c r="N586" s="75">
        <v>0</v>
      </c>
      <c r="O586" s="75">
        <v>0</v>
      </c>
      <c r="P586" s="75">
        <f>SUM(D586:O586)</f>
        <v>0</v>
      </c>
    </row>
    <row r="587" spans="1:16" ht="8.1" customHeight="1" x14ac:dyDescent="0.2">
      <c r="A587" s="67"/>
      <c r="B587" s="75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</row>
    <row r="588" spans="1:16" x14ac:dyDescent="0.2">
      <c r="A588" s="335" t="s">
        <v>825</v>
      </c>
      <c r="B588" s="757"/>
      <c r="C588" s="59"/>
      <c r="D588" s="256">
        <v>0</v>
      </c>
      <c r="E588" s="256">
        <v>0</v>
      </c>
      <c r="F588" s="256">
        <v>0</v>
      </c>
      <c r="G588" s="256">
        <v>0</v>
      </c>
      <c r="H588" s="256">
        <v>0</v>
      </c>
      <c r="I588" s="256">
        <v>0</v>
      </c>
      <c r="J588" s="256">
        <v>0</v>
      </c>
      <c r="K588" s="256">
        <v>0</v>
      </c>
      <c r="L588" s="256">
        <v>0</v>
      </c>
      <c r="M588" s="256">
        <v>0</v>
      </c>
      <c r="N588" s="256">
        <v>0</v>
      </c>
      <c r="O588" s="256">
        <v>0</v>
      </c>
      <c r="P588" s="88">
        <f>SUM(D588:O588)</f>
        <v>0</v>
      </c>
    </row>
    <row r="590" spans="1:16" x14ac:dyDescent="0.2">
      <c r="A590" s="68" t="s">
        <v>687</v>
      </c>
      <c r="B590" s="756"/>
      <c r="D590" s="70">
        <f t="shared" ref="D590:O590" si="173">D586-D588</f>
        <v>0</v>
      </c>
      <c r="E590" s="70">
        <f t="shared" si="173"/>
        <v>0</v>
      </c>
      <c r="F590" s="70">
        <f t="shared" si="173"/>
        <v>0</v>
      </c>
      <c r="G590" s="70">
        <f t="shared" si="173"/>
        <v>0</v>
      </c>
      <c r="H590" s="70">
        <f t="shared" si="173"/>
        <v>0</v>
      </c>
      <c r="I590" s="70">
        <f t="shared" si="173"/>
        <v>0</v>
      </c>
      <c r="J590" s="70">
        <f t="shared" si="173"/>
        <v>0</v>
      </c>
      <c r="K590" s="70">
        <f t="shared" si="173"/>
        <v>0</v>
      </c>
      <c r="L590" s="70">
        <f t="shared" si="173"/>
        <v>0</v>
      </c>
      <c r="M590" s="70">
        <f t="shared" si="173"/>
        <v>0</v>
      </c>
      <c r="N590" s="70">
        <f t="shared" si="173"/>
        <v>0</v>
      </c>
      <c r="O590" s="70">
        <f t="shared" si="173"/>
        <v>0</v>
      </c>
      <c r="P590" s="70">
        <f>SUM(D590:O590)</f>
        <v>0</v>
      </c>
    </row>
    <row r="591" spans="1:16" x14ac:dyDescent="0.2">
      <c r="A591" s="78" t="s">
        <v>623</v>
      </c>
      <c r="D591" s="69">
        <v>0</v>
      </c>
      <c r="E591" s="69">
        <v>0</v>
      </c>
      <c r="F591" s="69">
        <v>0</v>
      </c>
      <c r="G591" s="69">
        <v>0</v>
      </c>
      <c r="H591" s="69">
        <v>0</v>
      </c>
      <c r="I591" s="69">
        <v>0</v>
      </c>
      <c r="J591" s="69">
        <v>0</v>
      </c>
      <c r="K591" s="69">
        <v>0</v>
      </c>
      <c r="L591" s="69">
        <v>0</v>
      </c>
      <c r="M591" s="69">
        <v>0</v>
      </c>
      <c r="N591" s="69">
        <v>0</v>
      </c>
      <c r="O591" s="69">
        <v>0</v>
      </c>
      <c r="P591" s="70">
        <f>SUM(D591:O591)</f>
        <v>0</v>
      </c>
    </row>
    <row r="592" spans="1:16" x14ac:dyDescent="0.2">
      <c r="A592" s="78" t="s">
        <v>623</v>
      </c>
      <c r="D592" s="69">
        <v>0</v>
      </c>
      <c r="E592" s="69">
        <v>0</v>
      </c>
      <c r="F592" s="69">
        <v>0</v>
      </c>
      <c r="G592" s="69">
        <v>0</v>
      </c>
      <c r="H592" s="69">
        <v>0</v>
      </c>
      <c r="I592" s="69">
        <v>0</v>
      </c>
      <c r="J592" s="69">
        <v>0</v>
      </c>
      <c r="K592" s="69">
        <v>0</v>
      </c>
      <c r="L592" s="69">
        <v>0</v>
      </c>
      <c r="M592" s="69">
        <v>0</v>
      </c>
      <c r="N592" s="69">
        <v>0</v>
      </c>
      <c r="O592" s="69">
        <v>0</v>
      </c>
      <c r="P592" s="70">
        <f>SUM(D592:O592)</f>
        <v>0</v>
      </c>
    </row>
    <row r="593" spans="1:16" x14ac:dyDescent="0.2">
      <c r="A593" s="68" t="s">
        <v>653</v>
      </c>
      <c r="D593" s="257">
        <v>0</v>
      </c>
      <c r="E593" s="257">
        <v>0</v>
      </c>
      <c r="F593" s="257">
        <v>0</v>
      </c>
      <c r="G593" s="257">
        <v>0</v>
      </c>
      <c r="H593" s="257">
        <v>0</v>
      </c>
      <c r="I593" s="257">
        <v>0</v>
      </c>
      <c r="J593" s="257">
        <v>0</v>
      </c>
      <c r="K593" s="257">
        <v>0</v>
      </c>
      <c r="L593" s="257">
        <v>0</v>
      </c>
      <c r="M593" s="257">
        <v>0</v>
      </c>
      <c r="N593" s="257">
        <v>0</v>
      </c>
      <c r="O593" s="257">
        <v>0</v>
      </c>
      <c r="P593" s="72">
        <f>SUM(D593:O593)</f>
        <v>0</v>
      </c>
    </row>
    <row r="594" spans="1:16" ht="3.95" customHeight="1" x14ac:dyDescent="0.2"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</row>
    <row r="595" spans="1:16" x14ac:dyDescent="0.2">
      <c r="A595" s="331" t="s">
        <v>654</v>
      </c>
      <c r="B595" s="760"/>
      <c r="C595" s="59"/>
      <c r="D595" s="75">
        <f t="shared" ref="D595:O595" si="174">SUM(D590:D593)</f>
        <v>0</v>
      </c>
      <c r="E595" s="75">
        <f t="shared" si="174"/>
        <v>0</v>
      </c>
      <c r="F595" s="75">
        <f t="shared" si="174"/>
        <v>0</v>
      </c>
      <c r="G595" s="75">
        <f t="shared" si="174"/>
        <v>0</v>
      </c>
      <c r="H595" s="75">
        <f t="shared" si="174"/>
        <v>0</v>
      </c>
      <c r="I595" s="75">
        <f t="shared" si="174"/>
        <v>0</v>
      </c>
      <c r="J595" s="75">
        <f t="shared" si="174"/>
        <v>0</v>
      </c>
      <c r="K595" s="75">
        <f t="shared" si="174"/>
        <v>0</v>
      </c>
      <c r="L595" s="75">
        <f t="shared" si="174"/>
        <v>0</v>
      </c>
      <c r="M595" s="75">
        <f t="shared" si="174"/>
        <v>0</v>
      </c>
      <c r="N595" s="75">
        <f t="shared" si="174"/>
        <v>0</v>
      </c>
      <c r="O595" s="75">
        <f t="shared" si="174"/>
        <v>0</v>
      </c>
      <c r="P595" s="75">
        <f>SUM(D595:O595)</f>
        <v>0</v>
      </c>
    </row>
    <row r="596" spans="1:16" ht="6" customHeight="1" x14ac:dyDescent="0.2">
      <c r="A596" s="67"/>
      <c r="B596" s="756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</row>
    <row r="597" spans="1:16" x14ac:dyDescent="0.2">
      <c r="A597" s="329" t="s">
        <v>826</v>
      </c>
      <c r="B597" s="757"/>
      <c r="C597" s="59"/>
      <c r="D597" s="75">
        <f t="shared" ref="D597:O597" si="175">-1*D595</f>
        <v>0</v>
      </c>
      <c r="E597" s="75">
        <f t="shared" si="175"/>
        <v>0</v>
      </c>
      <c r="F597" s="75">
        <f t="shared" si="175"/>
        <v>0</v>
      </c>
      <c r="G597" s="75">
        <f t="shared" si="175"/>
        <v>0</v>
      </c>
      <c r="H597" s="75">
        <f t="shared" si="175"/>
        <v>0</v>
      </c>
      <c r="I597" s="75">
        <f t="shared" si="175"/>
        <v>0</v>
      </c>
      <c r="J597" s="75">
        <f t="shared" si="175"/>
        <v>0</v>
      </c>
      <c r="K597" s="75">
        <f t="shared" si="175"/>
        <v>0</v>
      </c>
      <c r="L597" s="75">
        <f t="shared" si="175"/>
        <v>0</v>
      </c>
      <c r="M597" s="75">
        <f t="shared" si="175"/>
        <v>0</v>
      </c>
      <c r="N597" s="75">
        <f t="shared" si="175"/>
        <v>0</v>
      </c>
      <c r="O597" s="75">
        <f t="shared" si="175"/>
        <v>0</v>
      </c>
      <c r="P597" s="75">
        <f>SUM(D597:O597)</f>
        <v>0</v>
      </c>
    </row>
    <row r="598" spans="1:16" x14ac:dyDescent="0.2">
      <c r="A598" s="67"/>
      <c r="B598" s="756"/>
    </row>
    <row r="599" spans="1:16" x14ac:dyDescent="0.2">
      <c r="A599" s="82"/>
      <c r="B599" s="758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</row>
    <row r="600" spans="1:16" x14ac:dyDescent="0.2">
      <c r="A600" s="330"/>
    </row>
    <row r="601" spans="1:16" x14ac:dyDescent="0.2">
      <c r="A601" s="341" t="s">
        <v>827</v>
      </c>
      <c r="B601" s="756"/>
      <c r="C601" s="63" t="str">
        <f>C30</f>
        <v>12/31/99</v>
      </c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59"/>
    </row>
    <row r="602" spans="1:16" ht="3.95" customHeight="1" x14ac:dyDescent="0.2">
      <c r="A602" s="67"/>
      <c r="B602" s="756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</row>
    <row r="603" spans="1:16" x14ac:dyDescent="0.2">
      <c r="A603" s="329" t="s">
        <v>657</v>
      </c>
      <c r="B603" s="756"/>
      <c r="D603" s="70">
        <f t="shared" ref="D603:O603" si="176">C613</f>
        <v>0</v>
      </c>
      <c r="E603" s="70">
        <f t="shared" si="176"/>
        <v>0</v>
      </c>
      <c r="F603" s="70">
        <f t="shared" si="176"/>
        <v>0</v>
      </c>
      <c r="G603" s="70">
        <f t="shared" si="176"/>
        <v>0</v>
      </c>
      <c r="H603" s="70">
        <f t="shared" si="176"/>
        <v>0</v>
      </c>
      <c r="I603" s="70">
        <f t="shared" si="176"/>
        <v>0</v>
      </c>
      <c r="J603" s="70">
        <f t="shared" si="176"/>
        <v>0</v>
      </c>
      <c r="K603" s="70">
        <f t="shared" si="176"/>
        <v>0</v>
      </c>
      <c r="L603" s="70">
        <f t="shared" si="176"/>
        <v>0</v>
      </c>
      <c r="M603" s="70">
        <f t="shared" si="176"/>
        <v>0</v>
      </c>
      <c r="N603" s="70">
        <f t="shared" si="176"/>
        <v>0</v>
      </c>
      <c r="O603" s="70">
        <f t="shared" si="176"/>
        <v>0</v>
      </c>
      <c r="P603" s="70"/>
    </row>
    <row r="604" spans="1:16" ht="6" customHeight="1" x14ac:dyDescent="0.2"/>
    <row r="605" spans="1:16" x14ac:dyDescent="0.2">
      <c r="A605" s="78" t="s">
        <v>658</v>
      </c>
      <c r="B605" s="94"/>
      <c r="D605" s="69">
        <v>0</v>
      </c>
      <c r="E605" s="69">
        <v>0</v>
      </c>
      <c r="F605" s="69">
        <v>0</v>
      </c>
      <c r="G605" s="69">
        <v>0</v>
      </c>
      <c r="H605" s="69">
        <v>0</v>
      </c>
      <c r="I605" s="69">
        <v>0</v>
      </c>
      <c r="J605" s="69">
        <v>0</v>
      </c>
      <c r="K605" s="69">
        <v>0</v>
      </c>
      <c r="L605" s="69">
        <v>0</v>
      </c>
      <c r="M605" s="69">
        <v>0</v>
      </c>
      <c r="N605" s="69">
        <v>0</v>
      </c>
      <c r="O605" s="69">
        <v>0</v>
      </c>
      <c r="P605" s="70">
        <f>SUM(D605:O605)</f>
        <v>0</v>
      </c>
    </row>
    <row r="606" spans="1:16" ht="6" customHeight="1" x14ac:dyDescent="0.2">
      <c r="A606" s="67"/>
      <c r="B606" s="756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</row>
    <row r="607" spans="1:16" x14ac:dyDescent="0.2">
      <c r="A607" s="336" t="s">
        <v>770</v>
      </c>
      <c r="B607" s="756"/>
      <c r="D607" s="70">
        <f t="shared" ref="D607:O607" si="177">D597</f>
        <v>0</v>
      </c>
      <c r="E607" s="70">
        <f t="shared" si="177"/>
        <v>0</v>
      </c>
      <c r="F607" s="70">
        <f t="shared" si="177"/>
        <v>0</v>
      </c>
      <c r="G607" s="70">
        <f t="shared" si="177"/>
        <v>0</v>
      </c>
      <c r="H607" s="70">
        <f t="shared" si="177"/>
        <v>0</v>
      </c>
      <c r="I607" s="70">
        <f t="shared" si="177"/>
        <v>0</v>
      </c>
      <c r="J607" s="70">
        <f t="shared" si="177"/>
        <v>0</v>
      </c>
      <c r="K607" s="70">
        <f t="shared" si="177"/>
        <v>0</v>
      </c>
      <c r="L607" s="70">
        <f t="shared" si="177"/>
        <v>0</v>
      </c>
      <c r="M607" s="70">
        <f t="shared" si="177"/>
        <v>0</v>
      </c>
      <c r="N607" s="70">
        <f t="shared" si="177"/>
        <v>0</v>
      </c>
      <c r="O607" s="70">
        <f t="shared" si="177"/>
        <v>0</v>
      </c>
      <c r="P607" s="70">
        <f>SUM(D607:O607)</f>
        <v>0</v>
      </c>
    </row>
    <row r="608" spans="1:16" ht="6" customHeight="1" x14ac:dyDescent="0.2">
      <c r="A608" s="67"/>
      <c r="B608" s="756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</row>
    <row r="609" spans="1:16" x14ac:dyDescent="0.2">
      <c r="A609" s="78" t="s">
        <v>660</v>
      </c>
      <c r="B609" s="756"/>
      <c r="D609" s="69">
        <v>0</v>
      </c>
      <c r="E609" s="69">
        <v>0</v>
      </c>
      <c r="F609" s="69">
        <v>0</v>
      </c>
      <c r="G609" s="69">
        <v>0</v>
      </c>
      <c r="H609" s="69">
        <v>0</v>
      </c>
      <c r="I609" s="69">
        <v>0</v>
      </c>
      <c r="J609" s="69">
        <v>0</v>
      </c>
      <c r="K609" s="69">
        <v>0</v>
      </c>
      <c r="L609" s="69">
        <v>0</v>
      </c>
      <c r="M609" s="69">
        <v>0</v>
      </c>
      <c r="N609" s="69">
        <v>0</v>
      </c>
      <c r="O609" s="69">
        <v>0</v>
      </c>
      <c r="P609" s="70">
        <f>SUM(D609:O609)</f>
        <v>0</v>
      </c>
    </row>
    <row r="610" spans="1:16" ht="6" customHeight="1" x14ac:dyDescent="0.2">
      <c r="A610" s="67"/>
      <c r="B610" s="756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</row>
    <row r="611" spans="1:16" x14ac:dyDescent="0.2">
      <c r="A611" s="68" t="s">
        <v>661</v>
      </c>
      <c r="B611" s="756"/>
      <c r="D611" s="72">
        <f t="shared" ref="D611:O611" si="178">D619</f>
        <v>0</v>
      </c>
      <c r="E611" s="72">
        <f t="shared" si="178"/>
        <v>0</v>
      </c>
      <c r="F611" s="72">
        <f t="shared" si="178"/>
        <v>0</v>
      </c>
      <c r="G611" s="72">
        <f t="shared" si="178"/>
        <v>0</v>
      </c>
      <c r="H611" s="72">
        <f t="shared" si="178"/>
        <v>0</v>
      </c>
      <c r="I611" s="72">
        <f t="shared" si="178"/>
        <v>0</v>
      </c>
      <c r="J611" s="72">
        <f t="shared" si="178"/>
        <v>0</v>
      </c>
      <c r="K611" s="72">
        <f t="shared" si="178"/>
        <v>0</v>
      </c>
      <c r="L611" s="72">
        <f t="shared" si="178"/>
        <v>0</v>
      </c>
      <c r="M611" s="72">
        <f t="shared" si="178"/>
        <v>0</v>
      </c>
      <c r="N611" s="72">
        <f t="shared" si="178"/>
        <v>0</v>
      </c>
      <c r="O611" s="72">
        <f t="shared" si="178"/>
        <v>0</v>
      </c>
      <c r="P611" s="72">
        <f>SUM(D611:O611)</f>
        <v>0</v>
      </c>
    </row>
    <row r="612" spans="1:16" ht="3.95" customHeight="1" x14ac:dyDescent="0.2">
      <c r="A612" s="67"/>
      <c r="B612" s="756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</row>
    <row r="613" spans="1:16" x14ac:dyDescent="0.2">
      <c r="A613" s="329" t="s">
        <v>662</v>
      </c>
      <c r="B613" s="762"/>
      <c r="C613" s="254">
        <v>0</v>
      </c>
      <c r="D613" s="88">
        <f t="shared" ref="D613:O613" si="179">SUM(D603:D611)</f>
        <v>0</v>
      </c>
      <c r="E613" s="88">
        <f t="shared" si="179"/>
        <v>0</v>
      </c>
      <c r="F613" s="88">
        <f t="shared" si="179"/>
        <v>0</v>
      </c>
      <c r="G613" s="88">
        <f t="shared" si="179"/>
        <v>0</v>
      </c>
      <c r="H613" s="88">
        <f t="shared" si="179"/>
        <v>0</v>
      </c>
      <c r="I613" s="88">
        <f t="shared" si="179"/>
        <v>0</v>
      </c>
      <c r="J613" s="88">
        <f t="shared" si="179"/>
        <v>0</v>
      </c>
      <c r="K613" s="88">
        <f t="shared" si="179"/>
        <v>0</v>
      </c>
      <c r="L613" s="88">
        <f t="shared" si="179"/>
        <v>0</v>
      </c>
      <c r="M613" s="88">
        <f t="shared" si="179"/>
        <v>0</v>
      </c>
      <c r="N613" s="88">
        <f t="shared" si="179"/>
        <v>0</v>
      </c>
      <c r="O613" s="88">
        <f t="shared" si="179"/>
        <v>0</v>
      </c>
      <c r="P613" s="88">
        <f>SUM(P605:P611)+D603</f>
        <v>0</v>
      </c>
    </row>
    <row r="614" spans="1:16" x14ac:dyDescent="0.2">
      <c r="A614" s="67"/>
      <c r="C614" s="67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</row>
    <row r="616" spans="1:16" x14ac:dyDescent="0.2">
      <c r="A616" s="68" t="s">
        <v>733</v>
      </c>
      <c r="C616" s="67"/>
      <c r="D616" s="100">
        <f t="shared" ref="D616:O616" si="180">D45</f>
        <v>9.0200000000000002E-2</v>
      </c>
      <c r="E616" s="100">
        <f t="shared" si="180"/>
        <v>9.0200000000000002E-2</v>
      </c>
      <c r="F616" s="100">
        <f t="shared" si="180"/>
        <v>9.0200000000000002E-2</v>
      </c>
      <c r="G616" s="100">
        <f t="shared" si="180"/>
        <v>9.0200000000000002E-2</v>
      </c>
      <c r="H616" s="100">
        <f t="shared" si="180"/>
        <v>9.0200000000000002E-2</v>
      </c>
      <c r="I616" s="100">
        <f t="shared" si="180"/>
        <v>9.0200000000000002E-2</v>
      </c>
      <c r="J616" s="100">
        <f t="shared" si="180"/>
        <v>9.0200000000000002E-2</v>
      </c>
      <c r="K616" s="100">
        <f t="shared" si="180"/>
        <v>9.0200000000000002E-2</v>
      </c>
      <c r="L616" s="100">
        <f t="shared" si="180"/>
        <v>9.0200000000000002E-2</v>
      </c>
      <c r="M616" s="100">
        <f t="shared" si="180"/>
        <v>9.0200000000000002E-2</v>
      </c>
      <c r="N616" s="100">
        <f t="shared" si="180"/>
        <v>9.0200000000000002E-2</v>
      </c>
      <c r="O616" s="100">
        <f t="shared" si="180"/>
        <v>9.0200000000000002E-2</v>
      </c>
    </row>
    <row r="617" spans="1:16" x14ac:dyDescent="0.2">
      <c r="A617" s="68" t="s">
        <v>664</v>
      </c>
      <c r="C617" s="67"/>
      <c r="D617" s="90">
        <f t="shared" ref="D617:O617" si="181">D46</f>
        <v>7.7000000000000002E-3</v>
      </c>
      <c r="E617" s="90">
        <f t="shared" si="181"/>
        <v>6.8999999999999999E-3</v>
      </c>
      <c r="F617" s="90">
        <f t="shared" si="181"/>
        <v>7.7000000000000002E-3</v>
      </c>
      <c r="G617" s="90">
        <f t="shared" si="181"/>
        <v>7.4000000000000003E-3</v>
      </c>
      <c r="H617" s="90">
        <f t="shared" si="181"/>
        <v>7.7000000000000002E-3</v>
      </c>
      <c r="I617" s="90">
        <f t="shared" si="181"/>
        <v>7.4000000000000003E-3</v>
      </c>
      <c r="J617" s="90">
        <f t="shared" si="181"/>
        <v>7.7000000000000002E-3</v>
      </c>
      <c r="K617" s="90">
        <f t="shared" si="181"/>
        <v>7.7000000000000002E-3</v>
      </c>
      <c r="L617" s="90">
        <f t="shared" si="181"/>
        <v>7.4000000000000003E-3</v>
      </c>
      <c r="M617" s="90">
        <f t="shared" si="181"/>
        <v>7.7000000000000002E-3</v>
      </c>
      <c r="N617" s="90">
        <f t="shared" si="181"/>
        <v>7.4000000000000003E-3</v>
      </c>
      <c r="O617" s="90">
        <f t="shared" si="181"/>
        <v>7.7000000000000002E-3</v>
      </c>
    </row>
    <row r="618" spans="1:16" ht="12.75" customHeight="1" x14ac:dyDescent="0.2">
      <c r="A618" s="67"/>
      <c r="C618" s="67"/>
    </row>
    <row r="619" spans="1:16" x14ac:dyDescent="0.2">
      <c r="A619" s="66" t="s">
        <v>665</v>
      </c>
      <c r="C619" s="87"/>
      <c r="D619" s="75">
        <f>ROUND(C613*D617,0)</f>
        <v>0</v>
      </c>
      <c r="E619" s="75">
        <f>ROUND(D613*E617,0)</f>
        <v>0</v>
      </c>
      <c r="F619" s="75">
        <f t="shared" ref="F619:O619" si="182">ROUND(E613*F617,0)</f>
        <v>0</v>
      </c>
      <c r="G619" s="75">
        <f t="shared" si="182"/>
        <v>0</v>
      </c>
      <c r="H619" s="75">
        <f t="shared" si="182"/>
        <v>0</v>
      </c>
      <c r="I619" s="75">
        <f t="shared" si="182"/>
        <v>0</v>
      </c>
      <c r="J619" s="75">
        <f t="shared" si="182"/>
        <v>0</v>
      </c>
      <c r="K619" s="75">
        <f t="shared" si="182"/>
        <v>0</v>
      </c>
      <c r="L619" s="75">
        <f t="shared" si="182"/>
        <v>0</v>
      </c>
      <c r="M619" s="75">
        <f t="shared" si="182"/>
        <v>0</v>
      </c>
      <c r="N619" s="75">
        <f t="shared" si="182"/>
        <v>0</v>
      </c>
      <c r="O619" s="75">
        <f t="shared" si="182"/>
        <v>0</v>
      </c>
      <c r="P619" s="75">
        <f>SUM(D619:O619)</f>
        <v>0</v>
      </c>
    </row>
    <row r="620" spans="1:16" ht="6" customHeight="1" x14ac:dyDescent="0.2">
      <c r="A620" s="67"/>
      <c r="B620" s="756"/>
    </row>
    <row r="621" spans="1:16" x14ac:dyDescent="0.2">
      <c r="A621" s="66" t="s">
        <v>666</v>
      </c>
      <c r="B621" s="756"/>
      <c r="D621" s="70">
        <f>D619</f>
        <v>0</v>
      </c>
      <c r="E621" s="70">
        <f t="shared" ref="E621:O621" si="183">E619+D621</f>
        <v>0</v>
      </c>
      <c r="F621" s="70">
        <f t="shared" si="183"/>
        <v>0</v>
      </c>
      <c r="G621" s="70">
        <f t="shared" si="183"/>
        <v>0</v>
      </c>
      <c r="H621" s="70">
        <f t="shared" si="183"/>
        <v>0</v>
      </c>
      <c r="I621" s="70">
        <f t="shared" si="183"/>
        <v>0</v>
      </c>
      <c r="J621" s="70">
        <f t="shared" si="183"/>
        <v>0</v>
      </c>
      <c r="K621" s="70">
        <f t="shared" si="183"/>
        <v>0</v>
      </c>
      <c r="L621" s="70">
        <f t="shared" si="183"/>
        <v>0</v>
      </c>
      <c r="M621" s="70">
        <f t="shared" si="183"/>
        <v>0</v>
      </c>
      <c r="N621" s="70">
        <f t="shared" si="183"/>
        <v>0</v>
      </c>
      <c r="O621" s="70">
        <f t="shared" si="183"/>
        <v>0</v>
      </c>
    </row>
    <row r="623" spans="1:16" x14ac:dyDescent="0.2">
      <c r="A623" s="340" t="str">
        <f ca="1">A1</f>
        <v>P:\Finance\2002 Plan\[EMTW02PL.XLS]IncomeState</v>
      </c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</row>
    <row r="624" spans="1:16" x14ac:dyDescent="0.2">
      <c r="A624" s="325" t="s">
        <v>850</v>
      </c>
      <c r="D624" s="106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</row>
    <row r="625" spans="1:16" x14ac:dyDescent="0.2">
      <c r="A625" s="340" t="str">
        <f>A3</f>
        <v>2002 OPERATING PLAN</v>
      </c>
      <c r="B625" s="754">
        <f ca="1">NOW()</f>
        <v>37189.6149224537</v>
      </c>
      <c r="C625" s="479" t="s">
        <v>851</v>
      </c>
      <c r="D625" s="61"/>
      <c r="E625" s="60"/>
      <c r="F625" s="60"/>
      <c r="G625" s="104"/>
      <c r="H625" s="104"/>
      <c r="I625" s="104"/>
      <c r="J625" s="105"/>
      <c r="K625" s="60"/>
      <c r="L625" s="60"/>
      <c r="M625" s="60"/>
      <c r="N625" s="60"/>
      <c r="O625" s="60"/>
      <c r="P625" s="91"/>
    </row>
    <row r="626" spans="1:16" x14ac:dyDescent="0.2">
      <c r="A626" s="62"/>
      <c r="B626" s="755">
        <f ca="1">NOW()</f>
        <v>37189.6149224537</v>
      </c>
      <c r="C626" s="324" t="str">
        <f t="shared" ref="C626:P626" si="184">C4</f>
        <v>BALANCE</v>
      </c>
      <c r="D626" s="478" t="str">
        <f t="shared" si="184"/>
        <v>JAN</v>
      </c>
      <c r="E626" s="478" t="str">
        <f t="shared" si="184"/>
        <v>FEB</v>
      </c>
      <c r="F626" s="478" t="str">
        <f t="shared" si="184"/>
        <v>MAR</v>
      </c>
      <c r="G626" s="478" t="str">
        <f t="shared" si="184"/>
        <v>APR</v>
      </c>
      <c r="H626" s="478" t="str">
        <f t="shared" si="184"/>
        <v>MAY</v>
      </c>
      <c r="I626" s="478" t="str">
        <f t="shared" si="184"/>
        <v>JUN</v>
      </c>
      <c r="J626" s="478" t="str">
        <f t="shared" si="184"/>
        <v>JUL</v>
      </c>
      <c r="K626" s="478" t="str">
        <f t="shared" si="184"/>
        <v>AUG</v>
      </c>
      <c r="L626" s="478" t="str">
        <f t="shared" si="184"/>
        <v>SEP</v>
      </c>
      <c r="M626" s="478" t="str">
        <f t="shared" si="184"/>
        <v>OCT</v>
      </c>
      <c r="N626" s="478" t="str">
        <f t="shared" si="184"/>
        <v>NOV</v>
      </c>
      <c r="O626" s="478" t="str">
        <f t="shared" si="184"/>
        <v>DEC</v>
      </c>
      <c r="P626" s="478">
        <f t="shared" si="184"/>
        <v>2002</v>
      </c>
    </row>
    <row r="627" spans="1:16" ht="3.95" customHeight="1" x14ac:dyDescent="0.2"/>
    <row r="628" spans="1:16" x14ac:dyDescent="0.2">
      <c r="A628" s="341" t="s">
        <v>852</v>
      </c>
      <c r="B628" s="756"/>
      <c r="C628" s="63" t="str">
        <f>C30</f>
        <v>12/31/99</v>
      </c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59"/>
    </row>
    <row r="629" spans="1:16" ht="3.95" customHeight="1" x14ac:dyDescent="0.2">
      <c r="A629" s="67"/>
      <c r="B629" s="756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</row>
    <row r="630" spans="1:16" x14ac:dyDescent="0.2">
      <c r="A630" s="329" t="s">
        <v>657</v>
      </c>
      <c r="B630" s="756"/>
      <c r="D630" s="70">
        <f t="shared" ref="D630:O630" si="185">C640</f>
        <v>0</v>
      </c>
      <c r="E630" s="70">
        <f t="shared" si="185"/>
        <v>0</v>
      </c>
      <c r="F630" s="70">
        <f t="shared" si="185"/>
        <v>0</v>
      </c>
      <c r="G630" s="70">
        <f t="shared" si="185"/>
        <v>0</v>
      </c>
      <c r="H630" s="70">
        <f t="shared" si="185"/>
        <v>0</v>
      </c>
      <c r="I630" s="70">
        <f t="shared" si="185"/>
        <v>0</v>
      </c>
      <c r="J630" s="70">
        <f t="shared" si="185"/>
        <v>0</v>
      </c>
      <c r="K630" s="70">
        <f t="shared" si="185"/>
        <v>0</v>
      </c>
      <c r="L630" s="70">
        <f t="shared" si="185"/>
        <v>0</v>
      </c>
      <c r="M630" s="70">
        <f t="shared" si="185"/>
        <v>0</v>
      </c>
      <c r="N630" s="70">
        <f t="shared" si="185"/>
        <v>0</v>
      </c>
      <c r="O630" s="70">
        <f t="shared" si="185"/>
        <v>0</v>
      </c>
      <c r="P630" s="70"/>
    </row>
    <row r="631" spans="1:16" ht="6" customHeight="1" x14ac:dyDescent="0.2"/>
    <row r="632" spans="1:16" x14ac:dyDescent="0.2">
      <c r="A632" s="78" t="s">
        <v>658</v>
      </c>
      <c r="B632" s="94"/>
      <c r="D632" s="69">
        <v>0</v>
      </c>
      <c r="E632" s="69">
        <v>0</v>
      </c>
      <c r="F632" s="69">
        <v>0</v>
      </c>
      <c r="G632" s="69">
        <v>0</v>
      </c>
      <c r="H632" s="69">
        <v>0</v>
      </c>
      <c r="I632" s="69">
        <v>0</v>
      </c>
      <c r="J632" s="69">
        <v>0</v>
      </c>
      <c r="K632" s="69">
        <v>0</v>
      </c>
      <c r="L632" s="69">
        <v>0</v>
      </c>
      <c r="M632" s="69">
        <v>0</v>
      </c>
      <c r="N632" s="69">
        <v>0</v>
      </c>
      <c r="O632" s="69">
        <v>0</v>
      </c>
      <c r="P632" s="70">
        <f>SUM(D632:O632)</f>
        <v>0</v>
      </c>
    </row>
    <row r="633" spans="1:16" ht="6" customHeight="1" x14ac:dyDescent="0.2">
      <c r="A633" s="67"/>
      <c r="B633" s="756"/>
    </row>
    <row r="634" spans="1:16" x14ac:dyDescent="0.2">
      <c r="A634" s="336" t="s">
        <v>34</v>
      </c>
      <c r="B634" s="756"/>
      <c r="D634" s="69">
        <v>0</v>
      </c>
      <c r="E634" s="69">
        <v>0</v>
      </c>
      <c r="F634" s="69">
        <v>0</v>
      </c>
      <c r="G634" s="69">
        <v>0</v>
      </c>
      <c r="H634" s="69">
        <v>0</v>
      </c>
      <c r="I634" s="69">
        <v>0</v>
      </c>
      <c r="J634" s="69">
        <v>0</v>
      </c>
      <c r="K634" s="69">
        <v>0</v>
      </c>
      <c r="L634" s="69">
        <v>0</v>
      </c>
      <c r="M634" s="69">
        <v>0</v>
      </c>
      <c r="N634" s="69">
        <v>0</v>
      </c>
      <c r="O634" s="69">
        <v>0</v>
      </c>
      <c r="P634" s="70" t="e">
        <f>SUM(#REF!)</f>
        <v>#REF!</v>
      </c>
    </row>
    <row r="635" spans="1:16" ht="6" customHeight="1" x14ac:dyDescent="0.2">
      <c r="A635" s="67"/>
      <c r="B635" s="756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</row>
    <row r="636" spans="1:16" x14ac:dyDescent="0.2">
      <c r="A636" s="78" t="s">
        <v>660</v>
      </c>
      <c r="B636" s="756"/>
      <c r="D636" s="69">
        <v>0</v>
      </c>
      <c r="E636" s="69">
        <v>0</v>
      </c>
      <c r="F636" s="69">
        <v>0</v>
      </c>
      <c r="G636" s="69">
        <v>0</v>
      </c>
      <c r="H636" s="69">
        <v>0</v>
      </c>
      <c r="I636" s="69">
        <v>0</v>
      </c>
      <c r="J636" s="69">
        <v>0</v>
      </c>
      <c r="K636" s="69">
        <v>0</v>
      </c>
      <c r="L636" s="69">
        <v>0</v>
      </c>
      <c r="M636" s="69">
        <v>0</v>
      </c>
      <c r="N636" s="69">
        <v>0</v>
      </c>
      <c r="O636" s="69">
        <v>0</v>
      </c>
      <c r="P636" s="70">
        <f>SUM(D636:O636)</f>
        <v>0</v>
      </c>
    </row>
    <row r="637" spans="1:16" ht="6" customHeight="1" x14ac:dyDescent="0.2">
      <c r="A637" s="67"/>
      <c r="B637" s="756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</row>
    <row r="638" spans="1:16" x14ac:dyDescent="0.2">
      <c r="A638" s="68" t="s">
        <v>661</v>
      </c>
      <c r="B638" s="756"/>
      <c r="D638" s="72">
        <f t="shared" ref="D638:O638" si="186">D646</f>
        <v>0</v>
      </c>
      <c r="E638" s="72">
        <f t="shared" si="186"/>
        <v>0</v>
      </c>
      <c r="F638" s="72">
        <f t="shared" si="186"/>
        <v>0</v>
      </c>
      <c r="G638" s="72">
        <f t="shared" si="186"/>
        <v>0</v>
      </c>
      <c r="H638" s="72">
        <f t="shared" si="186"/>
        <v>0</v>
      </c>
      <c r="I638" s="72">
        <f t="shared" si="186"/>
        <v>0</v>
      </c>
      <c r="J638" s="72">
        <f t="shared" si="186"/>
        <v>0</v>
      </c>
      <c r="K638" s="72">
        <f t="shared" si="186"/>
        <v>0</v>
      </c>
      <c r="L638" s="72">
        <f t="shared" si="186"/>
        <v>0</v>
      </c>
      <c r="M638" s="72">
        <f t="shared" si="186"/>
        <v>0</v>
      </c>
      <c r="N638" s="72">
        <f t="shared" si="186"/>
        <v>0</v>
      </c>
      <c r="O638" s="72">
        <f t="shared" si="186"/>
        <v>0</v>
      </c>
      <c r="P638" s="72">
        <f>SUM(D638:O638)</f>
        <v>0</v>
      </c>
    </row>
    <row r="639" spans="1:16" ht="3.95" customHeight="1" x14ac:dyDescent="0.2">
      <c r="A639" s="67"/>
      <c r="B639" s="756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</row>
    <row r="640" spans="1:16" x14ac:dyDescent="0.2">
      <c r="A640" s="329" t="s">
        <v>662</v>
      </c>
      <c r="B640" s="762"/>
      <c r="C640" s="254">
        <v>0</v>
      </c>
      <c r="D640" s="88">
        <f t="shared" ref="D640:O640" si="187">SUM(D630:D638)</f>
        <v>0</v>
      </c>
      <c r="E640" s="88">
        <f t="shared" si="187"/>
        <v>0</v>
      </c>
      <c r="F640" s="88">
        <f t="shared" si="187"/>
        <v>0</v>
      </c>
      <c r="G640" s="88">
        <f t="shared" si="187"/>
        <v>0</v>
      </c>
      <c r="H640" s="88">
        <f t="shared" si="187"/>
        <v>0</v>
      </c>
      <c r="I640" s="88">
        <f t="shared" si="187"/>
        <v>0</v>
      </c>
      <c r="J640" s="88">
        <f t="shared" si="187"/>
        <v>0</v>
      </c>
      <c r="K640" s="88">
        <f t="shared" si="187"/>
        <v>0</v>
      </c>
      <c r="L640" s="88">
        <f t="shared" si="187"/>
        <v>0</v>
      </c>
      <c r="M640" s="88">
        <f t="shared" si="187"/>
        <v>0</v>
      </c>
      <c r="N640" s="88">
        <f t="shared" si="187"/>
        <v>0</v>
      </c>
      <c r="O640" s="88">
        <f t="shared" si="187"/>
        <v>0</v>
      </c>
      <c r="P640" s="88" t="e">
        <f>SUM(P632:P638)+D630</f>
        <v>#REF!</v>
      </c>
    </row>
    <row r="641" spans="1:16" x14ac:dyDescent="0.2">
      <c r="A641" s="67"/>
      <c r="C641" s="67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</row>
    <row r="643" spans="1:16" x14ac:dyDescent="0.2">
      <c r="A643" s="68" t="s">
        <v>733</v>
      </c>
      <c r="C643" s="67"/>
      <c r="D643" s="100">
        <f t="shared" ref="D643:O643" si="188">D45</f>
        <v>9.0200000000000002E-2</v>
      </c>
      <c r="E643" s="100">
        <f t="shared" si="188"/>
        <v>9.0200000000000002E-2</v>
      </c>
      <c r="F643" s="100">
        <f t="shared" si="188"/>
        <v>9.0200000000000002E-2</v>
      </c>
      <c r="G643" s="100">
        <f t="shared" si="188"/>
        <v>9.0200000000000002E-2</v>
      </c>
      <c r="H643" s="100">
        <f t="shared" si="188"/>
        <v>9.0200000000000002E-2</v>
      </c>
      <c r="I643" s="100">
        <f t="shared" si="188"/>
        <v>9.0200000000000002E-2</v>
      </c>
      <c r="J643" s="100">
        <f t="shared" si="188"/>
        <v>9.0200000000000002E-2</v>
      </c>
      <c r="K643" s="100">
        <f t="shared" si="188"/>
        <v>9.0200000000000002E-2</v>
      </c>
      <c r="L643" s="100">
        <f t="shared" si="188"/>
        <v>9.0200000000000002E-2</v>
      </c>
      <c r="M643" s="100">
        <f t="shared" si="188"/>
        <v>9.0200000000000002E-2</v>
      </c>
      <c r="N643" s="100">
        <f t="shared" si="188"/>
        <v>9.0200000000000002E-2</v>
      </c>
      <c r="O643" s="100">
        <f t="shared" si="188"/>
        <v>9.0200000000000002E-2</v>
      </c>
    </row>
    <row r="644" spans="1:16" x14ac:dyDescent="0.2">
      <c r="A644" s="68" t="s">
        <v>664</v>
      </c>
      <c r="C644" s="67"/>
      <c r="D644" s="90">
        <f t="shared" ref="D644:O644" si="189">D46</f>
        <v>7.7000000000000002E-3</v>
      </c>
      <c r="E644" s="90">
        <f t="shared" si="189"/>
        <v>6.8999999999999999E-3</v>
      </c>
      <c r="F644" s="90">
        <f t="shared" si="189"/>
        <v>7.7000000000000002E-3</v>
      </c>
      <c r="G644" s="90">
        <f t="shared" si="189"/>
        <v>7.4000000000000003E-3</v>
      </c>
      <c r="H644" s="90">
        <f t="shared" si="189"/>
        <v>7.7000000000000002E-3</v>
      </c>
      <c r="I644" s="90">
        <f t="shared" si="189"/>
        <v>7.4000000000000003E-3</v>
      </c>
      <c r="J644" s="90">
        <f t="shared" si="189"/>
        <v>7.7000000000000002E-3</v>
      </c>
      <c r="K644" s="90">
        <f t="shared" si="189"/>
        <v>7.7000000000000002E-3</v>
      </c>
      <c r="L644" s="90">
        <f t="shared" si="189"/>
        <v>7.4000000000000003E-3</v>
      </c>
      <c r="M644" s="90">
        <f t="shared" si="189"/>
        <v>7.7000000000000002E-3</v>
      </c>
      <c r="N644" s="90">
        <f t="shared" si="189"/>
        <v>7.4000000000000003E-3</v>
      </c>
      <c r="O644" s="90">
        <f t="shared" si="189"/>
        <v>7.7000000000000002E-3</v>
      </c>
    </row>
    <row r="645" spans="1:16" ht="12.75" customHeight="1" x14ac:dyDescent="0.2">
      <c r="A645" s="67"/>
      <c r="C645" s="67"/>
    </row>
    <row r="646" spans="1:16" x14ac:dyDescent="0.2">
      <c r="A646" s="66" t="s">
        <v>665</v>
      </c>
      <c r="C646" s="87"/>
      <c r="D646" s="75">
        <f>ROUND(C640*D644,0)</f>
        <v>0</v>
      </c>
      <c r="E646" s="75">
        <f>ROUND(D640*E644,0)</f>
        <v>0</v>
      </c>
      <c r="F646" s="75">
        <f t="shared" ref="F646:O646" si="190">ROUND(E640*F644,0)</f>
        <v>0</v>
      </c>
      <c r="G646" s="75">
        <f t="shared" si="190"/>
        <v>0</v>
      </c>
      <c r="H646" s="75">
        <f t="shared" si="190"/>
        <v>0</v>
      </c>
      <c r="I646" s="75">
        <f t="shared" si="190"/>
        <v>0</v>
      </c>
      <c r="J646" s="75">
        <f t="shared" si="190"/>
        <v>0</v>
      </c>
      <c r="K646" s="75">
        <f t="shared" si="190"/>
        <v>0</v>
      </c>
      <c r="L646" s="75">
        <f t="shared" si="190"/>
        <v>0</v>
      </c>
      <c r="M646" s="75">
        <f t="shared" si="190"/>
        <v>0</v>
      </c>
      <c r="N646" s="75">
        <f t="shared" si="190"/>
        <v>0</v>
      </c>
      <c r="O646" s="75">
        <f t="shared" si="190"/>
        <v>0</v>
      </c>
      <c r="P646" s="75">
        <f>SUM(D646:O646)</f>
        <v>0</v>
      </c>
    </row>
    <row r="647" spans="1:16" ht="6" customHeight="1" x14ac:dyDescent="0.2">
      <c r="A647" s="67"/>
      <c r="B647" s="756"/>
    </row>
    <row r="648" spans="1:16" x14ac:dyDescent="0.2">
      <c r="A648" s="66" t="s">
        <v>666</v>
      </c>
      <c r="B648" s="756"/>
      <c r="D648" s="70">
        <f>D646</f>
        <v>0</v>
      </c>
      <c r="E648" s="70">
        <f t="shared" ref="E648:O648" si="191">E646+D648</f>
        <v>0</v>
      </c>
      <c r="F648" s="70">
        <f t="shared" si="191"/>
        <v>0</v>
      </c>
      <c r="G648" s="70">
        <f t="shared" si="191"/>
        <v>0</v>
      </c>
      <c r="H648" s="70">
        <f t="shared" si="191"/>
        <v>0</v>
      </c>
      <c r="I648" s="70">
        <f t="shared" si="191"/>
        <v>0</v>
      </c>
      <c r="J648" s="70">
        <f t="shared" si="191"/>
        <v>0</v>
      </c>
      <c r="K648" s="70">
        <f t="shared" si="191"/>
        <v>0</v>
      </c>
      <c r="L648" s="70">
        <f t="shared" si="191"/>
        <v>0</v>
      </c>
      <c r="M648" s="70">
        <f t="shared" si="191"/>
        <v>0</v>
      </c>
      <c r="N648" s="70">
        <f t="shared" si="191"/>
        <v>0</v>
      </c>
      <c r="O648" s="70">
        <f t="shared" si="191"/>
        <v>0</v>
      </c>
    </row>
    <row r="655" spans="1:16" x14ac:dyDescent="0.2">
      <c r="A655" s="107"/>
    </row>
    <row r="656" spans="1:16" x14ac:dyDescent="0.2">
      <c r="A656" s="107"/>
    </row>
    <row r="657" spans="1:1" x14ac:dyDescent="0.2">
      <c r="A657" s="107"/>
    </row>
    <row r="658" spans="1:1" x14ac:dyDescent="0.2">
      <c r="A658" s="107"/>
    </row>
    <row r="659" spans="1:1" x14ac:dyDescent="0.2">
      <c r="A659" s="107"/>
    </row>
    <row r="660" spans="1:1" x14ac:dyDescent="0.2">
      <c r="A660" s="107"/>
    </row>
    <row r="661" spans="1:1" x14ac:dyDescent="0.2">
      <c r="A661" s="107"/>
    </row>
    <row r="662" spans="1:1" x14ac:dyDescent="0.2">
      <c r="A662" s="107"/>
    </row>
    <row r="663" spans="1:1" x14ac:dyDescent="0.2">
      <c r="A663" s="107"/>
    </row>
    <row r="664" spans="1:1" x14ac:dyDescent="0.2">
      <c r="A664" s="107"/>
    </row>
    <row r="665" spans="1:1" x14ac:dyDescent="0.2">
      <c r="A665" s="107"/>
    </row>
    <row r="668" spans="1:1" x14ac:dyDescent="0.2">
      <c r="A668" s="107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4294967292" r:id="rId1"/>
  <headerFooter alignWithMargins="0"/>
  <rowBreaks count="10" manualBreakCount="10">
    <brk id="51" max="65535" man="1"/>
    <brk id="120" max="65535" man="1"/>
    <brk id="151" max="65535" man="1"/>
    <brk id="203" max="65535" man="1"/>
    <brk id="256" max="65535" man="1"/>
    <brk id="317" max="65535" man="1"/>
    <brk id="382" max="65535" man="1"/>
    <brk id="454" max="65535" man="1"/>
    <brk id="518" max="65535" man="1"/>
    <brk id="570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0"/>
  <sheetViews>
    <sheetView showGridLines="0" topLeftCell="A29" workbookViewId="0">
      <pane xSplit="2" ySplit="2" topLeftCell="C31" activePane="bottomRight" state="frozen"/>
      <selection activeCell="A29" sqref="A29"/>
      <selection pane="topRight" activeCell="C29" sqref="C29"/>
      <selection pane="bottomLeft" activeCell="A31" sqref="A31"/>
      <selection pane="bottomRight" activeCell="C32" sqref="C32"/>
    </sheetView>
  </sheetViews>
  <sheetFormatPr defaultColWidth="10.7109375" defaultRowHeight="12.75" x14ac:dyDescent="0.2"/>
  <cols>
    <col min="1" max="1" width="45.7109375" style="109" customWidth="1"/>
    <col min="2" max="2" width="8.7109375" style="774" customWidth="1"/>
    <col min="3" max="14" width="8.7109375" style="109" customWidth="1"/>
    <col min="15" max="17" width="9.7109375" style="109" customWidth="1"/>
    <col min="18" max="16384" width="10.7109375" style="109"/>
  </cols>
  <sheetData>
    <row r="1" spans="1:18" x14ac:dyDescent="0.2">
      <c r="A1" s="548" t="str">
        <f ca="1">CELL("FILENAME")</f>
        <v>P:\Finance\2002 Plan\[EMTW02PL.XLS]IncomeState</v>
      </c>
    </row>
    <row r="2" spans="1:18" x14ac:dyDescent="0.2">
      <c r="A2" s="373" t="s">
        <v>634</v>
      </c>
      <c r="C2" s="110" t="s">
        <v>608</v>
      </c>
      <c r="D2" s="110" t="s">
        <v>608</v>
      </c>
      <c r="E2" s="110" t="s">
        <v>608</v>
      </c>
      <c r="F2" s="110" t="s">
        <v>608</v>
      </c>
      <c r="G2" s="485"/>
      <c r="H2" s="110" t="s">
        <v>608</v>
      </c>
      <c r="I2" s="111"/>
      <c r="J2" s="111"/>
      <c r="K2" s="111"/>
      <c r="L2" s="111"/>
      <c r="M2" s="111"/>
      <c r="N2" s="111"/>
      <c r="O2" s="112"/>
      <c r="P2" s="112"/>
      <c r="Q2" s="112"/>
      <c r="R2" s="112"/>
    </row>
    <row r="3" spans="1:18" x14ac:dyDescent="0.2">
      <c r="A3" s="551" t="str">
        <f>IncomeState!A3</f>
        <v>2002 OPERATING PLAN</v>
      </c>
      <c r="B3" s="775">
        <f ca="1">NOW()</f>
        <v>37189.6149224537</v>
      </c>
      <c r="C3" s="556" t="str">
        <f>DataBase!C2</f>
        <v>PLAN</v>
      </c>
      <c r="D3" s="556" t="str">
        <f>DataBase!D2</f>
        <v>PLAN</v>
      </c>
      <c r="E3" s="556" t="str">
        <f>DataBase!E2</f>
        <v>PLAN</v>
      </c>
      <c r="F3" s="556" t="str">
        <f>DataBase!F2</f>
        <v>PLAN</v>
      </c>
      <c r="G3" s="556" t="str">
        <f>DataBase!G2</f>
        <v>PLAN</v>
      </c>
      <c r="H3" s="556" t="str">
        <f>DataBase!H2</f>
        <v>PLAN</v>
      </c>
      <c r="I3" s="556" t="str">
        <f>DataBase!I2</f>
        <v>PLAN</v>
      </c>
      <c r="J3" s="556" t="str">
        <f>DataBase!J2</f>
        <v>PLAN</v>
      </c>
      <c r="K3" s="556" t="str">
        <f>DataBase!K2</f>
        <v>PLAN</v>
      </c>
      <c r="L3" s="556" t="str">
        <f>DataBase!L2</f>
        <v>PLAN</v>
      </c>
      <c r="M3" s="556" t="str">
        <f>DataBase!M2</f>
        <v>PLAN</v>
      </c>
      <c r="N3" s="556" t="str">
        <f>DataBase!N2</f>
        <v>PLAN</v>
      </c>
      <c r="O3" s="556" t="str">
        <f>DataBase!O2</f>
        <v>TOTAL</v>
      </c>
      <c r="P3" s="556" t="str">
        <f>IncomeState!P6</f>
        <v>FEB.</v>
      </c>
      <c r="Q3" s="556" t="str">
        <f>IncomeState!Q6</f>
        <v>ESTIMATE</v>
      </c>
      <c r="R3" s="112"/>
    </row>
    <row r="4" spans="1:18" x14ac:dyDescent="0.2">
      <c r="A4" s="114"/>
      <c r="B4" s="776">
        <f ca="1">NOW()</f>
        <v>37189.6149224537</v>
      </c>
      <c r="C4" s="374" t="s">
        <v>609</v>
      </c>
      <c r="D4" s="374" t="s">
        <v>610</v>
      </c>
      <c r="E4" s="374" t="s">
        <v>611</v>
      </c>
      <c r="F4" s="374" t="s">
        <v>612</v>
      </c>
      <c r="G4" s="374" t="s">
        <v>613</v>
      </c>
      <c r="H4" s="374" t="s">
        <v>614</v>
      </c>
      <c r="I4" s="374" t="s">
        <v>615</v>
      </c>
      <c r="J4" s="374" t="s">
        <v>616</v>
      </c>
      <c r="K4" s="374" t="s">
        <v>617</v>
      </c>
      <c r="L4" s="374" t="s">
        <v>618</v>
      </c>
      <c r="M4" s="374" t="s">
        <v>619</v>
      </c>
      <c r="N4" s="374" t="s">
        <v>620</v>
      </c>
      <c r="O4" s="557">
        <f>DataBase!O3</f>
        <v>2002</v>
      </c>
      <c r="P4" s="557" t="str">
        <f>IncomeState!P7</f>
        <v>Y-T-D</v>
      </c>
      <c r="Q4" s="557" t="str">
        <f>IncomeState!Q7</f>
        <v>R.M.</v>
      </c>
      <c r="R4" s="116"/>
    </row>
    <row r="5" spans="1:18" ht="3.95" customHeight="1" x14ac:dyDescent="0.2"/>
    <row r="6" spans="1:18" x14ac:dyDescent="0.2">
      <c r="A6" s="376" t="s">
        <v>884</v>
      </c>
    </row>
    <row r="7" spans="1:18" ht="3.95" customHeight="1" x14ac:dyDescent="0.2">
      <c r="A7" s="117"/>
    </row>
    <row r="8" spans="1:18" x14ac:dyDescent="0.2">
      <c r="A8" s="253" t="s">
        <v>388</v>
      </c>
      <c r="C8" s="503">
        <v>8.5000000000000006E-3</v>
      </c>
      <c r="D8" s="503">
        <v>8.5000000000000006E-3</v>
      </c>
      <c r="E8" s="503">
        <v>8.5000000000000006E-3</v>
      </c>
      <c r="F8" s="503">
        <v>8.5000000000000006E-3</v>
      </c>
      <c r="G8" s="503">
        <v>8.5000000000000006E-3</v>
      </c>
      <c r="H8" s="503">
        <v>8.5000000000000006E-3</v>
      </c>
      <c r="I8" s="503">
        <v>8.5000000000000006E-3</v>
      </c>
      <c r="J8" s="503">
        <v>8.5000000000000006E-3</v>
      </c>
      <c r="K8" s="503">
        <v>8.5000000000000006E-3</v>
      </c>
      <c r="L8" s="503">
        <v>8.5000000000000006E-3</v>
      </c>
      <c r="M8" s="503">
        <v>8.5000000000000006E-3</v>
      </c>
      <c r="N8" s="503">
        <v>8.5000000000000006E-3</v>
      </c>
      <c r="O8" s="118"/>
      <c r="P8" s="119"/>
      <c r="Q8" s="118"/>
      <c r="R8" s="117"/>
    </row>
    <row r="9" spans="1:18" ht="3.95" customHeight="1" x14ac:dyDescent="0.2">
      <c r="A9" s="117"/>
      <c r="C9" s="504"/>
      <c r="D9" s="504"/>
      <c r="E9" s="504"/>
      <c r="F9" s="504"/>
      <c r="G9" s="504"/>
      <c r="H9" s="504"/>
      <c r="I9" s="504"/>
      <c r="J9" s="504"/>
      <c r="K9" s="504"/>
      <c r="L9" s="504"/>
      <c r="M9" s="504"/>
      <c r="N9" s="504"/>
    </row>
    <row r="10" spans="1:18" x14ac:dyDescent="0.2">
      <c r="A10" s="253" t="s">
        <v>1045</v>
      </c>
      <c r="C10" s="491">
        <v>0</v>
      </c>
      <c r="D10" s="491">
        <v>0</v>
      </c>
      <c r="E10" s="491">
        <v>0</v>
      </c>
      <c r="F10" s="491">
        <v>0</v>
      </c>
      <c r="G10" s="491">
        <v>0</v>
      </c>
      <c r="H10" s="491">
        <v>0</v>
      </c>
      <c r="I10" s="491">
        <v>0</v>
      </c>
      <c r="J10" s="491">
        <v>0</v>
      </c>
      <c r="K10" s="491">
        <v>0</v>
      </c>
      <c r="L10" s="491">
        <v>0</v>
      </c>
      <c r="M10" s="491">
        <v>0</v>
      </c>
      <c r="N10" s="491">
        <v>0</v>
      </c>
      <c r="O10" s="118">
        <f>SUM(C10:N10)</f>
        <v>0</v>
      </c>
      <c r="P10" s="119">
        <f>SUM(C10:D10)</f>
        <v>0</v>
      </c>
      <c r="Q10" s="118">
        <f>(O10-P10)</f>
        <v>0</v>
      </c>
    </row>
    <row r="11" spans="1:18" x14ac:dyDescent="0.2">
      <c r="A11" s="253" t="s">
        <v>953</v>
      </c>
      <c r="C11" s="505">
        <v>0.82799999999999996</v>
      </c>
      <c r="D11" s="505">
        <v>0.879</v>
      </c>
      <c r="E11" s="505">
        <v>0.879</v>
      </c>
      <c r="F11" s="505">
        <v>0.879</v>
      </c>
      <c r="G11" s="505">
        <v>0.879</v>
      </c>
      <c r="H11" s="505">
        <v>0.879</v>
      </c>
      <c r="I11" s="505">
        <v>0.879</v>
      </c>
      <c r="J11" s="505">
        <v>0.879</v>
      </c>
      <c r="K11" s="505">
        <v>0.879</v>
      </c>
      <c r="L11" s="505">
        <v>0.879</v>
      </c>
      <c r="M11" s="505">
        <v>0.879</v>
      </c>
      <c r="N11" s="505">
        <v>0.879</v>
      </c>
      <c r="O11" s="118"/>
      <c r="P11" s="119"/>
      <c r="Q11" s="118"/>
    </row>
    <row r="12" spans="1:18" x14ac:dyDescent="0.2">
      <c r="A12" s="253" t="s">
        <v>885</v>
      </c>
      <c r="C12" s="506">
        <f t="shared" ref="C12:N12" si="0">ROUND((+C10*C11),0)</f>
        <v>0</v>
      </c>
      <c r="D12" s="506">
        <f t="shared" si="0"/>
        <v>0</v>
      </c>
      <c r="E12" s="506">
        <f t="shared" si="0"/>
        <v>0</v>
      </c>
      <c r="F12" s="506">
        <f t="shared" si="0"/>
        <v>0</v>
      </c>
      <c r="G12" s="506">
        <f t="shared" si="0"/>
        <v>0</v>
      </c>
      <c r="H12" s="506">
        <f t="shared" si="0"/>
        <v>0</v>
      </c>
      <c r="I12" s="506">
        <f t="shared" si="0"/>
        <v>0</v>
      </c>
      <c r="J12" s="506">
        <f t="shared" si="0"/>
        <v>0</v>
      </c>
      <c r="K12" s="506">
        <f t="shared" si="0"/>
        <v>0</v>
      </c>
      <c r="L12" s="506">
        <f t="shared" si="0"/>
        <v>0</v>
      </c>
      <c r="M12" s="506">
        <f t="shared" si="0"/>
        <v>0</v>
      </c>
      <c r="N12" s="506">
        <f t="shared" si="0"/>
        <v>0</v>
      </c>
      <c r="O12" s="118">
        <f>SUM(C12:N12)</f>
        <v>0</v>
      </c>
      <c r="P12" s="119">
        <f>SUM(C12:D12)</f>
        <v>0</v>
      </c>
      <c r="Q12" s="118">
        <f>(O12-P12)</f>
        <v>0</v>
      </c>
    </row>
    <row r="13" spans="1:18" ht="6" customHeight="1" x14ac:dyDescent="0.2">
      <c r="A13" s="117"/>
      <c r="C13" s="504"/>
      <c r="D13" s="504"/>
      <c r="E13" s="504"/>
      <c r="F13" s="504"/>
      <c r="G13" s="504"/>
      <c r="H13" s="504"/>
      <c r="I13" s="504"/>
      <c r="J13" s="504"/>
      <c r="K13" s="504"/>
      <c r="L13" s="504"/>
      <c r="M13" s="504"/>
      <c r="N13" s="504"/>
    </row>
    <row r="14" spans="1:18" x14ac:dyDescent="0.2">
      <c r="A14" s="253" t="s">
        <v>1046</v>
      </c>
      <c r="C14" s="491">
        <v>0</v>
      </c>
      <c r="D14" s="491">
        <v>0</v>
      </c>
      <c r="E14" s="491">
        <v>0</v>
      </c>
      <c r="F14" s="491">
        <v>0</v>
      </c>
      <c r="G14" s="491">
        <v>0</v>
      </c>
      <c r="H14" s="491">
        <v>0</v>
      </c>
      <c r="I14" s="491">
        <v>0</v>
      </c>
      <c r="J14" s="491">
        <v>0</v>
      </c>
      <c r="K14" s="491">
        <v>0</v>
      </c>
      <c r="L14" s="491">
        <v>0</v>
      </c>
      <c r="M14" s="491">
        <v>0</v>
      </c>
      <c r="N14" s="491">
        <v>0</v>
      </c>
      <c r="O14" s="118">
        <f>SUM(C14:N14)</f>
        <v>0</v>
      </c>
      <c r="P14" s="119">
        <f>SUM(C14:D14)</f>
        <v>0</v>
      </c>
      <c r="Q14" s="118">
        <f>(O14-P14)</f>
        <v>0</v>
      </c>
    </row>
    <row r="15" spans="1:18" x14ac:dyDescent="0.2">
      <c r="A15" s="377" t="str">
        <f>A11</f>
        <v xml:space="preserve">          Full Margin % Factor</v>
      </c>
      <c r="C15" s="505">
        <v>0</v>
      </c>
      <c r="D15" s="505">
        <f t="shared" ref="D15:N15" si="1">C15</f>
        <v>0</v>
      </c>
      <c r="E15" s="505">
        <f t="shared" si="1"/>
        <v>0</v>
      </c>
      <c r="F15" s="505">
        <f t="shared" si="1"/>
        <v>0</v>
      </c>
      <c r="G15" s="505">
        <f t="shared" si="1"/>
        <v>0</v>
      </c>
      <c r="H15" s="505">
        <f t="shared" si="1"/>
        <v>0</v>
      </c>
      <c r="I15" s="505">
        <f t="shared" si="1"/>
        <v>0</v>
      </c>
      <c r="J15" s="505">
        <f t="shared" si="1"/>
        <v>0</v>
      </c>
      <c r="K15" s="505">
        <f t="shared" si="1"/>
        <v>0</v>
      </c>
      <c r="L15" s="505">
        <f t="shared" si="1"/>
        <v>0</v>
      </c>
      <c r="M15" s="505">
        <f t="shared" si="1"/>
        <v>0</v>
      </c>
      <c r="N15" s="505">
        <f t="shared" si="1"/>
        <v>0</v>
      </c>
      <c r="O15" s="118"/>
      <c r="P15" s="119"/>
      <c r="Q15" s="118"/>
    </row>
    <row r="16" spans="1:18" x14ac:dyDescent="0.2">
      <c r="A16" s="253" t="s">
        <v>886</v>
      </c>
      <c r="C16" s="506">
        <f t="shared" ref="C16:N16" si="2">ROUND((+C14*C15),0)</f>
        <v>0</v>
      </c>
      <c r="D16" s="506">
        <f t="shared" si="2"/>
        <v>0</v>
      </c>
      <c r="E16" s="506">
        <f t="shared" si="2"/>
        <v>0</v>
      </c>
      <c r="F16" s="506">
        <f t="shared" si="2"/>
        <v>0</v>
      </c>
      <c r="G16" s="506">
        <f t="shared" si="2"/>
        <v>0</v>
      </c>
      <c r="H16" s="506">
        <f t="shared" si="2"/>
        <v>0</v>
      </c>
      <c r="I16" s="506">
        <f t="shared" si="2"/>
        <v>0</v>
      </c>
      <c r="J16" s="506">
        <f t="shared" si="2"/>
        <v>0</v>
      </c>
      <c r="K16" s="506">
        <f t="shared" si="2"/>
        <v>0</v>
      </c>
      <c r="L16" s="506">
        <f t="shared" si="2"/>
        <v>0</v>
      </c>
      <c r="M16" s="506">
        <f t="shared" si="2"/>
        <v>0</v>
      </c>
      <c r="N16" s="506">
        <f t="shared" si="2"/>
        <v>0</v>
      </c>
      <c r="O16" s="118">
        <f>SUM(C16:N16)</f>
        <v>0</v>
      </c>
      <c r="P16" s="119">
        <f>SUM(C16:D16)</f>
        <v>0</v>
      </c>
      <c r="Q16" s="118">
        <f>(O16-P16)</f>
        <v>0</v>
      </c>
    </row>
    <row r="17" spans="1:21" ht="6" customHeight="1" x14ac:dyDescent="0.2">
      <c r="A17" s="117"/>
      <c r="C17" s="504"/>
      <c r="D17" s="504"/>
      <c r="E17" s="504"/>
      <c r="F17" s="504"/>
      <c r="G17" s="504"/>
      <c r="H17" s="504"/>
      <c r="I17" s="504"/>
      <c r="J17" s="504"/>
      <c r="K17" s="504"/>
      <c r="L17" s="504"/>
      <c r="M17" s="504"/>
      <c r="N17" s="504"/>
    </row>
    <row r="18" spans="1:21" x14ac:dyDescent="0.2">
      <c r="A18" s="253" t="s">
        <v>887</v>
      </c>
      <c r="C18" s="506">
        <f t="shared" ref="C18:N18" si="3">ROUND(C8*C12,0)</f>
        <v>0</v>
      </c>
      <c r="D18" s="506">
        <f t="shared" si="3"/>
        <v>0</v>
      </c>
      <c r="E18" s="506">
        <f t="shared" si="3"/>
        <v>0</v>
      </c>
      <c r="F18" s="506">
        <f t="shared" si="3"/>
        <v>0</v>
      </c>
      <c r="G18" s="506">
        <f t="shared" si="3"/>
        <v>0</v>
      </c>
      <c r="H18" s="506">
        <f t="shared" si="3"/>
        <v>0</v>
      </c>
      <c r="I18" s="506">
        <f>ROUND(I8*I12,0)</f>
        <v>0</v>
      </c>
      <c r="J18" s="506">
        <f t="shared" si="3"/>
        <v>0</v>
      </c>
      <c r="K18" s="506">
        <f t="shared" si="3"/>
        <v>0</v>
      </c>
      <c r="L18" s="506">
        <f t="shared" si="3"/>
        <v>0</v>
      </c>
      <c r="M18" s="506">
        <f t="shared" si="3"/>
        <v>0</v>
      </c>
      <c r="N18" s="506">
        <f t="shared" si="3"/>
        <v>0</v>
      </c>
      <c r="O18" s="118">
        <f>SUM(C18:N18)</f>
        <v>0</v>
      </c>
      <c r="P18" s="119">
        <f>SUM(C18:D18)</f>
        <v>0</v>
      </c>
      <c r="Q18" s="118">
        <f>(O18-P18)</f>
        <v>0</v>
      </c>
    </row>
    <row r="19" spans="1:21" x14ac:dyDescent="0.2">
      <c r="A19" s="253" t="s">
        <v>888</v>
      </c>
      <c r="C19" s="649">
        <f t="shared" ref="C19:N19" si="4">ROUND(C8*C16,0)</f>
        <v>0</v>
      </c>
      <c r="D19" s="649">
        <f t="shared" si="4"/>
        <v>0</v>
      </c>
      <c r="E19" s="649">
        <f t="shared" si="4"/>
        <v>0</v>
      </c>
      <c r="F19" s="649">
        <f t="shared" si="4"/>
        <v>0</v>
      </c>
      <c r="G19" s="649">
        <f t="shared" si="4"/>
        <v>0</v>
      </c>
      <c r="H19" s="649">
        <f t="shared" si="4"/>
        <v>0</v>
      </c>
      <c r="I19" s="649">
        <f t="shared" si="4"/>
        <v>0</v>
      </c>
      <c r="J19" s="649">
        <f t="shared" si="4"/>
        <v>0</v>
      </c>
      <c r="K19" s="649">
        <f t="shared" si="4"/>
        <v>0</v>
      </c>
      <c r="L19" s="649">
        <f t="shared" si="4"/>
        <v>0</v>
      </c>
      <c r="M19" s="649">
        <f t="shared" si="4"/>
        <v>0</v>
      </c>
      <c r="N19" s="649">
        <f t="shared" si="4"/>
        <v>0</v>
      </c>
      <c r="O19" s="120">
        <f>SUM(C19:N19)</f>
        <v>0</v>
      </c>
      <c r="P19" s="259">
        <f>SUM(C19:D19)</f>
        <v>0</v>
      </c>
      <c r="Q19" s="120">
        <f>(O19-P19)</f>
        <v>0</v>
      </c>
    </row>
    <row r="20" spans="1:21" ht="3.95" customHeight="1" x14ac:dyDescent="0.2">
      <c r="A20" s="117"/>
      <c r="C20" s="504"/>
      <c r="D20" s="504"/>
      <c r="E20" s="504"/>
      <c r="F20" s="504"/>
      <c r="G20" s="504"/>
      <c r="H20" s="504"/>
      <c r="I20" s="504"/>
      <c r="J20" s="504"/>
      <c r="K20" s="504"/>
      <c r="L20" s="504"/>
      <c r="M20" s="504"/>
      <c r="N20" s="504"/>
      <c r="P20" s="119"/>
    </row>
    <row r="21" spans="1:21" x14ac:dyDescent="0.2">
      <c r="A21" s="378" t="s">
        <v>889</v>
      </c>
      <c r="B21" s="777"/>
      <c r="C21" s="649">
        <f t="shared" ref="C21:N21" si="5">SUM(C18:C19)</f>
        <v>0</v>
      </c>
      <c r="D21" s="649">
        <f t="shared" si="5"/>
        <v>0</v>
      </c>
      <c r="E21" s="649">
        <f t="shared" si="5"/>
        <v>0</v>
      </c>
      <c r="F21" s="649">
        <f t="shared" si="5"/>
        <v>0</v>
      </c>
      <c r="G21" s="649">
        <f t="shared" si="5"/>
        <v>0</v>
      </c>
      <c r="H21" s="649">
        <f t="shared" si="5"/>
        <v>0</v>
      </c>
      <c r="I21" s="649">
        <f t="shared" si="5"/>
        <v>0</v>
      </c>
      <c r="J21" s="649">
        <f t="shared" si="5"/>
        <v>0</v>
      </c>
      <c r="K21" s="649">
        <f t="shared" si="5"/>
        <v>0</v>
      </c>
      <c r="L21" s="649">
        <f t="shared" si="5"/>
        <v>0</v>
      </c>
      <c r="M21" s="649">
        <f t="shared" si="5"/>
        <v>0</v>
      </c>
      <c r="N21" s="649">
        <f t="shared" si="5"/>
        <v>0</v>
      </c>
      <c r="O21" s="120">
        <f>SUM(C21:N21)</f>
        <v>0</v>
      </c>
      <c r="P21" s="120">
        <f>SUM(P18:P19)</f>
        <v>0</v>
      </c>
      <c r="Q21" s="120">
        <f>(O21-P21)</f>
        <v>0</v>
      </c>
    </row>
    <row r="22" spans="1:21" ht="6" customHeight="1" x14ac:dyDescent="0.2">
      <c r="A22" s="117"/>
      <c r="C22" s="504"/>
      <c r="D22" s="504"/>
      <c r="E22" s="504"/>
      <c r="F22" s="504"/>
      <c r="G22" s="504"/>
      <c r="H22" s="504"/>
      <c r="I22" s="504"/>
      <c r="J22" s="504"/>
      <c r="K22" s="504"/>
      <c r="L22" s="504"/>
      <c r="M22" s="504"/>
      <c r="N22" s="504"/>
    </row>
    <row r="23" spans="1:21" x14ac:dyDescent="0.2">
      <c r="A23" s="253" t="s">
        <v>1047</v>
      </c>
      <c r="C23" s="827">
        <v>0</v>
      </c>
      <c r="D23" s="827">
        <v>0</v>
      </c>
      <c r="E23" s="827">
        <v>0</v>
      </c>
      <c r="F23" s="827">
        <v>0</v>
      </c>
      <c r="G23" s="827">
        <v>0</v>
      </c>
      <c r="H23" s="827">
        <v>0</v>
      </c>
      <c r="I23" s="827">
        <v>0</v>
      </c>
      <c r="J23" s="827">
        <v>0</v>
      </c>
      <c r="K23" s="827">
        <v>0</v>
      </c>
      <c r="L23" s="827">
        <v>0</v>
      </c>
      <c r="M23" s="827">
        <v>0</v>
      </c>
      <c r="N23" s="827">
        <v>0</v>
      </c>
      <c r="O23" s="120">
        <f>SUM(C23:N23)</f>
        <v>0</v>
      </c>
      <c r="P23" s="259">
        <f>SUM(C23:D23)</f>
        <v>0</v>
      </c>
      <c r="Q23" s="120">
        <f>(O23-P23)</f>
        <v>0</v>
      </c>
    </row>
    <row r="24" spans="1:21" ht="6" customHeight="1" x14ac:dyDescent="0.2">
      <c r="A24" s="117"/>
      <c r="C24" s="504"/>
      <c r="D24" s="504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P24" s="119"/>
    </row>
    <row r="25" spans="1:21" x14ac:dyDescent="0.2">
      <c r="A25" s="376" t="s">
        <v>890</v>
      </c>
      <c r="B25" s="778"/>
      <c r="C25" s="650">
        <f>C21+C23</f>
        <v>0</v>
      </c>
      <c r="D25" s="650">
        <f t="shared" ref="D25:Q25" si="6">D21+D23</f>
        <v>0</v>
      </c>
      <c r="E25" s="650">
        <f t="shared" si="6"/>
        <v>0</v>
      </c>
      <c r="F25" s="650">
        <f t="shared" si="6"/>
        <v>0</v>
      </c>
      <c r="G25" s="650">
        <f t="shared" si="6"/>
        <v>0</v>
      </c>
      <c r="H25" s="650">
        <f t="shared" si="6"/>
        <v>0</v>
      </c>
      <c r="I25" s="650">
        <f t="shared" si="6"/>
        <v>0</v>
      </c>
      <c r="J25" s="650">
        <f t="shared" si="6"/>
        <v>0</v>
      </c>
      <c r="K25" s="650">
        <f t="shared" si="6"/>
        <v>0</v>
      </c>
      <c r="L25" s="650">
        <f t="shared" si="6"/>
        <v>0</v>
      </c>
      <c r="M25" s="650">
        <f t="shared" si="6"/>
        <v>0</v>
      </c>
      <c r="N25" s="650">
        <f t="shared" si="6"/>
        <v>0</v>
      </c>
      <c r="O25" s="650">
        <f t="shared" si="6"/>
        <v>0</v>
      </c>
      <c r="P25" s="650">
        <f t="shared" si="6"/>
        <v>0</v>
      </c>
      <c r="Q25" s="650">
        <f t="shared" si="6"/>
        <v>0</v>
      </c>
      <c r="R25" s="112"/>
      <c r="S25" s="112"/>
      <c r="T25" s="112"/>
      <c r="U25" s="112"/>
    </row>
    <row r="26" spans="1:21" ht="12.75" customHeight="1" x14ac:dyDescent="0.2"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P26" s="117"/>
    </row>
    <row r="27" spans="1:21" ht="6" customHeight="1" x14ac:dyDescent="0.2">
      <c r="A27" s="832"/>
      <c r="B27" s="833"/>
      <c r="C27" s="834"/>
      <c r="D27" s="834"/>
      <c r="E27" s="834"/>
      <c r="F27" s="834"/>
      <c r="G27" s="834"/>
      <c r="H27" s="834"/>
      <c r="I27" s="834"/>
      <c r="J27" s="834"/>
      <c r="K27" s="834"/>
      <c r="L27" s="834"/>
      <c r="M27" s="834"/>
      <c r="N27" s="834"/>
      <c r="O27" s="834"/>
      <c r="P27" s="834"/>
      <c r="Q27" s="834"/>
    </row>
    <row r="28" spans="1:21" ht="12.75" customHeight="1" x14ac:dyDescent="0.2"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P28" s="117"/>
    </row>
    <row r="29" spans="1:21" ht="14.25" customHeight="1" x14ac:dyDescent="0.2">
      <c r="A29" s="111"/>
      <c r="B29" s="778"/>
      <c r="C29" s="113" t="str">
        <f t="shared" ref="C29:Q29" si="7">C3</f>
        <v>PLAN</v>
      </c>
      <c r="D29" s="113" t="str">
        <f t="shared" si="7"/>
        <v>PLAN</v>
      </c>
      <c r="E29" s="113" t="str">
        <f t="shared" si="7"/>
        <v>PLAN</v>
      </c>
      <c r="F29" s="113" t="str">
        <f t="shared" si="7"/>
        <v>PLAN</v>
      </c>
      <c r="G29" s="113" t="str">
        <f t="shared" si="7"/>
        <v>PLAN</v>
      </c>
      <c r="H29" s="113" t="str">
        <f t="shared" si="7"/>
        <v>PLAN</v>
      </c>
      <c r="I29" s="113" t="str">
        <f t="shared" si="7"/>
        <v>PLAN</v>
      </c>
      <c r="J29" s="113" t="str">
        <f t="shared" si="7"/>
        <v>PLAN</v>
      </c>
      <c r="K29" s="113" t="str">
        <f t="shared" si="7"/>
        <v>PLAN</v>
      </c>
      <c r="L29" s="113" t="str">
        <f t="shared" si="7"/>
        <v>PLAN</v>
      </c>
      <c r="M29" s="113" t="str">
        <f t="shared" si="7"/>
        <v>PLAN</v>
      </c>
      <c r="N29" s="113" t="str">
        <f t="shared" si="7"/>
        <v>PLAN</v>
      </c>
      <c r="O29" s="113" t="str">
        <f t="shared" si="7"/>
        <v>TOTAL</v>
      </c>
      <c r="P29" s="113" t="str">
        <f t="shared" si="7"/>
        <v>FEB.</v>
      </c>
      <c r="Q29" s="113" t="str">
        <f t="shared" si="7"/>
        <v>ESTIMATE</v>
      </c>
      <c r="R29" s="112"/>
      <c r="S29" s="112"/>
    </row>
    <row r="30" spans="1:21" x14ac:dyDescent="0.2">
      <c r="A30" s="111"/>
      <c r="B30" s="778"/>
      <c r="C30" s="115" t="str">
        <f t="shared" ref="C30:Q30" si="8">C4</f>
        <v>JAN</v>
      </c>
      <c r="D30" s="115" t="str">
        <f t="shared" si="8"/>
        <v>FEB</v>
      </c>
      <c r="E30" s="115" t="str">
        <f t="shared" si="8"/>
        <v>MAR</v>
      </c>
      <c r="F30" s="115" t="str">
        <f t="shared" si="8"/>
        <v>APR</v>
      </c>
      <c r="G30" s="115" t="str">
        <f t="shared" si="8"/>
        <v>MAY</v>
      </c>
      <c r="H30" s="115" t="str">
        <f t="shared" si="8"/>
        <v>JUN</v>
      </c>
      <c r="I30" s="115" t="str">
        <f t="shared" si="8"/>
        <v>JUL</v>
      </c>
      <c r="J30" s="115" t="str">
        <f t="shared" si="8"/>
        <v>AUG</v>
      </c>
      <c r="K30" s="115" t="str">
        <f t="shared" si="8"/>
        <v>SEP</v>
      </c>
      <c r="L30" s="115" t="str">
        <f t="shared" si="8"/>
        <v>OCT</v>
      </c>
      <c r="M30" s="115" t="str">
        <f t="shared" si="8"/>
        <v>NOV</v>
      </c>
      <c r="N30" s="115" t="str">
        <f t="shared" si="8"/>
        <v>DEC</v>
      </c>
      <c r="O30" s="115">
        <f t="shared" si="8"/>
        <v>2002</v>
      </c>
      <c r="P30" s="115" t="str">
        <f t="shared" si="8"/>
        <v>Y-T-D</v>
      </c>
      <c r="Q30" s="115" t="str">
        <f t="shared" si="8"/>
        <v>R.M.</v>
      </c>
      <c r="R30" s="112"/>
      <c r="S30" s="112"/>
    </row>
    <row r="31" spans="1:21" x14ac:dyDescent="0.2">
      <c r="A31" s="375" t="s">
        <v>891</v>
      </c>
    </row>
    <row r="32" spans="1:21" x14ac:dyDescent="0.2">
      <c r="A32" s="497" t="s">
        <v>957</v>
      </c>
      <c r="B32" s="843" t="s">
        <v>1050</v>
      </c>
      <c r="C32" s="985">
        <f>-DataBase!C59</f>
        <v>10</v>
      </c>
      <c r="D32" s="985">
        <f>-DataBase!D59</f>
        <v>10</v>
      </c>
      <c r="E32" s="985">
        <f>-DataBase!E59</f>
        <v>10</v>
      </c>
      <c r="F32" s="985">
        <f>-DataBase!F59</f>
        <v>10</v>
      </c>
      <c r="G32" s="985">
        <f>-DataBase!G59</f>
        <v>10</v>
      </c>
      <c r="H32" s="985">
        <f>-DataBase!H59</f>
        <v>10</v>
      </c>
      <c r="I32" s="985">
        <f>-DataBase!I59</f>
        <v>10</v>
      </c>
      <c r="J32" s="985">
        <f>-DataBase!J59</f>
        <v>10</v>
      </c>
      <c r="K32" s="985">
        <f>-DataBase!K59</f>
        <v>10</v>
      </c>
      <c r="L32" s="985">
        <f>-DataBase!L59</f>
        <v>10</v>
      </c>
      <c r="M32" s="985">
        <f>-DataBase!M59</f>
        <v>10</v>
      </c>
      <c r="N32" s="985">
        <f>-DataBase!N59</f>
        <v>10</v>
      </c>
      <c r="O32" s="118">
        <f>SUM(C32:N32)</f>
        <v>120</v>
      </c>
      <c r="P32" s="119">
        <f>SUM(C32:D32)</f>
        <v>20</v>
      </c>
      <c r="Q32" s="118">
        <f>(O32-P32)</f>
        <v>100</v>
      </c>
    </row>
    <row r="33" spans="1:17" x14ac:dyDescent="0.2">
      <c r="A33" s="253" t="s">
        <v>956</v>
      </c>
      <c r="B33" s="843" t="s">
        <v>1050</v>
      </c>
      <c r="C33" s="985">
        <f>-DataBase!C60</f>
        <v>109</v>
      </c>
      <c r="D33" s="985">
        <f>-DataBase!D60</f>
        <v>109</v>
      </c>
      <c r="E33" s="985">
        <f>-DataBase!E60</f>
        <v>109</v>
      </c>
      <c r="F33" s="985">
        <f>-DataBase!F60</f>
        <v>109</v>
      </c>
      <c r="G33" s="985">
        <f>-DataBase!G60</f>
        <v>109</v>
      </c>
      <c r="H33" s="985">
        <f>-DataBase!H60</f>
        <v>109</v>
      </c>
      <c r="I33" s="985">
        <f>-DataBase!I60</f>
        <v>109</v>
      </c>
      <c r="J33" s="985">
        <f>-DataBase!J60</f>
        <v>109</v>
      </c>
      <c r="K33" s="985">
        <f>-DataBase!K60</f>
        <v>109</v>
      </c>
      <c r="L33" s="985">
        <f>-DataBase!L60</f>
        <v>116</v>
      </c>
      <c r="M33" s="985">
        <f>-DataBase!M60</f>
        <v>117</v>
      </c>
      <c r="N33" s="985">
        <f>-DataBase!N60</f>
        <v>117</v>
      </c>
      <c r="O33" s="118">
        <f>SUM(C33:N33)</f>
        <v>1331</v>
      </c>
      <c r="P33" s="119">
        <f t="shared" ref="P33:P54" si="9">SUM(C33:D33)</f>
        <v>218</v>
      </c>
      <c r="Q33" s="118">
        <f>(O33-P33)</f>
        <v>1113</v>
      </c>
    </row>
    <row r="34" spans="1:17" x14ac:dyDescent="0.2">
      <c r="A34" s="497" t="s">
        <v>955</v>
      </c>
      <c r="C34" s="985">
        <f>-DataBase!C61</f>
        <v>136</v>
      </c>
      <c r="D34" s="985">
        <f>-DataBase!D61</f>
        <v>120</v>
      </c>
      <c r="E34" s="985">
        <f>-DataBase!E61</f>
        <v>133</v>
      </c>
      <c r="F34" s="985">
        <f>-DataBase!F61</f>
        <v>129</v>
      </c>
      <c r="G34" s="985">
        <f>-DataBase!G61</f>
        <v>132</v>
      </c>
      <c r="H34" s="985">
        <f>-DataBase!H61</f>
        <v>130</v>
      </c>
      <c r="I34" s="985">
        <f>-DataBase!I61</f>
        <v>129</v>
      </c>
      <c r="J34" s="985">
        <f>-DataBase!J61</f>
        <v>136</v>
      </c>
      <c r="K34" s="985">
        <f>-DataBase!K61</f>
        <v>137</v>
      </c>
      <c r="L34" s="985">
        <f>-DataBase!L61</f>
        <v>130</v>
      </c>
      <c r="M34" s="985">
        <f>-DataBase!M61</f>
        <v>116</v>
      </c>
      <c r="N34" s="985">
        <f>-DataBase!N61</f>
        <v>126</v>
      </c>
      <c r="O34" s="118">
        <f>SUM(C34:N34)</f>
        <v>1554</v>
      </c>
      <c r="P34" s="119">
        <f t="shared" si="9"/>
        <v>256</v>
      </c>
      <c r="Q34" s="118">
        <f t="shared" ref="Q34:Q43" si="10">(O34-P34)</f>
        <v>1298</v>
      </c>
    </row>
    <row r="35" spans="1:17" x14ac:dyDescent="0.2">
      <c r="A35" s="378" t="s">
        <v>892</v>
      </c>
      <c r="B35" s="777"/>
      <c r="C35" s="985">
        <f>-DataBase!C62</f>
        <v>0</v>
      </c>
      <c r="D35" s="985">
        <f>-DataBase!D62</f>
        <v>0</v>
      </c>
      <c r="E35" s="985">
        <f>-DataBase!E62</f>
        <v>0</v>
      </c>
      <c r="F35" s="985">
        <f>-DataBase!F62</f>
        <v>0</v>
      </c>
      <c r="G35" s="985">
        <f>-DataBase!G62</f>
        <v>0</v>
      </c>
      <c r="H35" s="985">
        <f>-DataBase!H62</f>
        <v>0</v>
      </c>
      <c r="I35" s="985">
        <f>-DataBase!I62</f>
        <v>0</v>
      </c>
      <c r="J35" s="985">
        <f>-DataBase!J62</f>
        <v>0</v>
      </c>
      <c r="K35" s="985">
        <f>-DataBase!K62</f>
        <v>0</v>
      </c>
      <c r="L35" s="985">
        <f>-DataBase!L62</f>
        <v>0</v>
      </c>
      <c r="M35" s="985">
        <f>-DataBase!M62</f>
        <v>0</v>
      </c>
      <c r="N35" s="985">
        <f>-DataBase!N62</f>
        <v>0</v>
      </c>
      <c r="O35" s="118">
        <f t="shared" ref="O35:O43" si="11">SUM(C35:N35)</f>
        <v>0</v>
      </c>
      <c r="P35" s="119">
        <f t="shared" si="9"/>
        <v>0</v>
      </c>
      <c r="Q35" s="118">
        <f t="shared" si="10"/>
        <v>0</v>
      </c>
    </row>
    <row r="36" spans="1:17" x14ac:dyDescent="0.2">
      <c r="A36" s="253" t="s">
        <v>598</v>
      </c>
      <c r="C36" s="119">
        <v>0</v>
      </c>
      <c r="D36" s="119">
        <v>0</v>
      </c>
      <c r="E36" s="119">
        <v>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8">
        <f t="shared" si="11"/>
        <v>0</v>
      </c>
      <c r="P36" s="119">
        <f t="shared" si="9"/>
        <v>0</v>
      </c>
      <c r="Q36" s="118">
        <f t="shared" si="10"/>
        <v>0</v>
      </c>
    </row>
    <row r="37" spans="1:17" x14ac:dyDescent="0.2">
      <c r="A37" s="253" t="s">
        <v>954</v>
      </c>
      <c r="C37" s="119">
        <v>0</v>
      </c>
      <c r="D37" s="119">
        <v>0</v>
      </c>
      <c r="E37" s="119">
        <v>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8">
        <f>SUM(C37:N37)</f>
        <v>0</v>
      </c>
      <c r="P37" s="119">
        <f t="shared" si="9"/>
        <v>0</v>
      </c>
      <c r="Q37" s="118">
        <f>(O37-P37)</f>
        <v>0</v>
      </c>
    </row>
    <row r="38" spans="1:17" x14ac:dyDescent="0.2">
      <c r="A38" s="497" t="s">
        <v>1065</v>
      </c>
      <c r="B38" s="843" t="s">
        <v>1050</v>
      </c>
      <c r="C38" s="985">
        <f>-DataBase!C63</f>
        <v>107</v>
      </c>
      <c r="D38" s="985">
        <f>-DataBase!D63</f>
        <v>108</v>
      </c>
      <c r="E38" s="985">
        <f>-DataBase!E63</f>
        <v>107</v>
      </c>
      <c r="F38" s="985">
        <f>-DataBase!F63</f>
        <v>107</v>
      </c>
      <c r="G38" s="985">
        <f>-DataBase!G63</f>
        <v>107</v>
      </c>
      <c r="H38" s="985">
        <f>-DataBase!H63</f>
        <v>107</v>
      </c>
      <c r="I38" s="985">
        <f>-DataBase!I63</f>
        <v>107</v>
      </c>
      <c r="J38" s="985">
        <f>-DataBase!J63</f>
        <v>107</v>
      </c>
      <c r="K38" s="985">
        <f>-DataBase!K63</f>
        <v>107</v>
      </c>
      <c r="L38" s="985">
        <f>-DataBase!L63</f>
        <v>107</v>
      </c>
      <c r="M38" s="985">
        <f>-DataBase!M63</f>
        <v>107</v>
      </c>
      <c r="N38" s="985">
        <f>-DataBase!N63</f>
        <v>107</v>
      </c>
      <c r="O38" s="118">
        <f t="shared" si="11"/>
        <v>1285</v>
      </c>
      <c r="P38" s="119">
        <f t="shared" si="9"/>
        <v>215</v>
      </c>
      <c r="Q38" s="118">
        <f t="shared" si="10"/>
        <v>1070</v>
      </c>
    </row>
    <row r="39" spans="1:17" x14ac:dyDescent="0.2">
      <c r="A39" s="497" t="s">
        <v>958</v>
      </c>
      <c r="B39" s="843" t="s">
        <v>1050</v>
      </c>
      <c r="C39" s="985">
        <f>-DataBase!C64</f>
        <v>4</v>
      </c>
      <c r="D39" s="985">
        <f>-DataBase!D64</f>
        <v>4</v>
      </c>
      <c r="E39" s="985">
        <f>-DataBase!E64</f>
        <v>4</v>
      </c>
      <c r="F39" s="985">
        <f>-DataBase!F64</f>
        <v>4</v>
      </c>
      <c r="G39" s="985">
        <f>-DataBase!G64</f>
        <v>4</v>
      </c>
      <c r="H39" s="985">
        <f>-DataBase!H64</f>
        <v>4</v>
      </c>
      <c r="I39" s="985">
        <f>-DataBase!I64</f>
        <v>4</v>
      </c>
      <c r="J39" s="985">
        <f>-DataBase!J64</f>
        <v>4</v>
      </c>
      <c r="K39" s="985">
        <f>-DataBase!K64</f>
        <v>4</v>
      </c>
      <c r="L39" s="985">
        <f>-DataBase!L64</f>
        <v>4</v>
      </c>
      <c r="M39" s="985">
        <f>-DataBase!M64</f>
        <v>4</v>
      </c>
      <c r="N39" s="985">
        <f>-DataBase!N64</f>
        <v>4</v>
      </c>
      <c r="O39" s="118">
        <f t="shared" si="11"/>
        <v>48</v>
      </c>
      <c r="P39" s="119">
        <f t="shared" si="9"/>
        <v>8</v>
      </c>
      <c r="Q39" s="118">
        <f t="shared" si="10"/>
        <v>40</v>
      </c>
    </row>
    <row r="40" spans="1:17" x14ac:dyDescent="0.2">
      <c r="A40" s="498" t="s">
        <v>893</v>
      </c>
      <c r="B40" s="843" t="s">
        <v>1050</v>
      </c>
      <c r="C40" s="985">
        <f>-DataBase!C65</f>
        <v>30</v>
      </c>
      <c r="D40" s="985">
        <f>-DataBase!D65</f>
        <v>30</v>
      </c>
      <c r="E40" s="985">
        <f>-DataBase!E65</f>
        <v>31</v>
      </c>
      <c r="F40" s="985">
        <f>-DataBase!F65</f>
        <v>30</v>
      </c>
      <c r="G40" s="985">
        <f>-DataBase!G65</f>
        <v>30</v>
      </c>
      <c r="H40" s="985">
        <f>-DataBase!H65</f>
        <v>30</v>
      </c>
      <c r="I40" s="985">
        <f>-DataBase!I65</f>
        <v>30</v>
      </c>
      <c r="J40" s="985">
        <f>-DataBase!J65</f>
        <v>30</v>
      </c>
      <c r="K40" s="985">
        <f>-DataBase!K65</f>
        <v>30</v>
      </c>
      <c r="L40" s="985">
        <f>-DataBase!L65</f>
        <v>30</v>
      </c>
      <c r="M40" s="985">
        <f>-DataBase!M65</f>
        <v>30</v>
      </c>
      <c r="N40" s="985">
        <f>-DataBase!N65</f>
        <v>30</v>
      </c>
      <c r="O40" s="118">
        <f t="shared" si="11"/>
        <v>361</v>
      </c>
      <c r="P40" s="119">
        <f t="shared" si="9"/>
        <v>60</v>
      </c>
      <c r="Q40" s="118">
        <f t="shared" si="10"/>
        <v>301</v>
      </c>
    </row>
    <row r="41" spans="1:17" x14ac:dyDescent="0.2">
      <c r="A41" s="253" t="s">
        <v>894</v>
      </c>
      <c r="B41" s="843" t="s">
        <v>1050</v>
      </c>
      <c r="C41" s="985">
        <f>-DataBase!C66</f>
        <v>42</v>
      </c>
      <c r="D41" s="985">
        <f>-DataBase!D66</f>
        <v>42</v>
      </c>
      <c r="E41" s="985">
        <f>-DataBase!E66</f>
        <v>42</v>
      </c>
      <c r="F41" s="985">
        <f>-DataBase!F66</f>
        <v>42</v>
      </c>
      <c r="G41" s="985">
        <f>-DataBase!G66</f>
        <v>42</v>
      </c>
      <c r="H41" s="985">
        <f>-DataBase!H66</f>
        <v>42</v>
      </c>
      <c r="I41" s="985">
        <f>-DataBase!I66</f>
        <v>42</v>
      </c>
      <c r="J41" s="985">
        <f>-DataBase!J66</f>
        <v>43</v>
      </c>
      <c r="K41" s="985">
        <f>-DataBase!K66</f>
        <v>42</v>
      </c>
      <c r="L41" s="985">
        <f>-DataBase!L66</f>
        <v>43</v>
      </c>
      <c r="M41" s="985">
        <f>-DataBase!M66</f>
        <v>43</v>
      </c>
      <c r="N41" s="985">
        <f>-DataBase!N66</f>
        <v>43</v>
      </c>
      <c r="O41" s="118">
        <f t="shared" si="11"/>
        <v>508</v>
      </c>
      <c r="P41" s="119">
        <f t="shared" si="9"/>
        <v>84</v>
      </c>
      <c r="Q41" s="118">
        <f t="shared" si="10"/>
        <v>424</v>
      </c>
    </row>
    <row r="42" spans="1:17" x14ac:dyDescent="0.2">
      <c r="A42" s="253" t="s">
        <v>895</v>
      </c>
      <c r="B42" s="843" t="s">
        <v>1050</v>
      </c>
      <c r="C42" s="985">
        <f>-DataBase!C67</f>
        <v>10</v>
      </c>
      <c r="D42" s="985">
        <f>-DataBase!D67</f>
        <v>10</v>
      </c>
      <c r="E42" s="985">
        <f>-DataBase!E67</f>
        <v>10</v>
      </c>
      <c r="F42" s="985">
        <f>-DataBase!F67</f>
        <v>10</v>
      </c>
      <c r="G42" s="985">
        <f>-DataBase!G67</f>
        <v>10</v>
      </c>
      <c r="H42" s="985">
        <f>-DataBase!H67</f>
        <v>10</v>
      </c>
      <c r="I42" s="985">
        <f>-DataBase!I67</f>
        <v>10</v>
      </c>
      <c r="J42" s="985">
        <f>-DataBase!J67</f>
        <v>10</v>
      </c>
      <c r="K42" s="985">
        <f>-DataBase!K67</f>
        <v>11</v>
      </c>
      <c r="L42" s="985">
        <f>-DataBase!L67</f>
        <v>10</v>
      </c>
      <c r="M42" s="985">
        <f>-DataBase!M67</f>
        <v>11</v>
      </c>
      <c r="N42" s="985">
        <f>-DataBase!N67</f>
        <v>10</v>
      </c>
      <c r="O42" s="118">
        <f t="shared" si="11"/>
        <v>122</v>
      </c>
      <c r="P42" s="119">
        <f t="shared" si="9"/>
        <v>20</v>
      </c>
      <c r="Q42" s="118">
        <f t="shared" si="10"/>
        <v>102</v>
      </c>
    </row>
    <row r="43" spans="1:17" x14ac:dyDescent="0.2">
      <c r="A43" s="253" t="s">
        <v>896</v>
      </c>
      <c r="B43" s="843" t="s">
        <v>1050</v>
      </c>
      <c r="C43" s="985">
        <f>-DataBase!C68</f>
        <v>31</v>
      </c>
      <c r="D43" s="985">
        <f>-DataBase!D68</f>
        <v>31</v>
      </c>
      <c r="E43" s="985">
        <f>-DataBase!E68</f>
        <v>31</v>
      </c>
      <c r="F43" s="985">
        <f>-DataBase!F68</f>
        <v>31</v>
      </c>
      <c r="G43" s="985">
        <f>-DataBase!G68</f>
        <v>31</v>
      </c>
      <c r="H43" s="985">
        <f>-DataBase!H68</f>
        <v>31</v>
      </c>
      <c r="I43" s="985">
        <f>-DataBase!I68</f>
        <v>31</v>
      </c>
      <c r="J43" s="985">
        <f>-DataBase!J68</f>
        <v>32</v>
      </c>
      <c r="K43" s="985">
        <f>-DataBase!K68</f>
        <v>31</v>
      </c>
      <c r="L43" s="985">
        <f>-DataBase!L68</f>
        <v>32</v>
      </c>
      <c r="M43" s="985">
        <f>-DataBase!M68</f>
        <v>31</v>
      </c>
      <c r="N43" s="985">
        <f>-DataBase!N68</f>
        <v>32</v>
      </c>
      <c r="O43" s="118">
        <f t="shared" si="11"/>
        <v>375</v>
      </c>
      <c r="P43" s="119">
        <f t="shared" si="9"/>
        <v>62</v>
      </c>
      <c r="Q43" s="118">
        <f t="shared" si="10"/>
        <v>313</v>
      </c>
    </row>
    <row r="44" spans="1:17" x14ac:dyDescent="0.2">
      <c r="A44" s="253" t="s">
        <v>897</v>
      </c>
      <c r="B44" s="843" t="s">
        <v>1050</v>
      </c>
      <c r="C44" s="985">
        <f>-DataBase!C69</f>
        <v>45</v>
      </c>
      <c r="D44" s="985">
        <f>-DataBase!D69</f>
        <v>45</v>
      </c>
      <c r="E44" s="985">
        <f>-DataBase!E69</f>
        <v>45</v>
      </c>
      <c r="F44" s="985">
        <f>-DataBase!F69</f>
        <v>45</v>
      </c>
      <c r="G44" s="985">
        <f>-DataBase!G69</f>
        <v>45</v>
      </c>
      <c r="H44" s="985">
        <f>-DataBase!H69</f>
        <v>45</v>
      </c>
      <c r="I44" s="985">
        <f>-DataBase!I69</f>
        <v>45</v>
      </c>
      <c r="J44" s="985">
        <f>-DataBase!J69</f>
        <v>45</v>
      </c>
      <c r="K44" s="985">
        <f>-DataBase!K69</f>
        <v>45</v>
      </c>
      <c r="L44" s="985">
        <f>-DataBase!L69</f>
        <v>45</v>
      </c>
      <c r="M44" s="985">
        <f>-DataBase!M69</f>
        <v>44</v>
      </c>
      <c r="N44" s="985">
        <f>-DataBase!N69</f>
        <v>45</v>
      </c>
      <c r="O44" s="118">
        <f t="shared" ref="O44:O49" si="12">SUM(C44:N44)</f>
        <v>539</v>
      </c>
      <c r="P44" s="119">
        <f t="shared" si="9"/>
        <v>90</v>
      </c>
      <c r="Q44" s="118">
        <f t="shared" ref="Q44:Q50" si="13">(O44-P44)</f>
        <v>449</v>
      </c>
    </row>
    <row r="45" spans="1:17" x14ac:dyDescent="0.2">
      <c r="A45" s="253" t="s">
        <v>898</v>
      </c>
      <c r="B45" s="843" t="s">
        <v>1050</v>
      </c>
      <c r="C45" s="985">
        <f>-DataBase!C70</f>
        <v>53</v>
      </c>
      <c r="D45" s="985">
        <f>-DataBase!D70</f>
        <v>53</v>
      </c>
      <c r="E45" s="985">
        <f>-DataBase!E70</f>
        <v>53</v>
      </c>
      <c r="F45" s="985">
        <f>-DataBase!F70</f>
        <v>53</v>
      </c>
      <c r="G45" s="985">
        <f>-DataBase!G70</f>
        <v>53</v>
      </c>
      <c r="H45" s="985">
        <f>-DataBase!H70</f>
        <v>53</v>
      </c>
      <c r="I45" s="985">
        <f>-DataBase!I70</f>
        <v>53</v>
      </c>
      <c r="J45" s="985">
        <f>-DataBase!J70</f>
        <v>52</v>
      </c>
      <c r="K45" s="985">
        <f>-DataBase!K70</f>
        <v>53</v>
      </c>
      <c r="L45" s="985">
        <f>-DataBase!L70</f>
        <v>53</v>
      </c>
      <c r="M45" s="985">
        <f>-DataBase!M70</f>
        <v>52</v>
      </c>
      <c r="N45" s="985">
        <f>-DataBase!N70</f>
        <v>53</v>
      </c>
      <c r="O45" s="118">
        <f t="shared" si="12"/>
        <v>634</v>
      </c>
      <c r="P45" s="119">
        <f t="shared" si="9"/>
        <v>106</v>
      </c>
      <c r="Q45" s="118">
        <f t="shared" si="13"/>
        <v>528</v>
      </c>
    </row>
    <row r="46" spans="1:17" x14ac:dyDescent="0.2">
      <c r="A46" s="253" t="s">
        <v>899</v>
      </c>
      <c r="B46" s="843" t="s">
        <v>1050</v>
      </c>
      <c r="C46" s="985">
        <f>-DataBase!C71</f>
        <v>11</v>
      </c>
      <c r="D46" s="985">
        <f>-DataBase!D71</f>
        <v>11</v>
      </c>
      <c r="E46" s="985">
        <f>-DataBase!E71</f>
        <v>11</v>
      </c>
      <c r="F46" s="985">
        <f>-DataBase!F71</f>
        <v>11</v>
      </c>
      <c r="G46" s="985">
        <f>-DataBase!G71</f>
        <v>11</v>
      </c>
      <c r="H46" s="985">
        <f>-DataBase!H71</f>
        <v>11</v>
      </c>
      <c r="I46" s="985">
        <f>-DataBase!I71</f>
        <v>11</v>
      </c>
      <c r="J46" s="985">
        <f>-DataBase!J71</f>
        <v>11</v>
      </c>
      <c r="K46" s="985">
        <f>-DataBase!K71</f>
        <v>10</v>
      </c>
      <c r="L46" s="985">
        <f>-DataBase!L71</f>
        <v>11</v>
      </c>
      <c r="M46" s="985">
        <f>-DataBase!M71</f>
        <v>11</v>
      </c>
      <c r="N46" s="985">
        <f>-DataBase!N71</f>
        <v>10</v>
      </c>
      <c r="O46" s="118">
        <f t="shared" si="12"/>
        <v>130</v>
      </c>
      <c r="P46" s="119">
        <f t="shared" si="9"/>
        <v>22</v>
      </c>
      <c r="Q46" s="118">
        <f t="shared" si="13"/>
        <v>108</v>
      </c>
    </row>
    <row r="47" spans="1:17" x14ac:dyDescent="0.2">
      <c r="A47" s="253" t="s">
        <v>900</v>
      </c>
      <c r="B47" s="843" t="s">
        <v>1050</v>
      </c>
      <c r="C47" s="985">
        <f>-DataBase!C72</f>
        <v>7</v>
      </c>
      <c r="D47" s="985">
        <f>-DataBase!D72</f>
        <v>7</v>
      </c>
      <c r="E47" s="985">
        <f>-DataBase!E72</f>
        <v>7</v>
      </c>
      <c r="F47" s="985">
        <f>-DataBase!F72</f>
        <v>7</v>
      </c>
      <c r="G47" s="985">
        <f>-DataBase!G72</f>
        <v>7</v>
      </c>
      <c r="H47" s="985">
        <f>-DataBase!H72</f>
        <v>7</v>
      </c>
      <c r="I47" s="985">
        <f>-DataBase!I72</f>
        <v>7</v>
      </c>
      <c r="J47" s="985">
        <f>-DataBase!J72</f>
        <v>7</v>
      </c>
      <c r="K47" s="985">
        <f>-DataBase!K72</f>
        <v>7</v>
      </c>
      <c r="L47" s="985">
        <f>-DataBase!L72</f>
        <v>7</v>
      </c>
      <c r="M47" s="985">
        <f>-DataBase!M72</f>
        <v>7</v>
      </c>
      <c r="N47" s="985">
        <f>-DataBase!N72</f>
        <v>7</v>
      </c>
      <c r="O47" s="118">
        <f t="shared" si="12"/>
        <v>84</v>
      </c>
      <c r="P47" s="119">
        <f t="shared" si="9"/>
        <v>14</v>
      </c>
      <c r="Q47" s="118">
        <f t="shared" si="13"/>
        <v>70</v>
      </c>
    </row>
    <row r="48" spans="1:17" x14ac:dyDescent="0.2">
      <c r="A48" s="253" t="s">
        <v>901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8"/>
      <c r="P48" s="119"/>
      <c r="Q48" s="118"/>
    </row>
    <row r="49" spans="1:19" x14ac:dyDescent="0.2">
      <c r="A49" s="253" t="s">
        <v>902</v>
      </c>
      <c r="B49" s="843" t="s">
        <v>1050</v>
      </c>
      <c r="C49" s="985">
        <f>-DataBase!C73</f>
        <v>7</v>
      </c>
      <c r="D49" s="985">
        <f>-DataBase!D73</f>
        <v>7</v>
      </c>
      <c r="E49" s="985">
        <f>-DataBase!E73</f>
        <v>7</v>
      </c>
      <c r="F49" s="985">
        <f>-DataBase!F73</f>
        <v>7</v>
      </c>
      <c r="G49" s="985">
        <f>-DataBase!G73</f>
        <v>7</v>
      </c>
      <c r="H49" s="985">
        <f>-DataBase!H73</f>
        <v>7</v>
      </c>
      <c r="I49" s="985">
        <f>-DataBase!I73</f>
        <v>7</v>
      </c>
      <c r="J49" s="985">
        <f>-DataBase!J73</f>
        <v>8</v>
      </c>
      <c r="K49" s="985">
        <f>-DataBase!K73</f>
        <v>7</v>
      </c>
      <c r="L49" s="985">
        <f>-DataBase!L73</f>
        <v>8</v>
      </c>
      <c r="M49" s="985">
        <f>-DataBase!M73</f>
        <v>7</v>
      </c>
      <c r="N49" s="985">
        <f>-DataBase!N73</f>
        <v>8</v>
      </c>
      <c r="O49" s="118">
        <f t="shared" si="12"/>
        <v>87</v>
      </c>
      <c r="P49" s="119">
        <f t="shared" si="9"/>
        <v>14</v>
      </c>
      <c r="Q49" s="118">
        <f t="shared" si="13"/>
        <v>73</v>
      </c>
    </row>
    <row r="50" spans="1:19" x14ac:dyDescent="0.2">
      <c r="A50" s="253" t="s">
        <v>903</v>
      </c>
      <c r="B50" s="843" t="s">
        <v>1050</v>
      </c>
      <c r="C50" s="985">
        <f>-DataBase!C74</f>
        <v>38</v>
      </c>
      <c r="D50" s="985">
        <f>-DataBase!D74</f>
        <v>38</v>
      </c>
      <c r="E50" s="985">
        <f>-DataBase!E74</f>
        <v>38</v>
      </c>
      <c r="F50" s="985">
        <f>-DataBase!F74</f>
        <v>38</v>
      </c>
      <c r="G50" s="985">
        <f>-DataBase!G74</f>
        <v>38</v>
      </c>
      <c r="H50" s="985">
        <f>-DataBase!H74</f>
        <v>38</v>
      </c>
      <c r="I50" s="985">
        <f>-DataBase!I74</f>
        <v>38</v>
      </c>
      <c r="J50" s="985">
        <f>-DataBase!J74</f>
        <v>38</v>
      </c>
      <c r="K50" s="985">
        <f>-DataBase!K74</f>
        <v>38</v>
      </c>
      <c r="L50" s="985">
        <f>-DataBase!L74</f>
        <v>38</v>
      </c>
      <c r="M50" s="985">
        <f>-DataBase!M74</f>
        <v>38</v>
      </c>
      <c r="N50" s="985">
        <f>-DataBase!N74</f>
        <v>37</v>
      </c>
      <c r="O50" s="118">
        <f>SUM(C50:N50)</f>
        <v>455</v>
      </c>
      <c r="P50" s="119">
        <f t="shared" si="9"/>
        <v>76</v>
      </c>
      <c r="Q50" s="118">
        <f t="shared" si="13"/>
        <v>379</v>
      </c>
    </row>
    <row r="51" spans="1:19" x14ac:dyDescent="0.2">
      <c r="A51" s="884" t="s">
        <v>1022</v>
      </c>
      <c r="B51" s="843"/>
      <c r="C51" s="985">
        <f>-DataBase!C75</f>
        <v>0</v>
      </c>
      <c r="D51" s="985">
        <f>-DataBase!D75</f>
        <v>0</v>
      </c>
      <c r="E51" s="985">
        <f>-DataBase!E75</f>
        <v>0</v>
      </c>
      <c r="F51" s="985">
        <f>-DataBase!F75</f>
        <v>0</v>
      </c>
      <c r="G51" s="985">
        <f>-DataBase!G75</f>
        <v>0</v>
      </c>
      <c r="H51" s="985">
        <f>-DataBase!H75</f>
        <v>0</v>
      </c>
      <c r="I51" s="985">
        <f>-DataBase!I75</f>
        <v>0</v>
      </c>
      <c r="J51" s="985">
        <f>-DataBase!J75</f>
        <v>0</v>
      </c>
      <c r="K51" s="985">
        <f>-DataBase!K75</f>
        <v>0</v>
      </c>
      <c r="L51" s="985">
        <f>-DataBase!L75</f>
        <v>0</v>
      </c>
      <c r="M51" s="985">
        <f>-DataBase!M75</f>
        <v>0</v>
      </c>
      <c r="N51" s="985">
        <f>-DataBase!N75</f>
        <v>0</v>
      </c>
      <c r="O51" s="118">
        <f>SUM(C51:N51)</f>
        <v>0</v>
      </c>
      <c r="P51" s="119">
        <f t="shared" si="9"/>
        <v>0</v>
      </c>
      <c r="Q51" s="118">
        <f>(O51-P51)</f>
        <v>0</v>
      </c>
    </row>
    <row r="52" spans="1:19" x14ac:dyDescent="0.2">
      <c r="A52" s="884" t="s">
        <v>1008</v>
      </c>
      <c r="B52" s="843"/>
      <c r="C52" s="985">
        <f>-DataBase!C76</f>
        <v>0</v>
      </c>
      <c r="D52" s="985">
        <f>-DataBase!D76</f>
        <v>0</v>
      </c>
      <c r="E52" s="985">
        <f>-DataBase!E76</f>
        <v>0</v>
      </c>
      <c r="F52" s="985">
        <f>-DataBase!F76</f>
        <v>0</v>
      </c>
      <c r="G52" s="985">
        <f>-DataBase!G76</f>
        <v>0</v>
      </c>
      <c r="H52" s="985">
        <f>-DataBase!H76</f>
        <v>0</v>
      </c>
      <c r="I52" s="985">
        <f>-DataBase!I76</f>
        <v>0</v>
      </c>
      <c r="J52" s="985">
        <f>-DataBase!J76</f>
        <v>0</v>
      </c>
      <c r="K52" s="985">
        <f>-DataBase!K76</f>
        <v>0</v>
      </c>
      <c r="L52" s="985">
        <f>-DataBase!L76</f>
        <v>0</v>
      </c>
      <c r="M52" s="985">
        <f>-DataBase!M76</f>
        <v>0</v>
      </c>
      <c r="N52" s="985">
        <f>-DataBase!N76</f>
        <v>0</v>
      </c>
      <c r="O52" s="118">
        <f>SUM(C52:N52)</f>
        <v>0</v>
      </c>
      <c r="P52" s="119">
        <f t="shared" si="9"/>
        <v>0</v>
      </c>
      <c r="Q52" s="118">
        <f>(O52-P52)</f>
        <v>0</v>
      </c>
    </row>
    <row r="53" spans="1:19" x14ac:dyDescent="0.2">
      <c r="A53" s="884" t="s">
        <v>1016</v>
      </c>
      <c r="C53" s="985">
        <f>-DataBase!C77</f>
        <v>0</v>
      </c>
      <c r="D53" s="985">
        <f>-DataBase!D77</f>
        <v>0</v>
      </c>
      <c r="E53" s="985">
        <f>-DataBase!E77</f>
        <v>0</v>
      </c>
      <c r="F53" s="985">
        <f>-DataBase!F77</f>
        <v>0</v>
      </c>
      <c r="G53" s="985">
        <f>-DataBase!G77</f>
        <v>0</v>
      </c>
      <c r="H53" s="985">
        <f>-DataBase!H77</f>
        <v>0</v>
      </c>
      <c r="I53" s="985">
        <f>-DataBase!I77</f>
        <v>0</v>
      </c>
      <c r="J53" s="985">
        <f>-DataBase!J77</f>
        <v>0</v>
      </c>
      <c r="K53" s="985">
        <f>-DataBase!K77</f>
        <v>0</v>
      </c>
      <c r="L53" s="985">
        <f>-DataBase!L77</f>
        <v>0</v>
      </c>
      <c r="M53" s="985">
        <f>-DataBase!M77</f>
        <v>0</v>
      </c>
      <c r="N53" s="985">
        <f>-DataBase!N77</f>
        <v>0</v>
      </c>
      <c r="O53" s="118">
        <f>SUM(C53:N53)</f>
        <v>0</v>
      </c>
      <c r="P53" s="119">
        <f t="shared" si="9"/>
        <v>0</v>
      </c>
      <c r="Q53" s="118">
        <f>(O53-P53)</f>
        <v>0</v>
      </c>
      <c r="R53" s="118"/>
    </row>
    <row r="54" spans="1:19" x14ac:dyDescent="0.2">
      <c r="A54" s="253" t="s">
        <v>622</v>
      </c>
      <c r="C54" s="259">
        <v>0</v>
      </c>
      <c r="D54" s="259">
        <v>0</v>
      </c>
      <c r="E54" s="259">
        <v>0</v>
      </c>
      <c r="F54" s="259">
        <v>0</v>
      </c>
      <c r="G54" s="259">
        <v>0</v>
      </c>
      <c r="H54" s="259">
        <v>0</v>
      </c>
      <c r="I54" s="259">
        <v>0</v>
      </c>
      <c r="J54" s="259">
        <v>0</v>
      </c>
      <c r="K54" s="259">
        <v>0</v>
      </c>
      <c r="L54" s="259">
        <v>0</v>
      </c>
      <c r="M54" s="259">
        <v>0</v>
      </c>
      <c r="N54" s="259">
        <v>0</v>
      </c>
      <c r="O54" s="120">
        <f>SUM(C54:N54)</f>
        <v>0</v>
      </c>
      <c r="P54" s="259">
        <f t="shared" si="9"/>
        <v>0</v>
      </c>
      <c r="Q54" s="120">
        <f>(O54-P54)</f>
        <v>0</v>
      </c>
    </row>
    <row r="55" spans="1:19" ht="3.95" customHeight="1" x14ac:dyDescent="0.2"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9"/>
      <c r="Q55" s="118"/>
    </row>
    <row r="56" spans="1:19" x14ac:dyDescent="0.2">
      <c r="A56" s="376" t="s">
        <v>986</v>
      </c>
      <c r="B56" s="778"/>
      <c r="C56" s="121">
        <f t="shared" ref="C56:Q56" si="14">SUM(C32:C54)</f>
        <v>640</v>
      </c>
      <c r="D56" s="121">
        <f t="shared" si="14"/>
        <v>625</v>
      </c>
      <c r="E56" s="121">
        <f t="shared" si="14"/>
        <v>638</v>
      </c>
      <c r="F56" s="121">
        <f t="shared" si="14"/>
        <v>633</v>
      </c>
      <c r="G56" s="121">
        <f t="shared" si="14"/>
        <v>636</v>
      </c>
      <c r="H56" s="121">
        <f t="shared" si="14"/>
        <v>634</v>
      </c>
      <c r="I56" s="121">
        <f t="shared" si="14"/>
        <v>633</v>
      </c>
      <c r="J56" s="121">
        <f t="shared" si="14"/>
        <v>642</v>
      </c>
      <c r="K56" s="121">
        <f t="shared" si="14"/>
        <v>641</v>
      </c>
      <c r="L56" s="121">
        <f t="shared" si="14"/>
        <v>644</v>
      </c>
      <c r="M56" s="121">
        <f t="shared" si="14"/>
        <v>628</v>
      </c>
      <c r="N56" s="121">
        <f t="shared" si="14"/>
        <v>639</v>
      </c>
      <c r="O56" s="121">
        <f t="shared" si="14"/>
        <v>7633</v>
      </c>
      <c r="P56" s="121">
        <f t="shared" si="14"/>
        <v>1265</v>
      </c>
      <c r="Q56" s="121">
        <f t="shared" si="14"/>
        <v>6368</v>
      </c>
      <c r="R56" s="112"/>
      <c r="S56" s="112"/>
    </row>
    <row r="57" spans="1:19" ht="8.1" customHeight="1" x14ac:dyDescent="0.2"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P57" s="117"/>
    </row>
    <row r="60" spans="1:19" x14ac:dyDescent="0.2">
      <c r="A60" s="122"/>
    </row>
    <row r="61" spans="1:19" x14ac:dyDescent="0.2">
      <c r="A61" s="117"/>
    </row>
    <row r="62" spans="1:19" x14ac:dyDescent="0.2">
      <c r="A62" s="117"/>
    </row>
    <row r="63" spans="1:19" x14ac:dyDescent="0.2">
      <c r="A63" s="122"/>
    </row>
    <row r="64" spans="1:19" x14ac:dyDescent="0.2">
      <c r="A64" s="117"/>
    </row>
    <row r="65" spans="1:17" x14ac:dyDescent="0.2">
      <c r="A65" s="117"/>
    </row>
    <row r="66" spans="1:17" x14ac:dyDescent="0.2">
      <c r="A66" s="117"/>
    </row>
    <row r="67" spans="1:17" x14ac:dyDescent="0.2">
      <c r="A67" s="117"/>
    </row>
    <row r="68" spans="1:17" x14ac:dyDescent="0.2">
      <c r="A68" s="117"/>
    </row>
    <row r="69" spans="1:17" x14ac:dyDescent="0.2">
      <c r="A69" s="253" t="s">
        <v>904</v>
      </c>
      <c r="C69" s="118">
        <f>Trackers!D17</f>
        <v>0</v>
      </c>
      <c r="D69" s="118">
        <f>Trackers!E17</f>
        <v>0</v>
      </c>
      <c r="E69" s="118">
        <f>Trackers!F17</f>
        <v>0</v>
      </c>
      <c r="F69" s="118">
        <f>Trackers!G17</f>
        <v>0</v>
      </c>
      <c r="G69" s="118">
        <f>Trackers!H17</f>
        <v>0</v>
      </c>
      <c r="H69" s="118">
        <f>Trackers!I17</f>
        <v>0</v>
      </c>
      <c r="I69" s="118">
        <f>Trackers!J17</f>
        <v>0</v>
      </c>
      <c r="J69" s="118">
        <f>Trackers!K17</f>
        <v>0</v>
      </c>
      <c r="K69" s="118">
        <f>Trackers!L17</f>
        <v>0</v>
      </c>
      <c r="L69" s="118">
        <f>Trackers!M17</f>
        <v>0</v>
      </c>
      <c r="M69" s="118">
        <f>Trackers!N17</f>
        <v>0</v>
      </c>
      <c r="N69" s="118">
        <f>Trackers!O17</f>
        <v>0</v>
      </c>
      <c r="O69" s="118">
        <f>SUM(C69:N69)</f>
        <v>0</v>
      </c>
      <c r="P69" s="119">
        <f>SUM(C69:I69)</f>
        <v>0</v>
      </c>
      <c r="Q69" s="118">
        <f>(O69-P69)</f>
        <v>0</v>
      </c>
    </row>
    <row r="70" spans="1:17" x14ac:dyDescent="0.2">
      <c r="A70" s="117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07"/>
  <sheetViews>
    <sheetView showGridLines="0" workbookViewId="0">
      <pane xSplit="2" ySplit="4" topLeftCell="C5" activePane="bottomRight" state="frozen"/>
      <selection activeCell="V47" sqref="V47"/>
      <selection pane="topRight" activeCell="V47" sqref="V47"/>
      <selection pane="bottomLeft" activeCell="V47" sqref="V47"/>
      <selection pane="bottomRight" activeCell="C5" sqref="C5"/>
    </sheetView>
  </sheetViews>
  <sheetFormatPr defaultColWidth="10.7109375" defaultRowHeight="12.75" x14ac:dyDescent="0.2"/>
  <cols>
    <col min="1" max="1" width="45.7109375" style="23" customWidth="1"/>
    <col min="2" max="2" width="8.7109375" style="773" customWidth="1"/>
    <col min="3" max="14" width="8.7109375" style="23" customWidth="1"/>
    <col min="15" max="17" width="9.7109375" style="23" customWidth="1"/>
    <col min="18" max="24" width="8.7109375" style="23" customWidth="1"/>
    <col min="25" max="35" width="10.7109375" style="23"/>
    <col min="36" max="36" width="30.7109375" style="23" customWidth="1"/>
    <col min="37" max="16384" width="10.7109375" style="23"/>
  </cols>
  <sheetData>
    <row r="1" spans="1:50" x14ac:dyDescent="0.2">
      <c r="A1" s="548" t="str">
        <f ca="1">CELL("FILENAME")</f>
        <v>P:\Finance\2002 Plan\[EMTW02PL.XLS]IncomeState</v>
      </c>
      <c r="B1" s="766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x14ac:dyDescent="0.2">
      <c r="A2" s="365" t="s">
        <v>853</v>
      </c>
      <c r="B2" s="766"/>
      <c r="C2" s="350"/>
      <c r="D2" s="350"/>
      <c r="E2" s="350"/>
      <c r="F2" s="350"/>
      <c r="G2" s="484"/>
      <c r="H2" s="350"/>
      <c r="I2" s="350"/>
      <c r="J2" s="350"/>
      <c r="K2" s="350"/>
      <c r="L2" s="350"/>
      <c r="M2" s="350"/>
      <c r="N2" s="350"/>
      <c r="O2" s="351"/>
      <c r="P2" s="351"/>
      <c r="Q2" s="351"/>
      <c r="S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x14ac:dyDescent="0.2">
      <c r="A3" s="551" t="str">
        <f>IncomeState!A3</f>
        <v>2002 OPERATING PLAN</v>
      </c>
      <c r="B3" s="767">
        <f ca="1">NOW()</f>
        <v>37189.6149224537</v>
      </c>
      <c r="C3" s="554" t="str">
        <f>DataBase!C2</f>
        <v>PLAN</v>
      </c>
      <c r="D3" s="554" t="str">
        <f>DataBase!D2</f>
        <v>PLAN</v>
      </c>
      <c r="E3" s="554" t="str">
        <f>DataBase!E2</f>
        <v>PLAN</v>
      </c>
      <c r="F3" s="554" t="str">
        <f>DataBase!F2</f>
        <v>PLAN</v>
      </c>
      <c r="G3" s="554" t="str">
        <f>DataBase!G2</f>
        <v>PLAN</v>
      </c>
      <c r="H3" s="554" t="str">
        <f>DataBase!H2</f>
        <v>PLAN</v>
      </c>
      <c r="I3" s="554" t="str">
        <f>DataBase!I2</f>
        <v>PLAN</v>
      </c>
      <c r="J3" s="554" t="str">
        <f>DataBase!J2</f>
        <v>PLAN</v>
      </c>
      <c r="K3" s="554" t="str">
        <f>DataBase!K2</f>
        <v>PLAN</v>
      </c>
      <c r="L3" s="554" t="str">
        <f>DataBase!L2</f>
        <v>PLAN</v>
      </c>
      <c r="M3" s="554" t="str">
        <f>DataBase!M2</f>
        <v>PLAN</v>
      </c>
      <c r="N3" s="554" t="str">
        <f>DataBase!N2</f>
        <v>PLAN</v>
      </c>
      <c r="O3" s="554" t="str">
        <f>DataBase!O2</f>
        <v>TOTAL</v>
      </c>
      <c r="P3" s="554" t="str">
        <f>IncomeState!P6</f>
        <v>FEB.</v>
      </c>
      <c r="Q3" s="554" t="str">
        <f>IncomeState!Q6</f>
        <v>ESTIMATE</v>
      </c>
      <c r="S3" s="27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H3" s="24"/>
    </row>
    <row r="4" spans="1:50" x14ac:dyDescent="0.2">
      <c r="A4" s="352"/>
      <c r="B4" s="768">
        <f ca="1">NOW()</f>
        <v>37189.6149224537</v>
      </c>
      <c r="C4" s="366" t="s">
        <v>609</v>
      </c>
      <c r="D4" s="366" t="s">
        <v>610</v>
      </c>
      <c r="E4" s="366" t="s">
        <v>611</v>
      </c>
      <c r="F4" s="366" t="s">
        <v>612</v>
      </c>
      <c r="G4" s="366" t="s">
        <v>613</v>
      </c>
      <c r="H4" s="366" t="s">
        <v>614</v>
      </c>
      <c r="I4" s="366" t="s">
        <v>615</v>
      </c>
      <c r="J4" s="366" t="s">
        <v>616</v>
      </c>
      <c r="K4" s="366" t="s">
        <v>617</v>
      </c>
      <c r="L4" s="366" t="s">
        <v>618</v>
      </c>
      <c r="M4" s="366" t="s">
        <v>619</v>
      </c>
      <c r="N4" s="366" t="s">
        <v>620</v>
      </c>
      <c r="O4" s="555">
        <f>DataBase!O3</f>
        <v>2002</v>
      </c>
      <c r="P4" s="555" t="str">
        <f>IncomeState!P7</f>
        <v>Y-T-D</v>
      </c>
      <c r="Q4" s="555" t="str">
        <f>IncomeState!Q7</f>
        <v>R.M.</v>
      </c>
      <c r="S4" s="28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H4" s="24"/>
    </row>
    <row r="5" spans="1:50" ht="3.95" customHeight="1" x14ac:dyDescent="0.2">
      <c r="A5" s="349"/>
      <c r="B5" s="766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</row>
    <row r="6" spans="1:50" x14ac:dyDescent="0.2">
      <c r="A6" s="367" t="s">
        <v>854</v>
      </c>
      <c r="B6" s="766"/>
      <c r="C6" s="353"/>
      <c r="D6" s="353"/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353"/>
      <c r="P6" s="353"/>
      <c r="Q6" s="349"/>
      <c r="S6" s="24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J6" s="24"/>
    </row>
    <row r="7" spans="1:50" x14ac:dyDescent="0.2">
      <c r="A7" s="372" t="s">
        <v>855</v>
      </c>
      <c r="B7" s="769"/>
      <c r="C7" s="356"/>
      <c r="D7" s="356"/>
      <c r="E7" s="356"/>
      <c r="F7" s="356"/>
      <c r="G7" s="356"/>
      <c r="H7" s="356"/>
      <c r="I7" s="356"/>
      <c r="J7" s="356"/>
      <c r="K7" s="356"/>
      <c r="L7" s="356"/>
      <c r="M7" s="356"/>
      <c r="N7" s="356"/>
      <c r="O7" s="357"/>
      <c r="P7" s="356"/>
      <c r="Q7" s="357"/>
      <c r="S7" s="24"/>
      <c r="T7" s="24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1"/>
    </row>
    <row r="8" spans="1:50" x14ac:dyDescent="0.2">
      <c r="A8" s="357" t="str">
        <f>Trackers!A74</f>
        <v xml:space="preserve">      Many Islands (Canadian) FULLY ASSIGNED</v>
      </c>
      <c r="B8" s="844" t="s">
        <v>1066</v>
      </c>
      <c r="C8" s="357">
        <f>Trackers!D74</f>
        <v>0</v>
      </c>
      <c r="D8" s="357">
        <f>Trackers!E74</f>
        <v>0</v>
      </c>
      <c r="E8" s="357">
        <f>Trackers!F74</f>
        <v>0</v>
      </c>
      <c r="F8" s="357">
        <f>Trackers!G74</f>
        <v>0</v>
      </c>
      <c r="G8" s="357">
        <f>Trackers!H74</f>
        <v>0</v>
      </c>
      <c r="H8" s="357">
        <f>Trackers!I74</f>
        <v>0</v>
      </c>
      <c r="I8" s="357">
        <f>Trackers!J74</f>
        <v>0</v>
      </c>
      <c r="J8" s="357">
        <f>Trackers!K74</f>
        <v>0</v>
      </c>
      <c r="K8" s="357">
        <f>Trackers!L74</f>
        <v>0</v>
      </c>
      <c r="L8" s="357">
        <f>Trackers!M74</f>
        <v>0</v>
      </c>
      <c r="M8" s="357">
        <f>Trackers!N74</f>
        <v>0</v>
      </c>
      <c r="N8" s="357">
        <f>Trackers!O74</f>
        <v>0</v>
      </c>
      <c r="O8" s="357">
        <f t="shared" ref="O8:O14" si="0">SUM(C8:N8)</f>
        <v>0</v>
      </c>
      <c r="P8" s="356">
        <f>SUM(C8:D8)</f>
        <v>0</v>
      </c>
      <c r="Q8" s="357">
        <f t="shared" ref="Q8:Q14" si="1">(O8-P8)</f>
        <v>0</v>
      </c>
      <c r="R8" s="31"/>
      <c r="S8" s="24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1"/>
      <c r="AJ8" s="24"/>
    </row>
    <row r="9" spans="1:50" x14ac:dyDescent="0.2">
      <c r="A9" s="357" t="str">
        <f>Trackers!A75</f>
        <v xml:space="preserve">      Great Lakes FULLY ASSIGNED</v>
      </c>
      <c r="B9" s="844" t="s">
        <v>1066</v>
      </c>
      <c r="C9" s="357">
        <f>Trackers!D75</f>
        <v>0</v>
      </c>
      <c r="D9" s="357">
        <f>Trackers!E75</f>
        <v>0</v>
      </c>
      <c r="E9" s="357">
        <f>Trackers!F75</f>
        <v>0</v>
      </c>
      <c r="F9" s="357">
        <f>Trackers!G75</f>
        <v>0</v>
      </c>
      <c r="G9" s="357">
        <f>Trackers!H75</f>
        <v>0</v>
      </c>
      <c r="H9" s="357">
        <f>Trackers!I75</f>
        <v>0</v>
      </c>
      <c r="I9" s="357">
        <f>Trackers!J75</f>
        <v>0</v>
      </c>
      <c r="J9" s="357">
        <f>Trackers!K75</f>
        <v>0</v>
      </c>
      <c r="K9" s="357">
        <f>Trackers!L75</f>
        <v>0</v>
      </c>
      <c r="L9" s="357">
        <f>Trackers!M75</f>
        <v>0</v>
      </c>
      <c r="M9" s="357">
        <f>Trackers!N75</f>
        <v>0</v>
      </c>
      <c r="N9" s="357">
        <f>Trackers!O75</f>
        <v>0</v>
      </c>
      <c r="O9" s="357">
        <f t="shared" si="0"/>
        <v>0</v>
      </c>
      <c r="P9" s="356">
        <f t="shared" ref="P9:P14" si="2">SUM(C9:D9)</f>
        <v>0</v>
      </c>
      <c r="Q9" s="357">
        <f t="shared" si="1"/>
        <v>0</v>
      </c>
      <c r="R9" s="31"/>
      <c r="S9" s="24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1"/>
      <c r="AJ9" s="24"/>
    </row>
    <row r="10" spans="1:50" x14ac:dyDescent="0.2">
      <c r="A10" s="357" t="str">
        <f>Trackers!A76</f>
        <v xml:space="preserve">      Trailblazer System (Including WIC)</v>
      </c>
      <c r="B10" s="844" t="s">
        <v>1066</v>
      </c>
      <c r="C10" s="357">
        <f>Trackers!D76</f>
        <v>0</v>
      </c>
      <c r="D10" s="357">
        <f>Trackers!E76</f>
        <v>0</v>
      </c>
      <c r="E10" s="357">
        <f>Trackers!F76</f>
        <v>0</v>
      </c>
      <c r="F10" s="357">
        <f>Trackers!G76</f>
        <v>0</v>
      </c>
      <c r="G10" s="357">
        <f>Trackers!H76</f>
        <v>0</v>
      </c>
      <c r="H10" s="357">
        <f>Trackers!I76</f>
        <v>0</v>
      </c>
      <c r="I10" s="357">
        <f>Trackers!J76</f>
        <v>0</v>
      </c>
      <c r="J10" s="357">
        <f>Trackers!K76</f>
        <v>0</v>
      </c>
      <c r="K10" s="357">
        <f>Trackers!L76</f>
        <v>0</v>
      </c>
      <c r="L10" s="357">
        <f>Trackers!M76</f>
        <v>0</v>
      </c>
      <c r="M10" s="357">
        <f>Trackers!N76</f>
        <v>0</v>
      </c>
      <c r="N10" s="357">
        <f>Trackers!O76</f>
        <v>0</v>
      </c>
      <c r="O10" s="357">
        <f t="shared" si="0"/>
        <v>0</v>
      </c>
      <c r="P10" s="356">
        <f t="shared" si="2"/>
        <v>0</v>
      </c>
      <c r="Q10" s="357">
        <f t="shared" si="1"/>
        <v>0</v>
      </c>
      <c r="R10" s="31"/>
      <c r="S10" s="24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1"/>
      <c r="AJ10" s="24"/>
    </row>
    <row r="11" spans="1:50" x14ac:dyDescent="0.2">
      <c r="A11" s="357" t="str">
        <f>Trackers!A77</f>
        <v xml:space="preserve">      Settlement Credit</v>
      </c>
      <c r="B11" s="844" t="s">
        <v>1066</v>
      </c>
      <c r="C11" s="357">
        <f>Trackers!D77</f>
        <v>0</v>
      </c>
      <c r="D11" s="357">
        <f>Trackers!E77</f>
        <v>0</v>
      </c>
      <c r="E11" s="357">
        <f>Trackers!F77</f>
        <v>0</v>
      </c>
      <c r="F11" s="357">
        <f>Trackers!G77</f>
        <v>0</v>
      </c>
      <c r="G11" s="357">
        <f>Trackers!H77</f>
        <v>0</v>
      </c>
      <c r="H11" s="357">
        <f>Trackers!I77</f>
        <v>0</v>
      </c>
      <c r="I11" s="357">
        <f>Trackers!J77</f>
        <v>0</v>
      </c>
      <c r="J11" s="357">
        <f>Trackers!K77</f>
        <v>0</v>
      </c>
      <c r="K11" s="357">
        <f>Trackers!L77</f>
        <v>0</v>
      </c>
      <c r="L11" s="357">
        <f>Trackers!M77</f>
        <v>0</v>
      </c>
      <c r="M11" s="357">
        <f>Trackers!N77</f>
        <v>0</v>
      </c>
      <c r="N11" s="357">
        <f>Trackers!O77</f>
        <v>0</v>
      </c>
      <c r="O11" s="357">
        <f t="shared" si="0"/>
        <v>0</v>
      </c>
      <c r="P11" s="356">
        <f t="shared" si="2"/>
        <v>0</v>
      </c>
      <c r="Q11" s="357">
        <f t="shared" si="1"/>
        <v>0</v>
      </c>
      <c r="R11" s="31"/>
      <c r="S11" s="24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1"/>
      <c r="AJ11" s="24"/>
    </row>
    <row r="12" spans="1:50" x14ac:dyDescent="0.2">
      <c r="A12" s="357" t="str">
        <f>Trackers!A78</f>
        <v xml:space="preserve">      Rocky Mountain (Questar)</v>
      </c>
      <c r="B12" s="844" t="s">
        <v>1066</v>
      </c>
      <c r="C12" s="357">
        <f>Trackers!D78</f>
        <v>0</v>
      </c>
      <c r="D12" s="357">
        <f>Trackers!E78</f>
        <v>0</v>
      </c>
      <c r="E12" s="357">
        <f>Trackers!F78</f>
        <v>0</v>
      </c>
      <c r="F12" s="357">
        <f>Trackers!G78</f>
        <v>0</v>
      </c>
      <c r="G12" s="357">
        <f>Trackers!H78</f>
        <v>0</v>
      </c>
      <c r="H12" s="357">
        <f>Trackers!I78</f>
        <v>0</v>
      </c>
      <c r="I12" s="357">
        <f>Trackers!J78</f>
        <v>0</v>
      </c>
      <c r="J12" s="357">
        <f>Trackers!K78</f>
        <v>0</v>
      </c>
      <c r="K12" s="357">
        <f>Trackers!L78</f>
        <v>0</v>
      </c>
      <c r="L12" s="357">
        <f>Trackers!M78</f>
        <v>0</v>
      </c>
      <c r="M12" s="357">
        <f>Trackers!N78</f>
        <v>0</v>
      </c>
      <c r="N12" s="357">
        <f>Trackers!O78</f>
        <v>0</v>
      </c>
      <c r="O12" s="357">
        <f t="shared" si="0"/>
        <v>0</v>
      </c>
      <c r="P12" s="356">
        <f t="shared" si="2"/>
        <v>0</v>
      </c>
      <c r="Q12" s="357">
        <f t="shared" si="1"/>
        <v>0</v>
      </c>
      <c r="R12" s="31"/>
      <c r="S12" s="24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1"/>
      <c r="AJ12" s="24"/>
    </row>
    <row r="13" spans="1:50" x14ac:dyDescent="0.2">
      <c r="A13" s="357" t="str">
        <f>Trackers!A79</f>
        <v xml:space="preserve">      Gulf Coast / Dakota Gas (Columbia Gulf / HPL)</v>
      </c>
      <c r="B13" s="844" t="s">
        <v>1066</v>
      </c>
      <c r="C13" s="357">
        <f>Trackers!D79</f>
        <v>0</v>
      </c>
      <c r="D13" s="357">
        <f>Trackers!E79</f>
        <v>0</v>
      </c>
      <c r="E13" s="357">
        <f>Trackers!F79</f>
        <v>0</v>
      </c>
      <c r="F13" s="357">
        <f>Trackers!G79</f>
        <v>0</v>
      </c>
      <c r="G13" s="357">
        <f>Trackers!H79</f>
        <v>0</v>
      </c>
      <c r="H13" s="357">
        <f>Trackers!I79</f>
        <v>0</v>
      </c>
      <c r="I13" s="357">
        <f>Trackers!J79</f>
        <v>0</v>
      </c>
      <c r="J13" s="357">
        <f>Trackers!K79</f>
        <v>0</v>
      </c>
      <c r="K13" s="357">
        <f>Trackers!L79</f>
        <v>0</v>
      </c>
      <c r="L13" s="357">
        <f>Trackers!M79</f>
        <v>0</v>
      </c>
      <c r="M13" s="357">
        <f>Trackers!N79</f>
        <v>0</v>
      </c>
      <c r="N13" s="357">
        <f>Trackers!O79</f>
        <v>0</v>
      </c>
      <c r="O13" s="357">
        <f t="shared" si="0"/>
        <v>0</v>
      </c>
      <c r="P13" s="356">
        <f t="shared" si="2"/>
        <v>0</v>
      </c>
      <c r="Q13" s="357">
        <f t="shared" si="1"/>
        <v>0</v>
      </c>
      <c r="R13" s="31"/>
      <c r="S13" s="24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1"/>
      <c r="AJ13" s="24"/>
    </row>
    <row r="14" spans="1:50" s="540" customFormat="1" x14ac:dyDescent="0.2">
      <c r="A14" s="539" t="str">
        <f>Trackers!A80</f>
        <v xml:space="preserve">      Other</v>
      </c>
      <c r="B14" s="844" t="s">
        <v>1066</v>
      </c>
      <c r="C14" s="358">
        <f>Trackers!D80</f>
        <v>0</v>
      </c>
      <c r="D14" s="358">
        <f>Trackers!E80</f>
        <v>0</v>
      </c>
      <c r="E14" s="358">
        <f>Trackers!F80</f>
        <v>0</v>
      </c>
      <c r="F14" s="358">
        <f>Trackers!G80</f>
        <v>0</v>
      </c>
      <c r="G14" s="358">
        <f>Trackers!H80</f>
        <v>0</v>
      </c>
      <c r="H14" s="358">
        <f>Trackers!I80</f>
        <v>0</v>
      </c>
      <c r="I14" s="358">
        <f>Trackers!J80</f>
        <v>0</v>
      </c>
      <c r="J14" s="358">
        <f>Trackers!K80</f>
        <v>0</v>
      </c>
      <c r="K14" s="358">
        <f>Trackers!L80</f>
        <v>0</v>
      </c>
      <c r="L14" s="358">
        <f>Trackers!M80</f>
        <v>0</v>
      </c>
      <c r="M14" s="358">
        <f>Trackers!N80</f>
        <v>0</v>
      </c>
      <c r="N14" s="358">
        <f>Trackers!O80</f>
        <v>0</v>
      </c>
      <c r="O14" s="358">
        <f t="shared" si="0"/>
        <v>0</v>
      </c>
      <c r="P14" s="362">
        <f t="shared" si="2"/>
        <v>0</v>
      </c>
      <c r="Q14" s="358">
        <f t="shared" si="1"/>
        <v>0</v>
      </c>
      <c r="R14" s="368"/>
      <c r="S14" s="24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8"/>
      <c r="AH14" s="30"/>
      <c r="AI14" s="368"/>
    </row>
    <row r="15" spans="1:50" ht="3.95" customHeight="1" x14ac:dyDescent="0.2">
      <c r="A15" s="349"/>
      <c r="B15" s="766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359"/>
      <c r="O15" s="359"/>
      <c r="P15" s="359"/>
      <c r="Q15" s="359"/>
    </row>
    <row r="16" spans="1:50" x14ac:dyDescent="0.2">
      <c r="A16" s="363" t="s">
        <v>856</v>
      </c>
      <c r="B16" s="770"/>
      <c r="C16" s="358">
        <f t="shared" ref="C16:Q16" si="3">SUM(C8:C14)</f>
        <v>0</v>
      </c>
      <c r="D16" s="358">
        <f t="shared" si="3"/>
        <v>0</v>
      </c>
      <c r="E16" s="358">
        <f t="shared" si="3"/>
        <v>0</v>
      </c>
      <c r="F16" s="358">
        <f t="shared" si="3"/>
        <v>0</v>
      </c>
      <c r="G16" s="358">
        <f t="shared" si="3"/>
        <v>0</v>
      </c>
      <c r="H16" s="358">
        <f t="shared" si="3"/>
        <v>0</v>
      </c>
      <c r="I16" s="358">
        <f t="shared" si="3"/>
        <v>0</v>
      </c>
      <c r="J16" s="358">
        <f t="shared" si="3"/>
        <v>0</v>
      </c>
      <c r="K16" s="358">
        <f t="shared" si="3"/>
        <v>0</v>
      </c>
      <c r="L16" s="358">
        <f t="shared" si="3"/>
        <v>0</v>
      </c>
      <c r="M16" s="358">
        <f t="shared" si="3"/>
        <v>0</v>
      </c>
      <c r="N16" s="358">
        <f t="shared" si="3"/>
        <v>0</v>
      </c>
      <c r="O16" s="358">
        <f t="shared" si="3"/>
        <v>0</v>
      </c>
      <c r="P16" s="358">
        <f t="shared" si="3"/>
        <v>0</v>
      </c>
      <c r="Q16" s="358">
        <f t="shared" si="3"/>
        <v>0</v>
      </c>
      <c r="R16" s="368"/>
      <c r="S16" s="25"/>
      <c r="T16" s="2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4"/>
    </row>
    <row r="17" spans="1:50" ht="6" customHeight="1" x14ac:dyDescent="0.2">
      <c r="A17" s="355"/>
      <c r="B17" s="766"/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31"/>
    </row>
    <row r="18" spans="1:50" x14ac:dyDescent="0.2">
      <c r="A18" s="372" t="s">
        <v>857</v>
      </c>
      <c r="B18" s="766"/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49"/>
      <c r="Q18" s="349"/>
    </row>
    <row r="19" spans="1:50" x14ac:dyDescent="0.2">
      <c r="A19" s="361" t="str">
        <f>Trackers!A281</f>
        <v xml:space="preserve">      ANR (4.2) Storage</v>
      </c>
      <c r="B19" s="844" t="s">
        <v>1066</v>
      </c>
      <c r="C19" s="357">
        <f>Trackers!D281</f>
        <v>0</v>
      </c>
      <c r="D19" s="357">
        <f>Trackers!E281</f>
        <v>0</v>
      </c>
      <c r="E19" s="357">
        <f>Trackers!F281</f>
        <v>0</v>
      </c>
      <c r="F19" s="357">
        <f>Trackers!G281</f>
        <v>0</v>
      </c>
      <c r="G19" s="357">
        <f>Trackers!H281</f>
        <v>0</v>
      </c>
      <c r="H19" s="357">
        <f>Trackers!I281</f>
        <v>0</v>
      </c>
      <c r="I19" s="357">
        <f>Trackers!J281</f>
        <v>0</v>
      </c>
      <c r="J19" s="357">
        <f>Trackers!K281</f>
        <v>0</v>
      </c>
      <c r="K19" s="357">
        <f>Trackers!L281</f>
        <v>0</v>
      </c>
      <c r="L19" s="357">
        <f>Trackers!M281</f>
        <v>0</v>
      </c>
      <c r="M19" s="357">
        <f>Trackers!N281</f>
        <v>0</v>
      </c>
      <c r="N19" s="357">
        <f>Trackers!O281</f>
        <v>0</v>
      </c>
      <c r="O19" s="357">
        <f>SUM(C19:N19)</f>
        <v>0</v>
      </c>
      <c r="P19" s="356">
        <f>SUM(C19:D19)</f>
        <v>0</v>
      </c>
      <c r="Q19" s="357">
        <f>(O19-P19)</f>
        <v>0</v>
      </c>
    </row>
    <row r="20" spans="1:50" x14ac:dyDescent="0.2">
      <c r="A20" s="361" t="str">
        <f>Trackers!A282</f>
        <v xml:space="preserve">      Other</v>
      </c>
      <c r="B20" s="844" t="s">
        <v>1066</v>
      </c>
      <c r="C20" s="358">
        <f>Trackers!D282</f>
        <v>0</v>
      </c>
      <c r="D20" s="358">
        <f>Trackers!E282</f>
        <v>0</v>
      </c>
      <c r="E20" s="358">
        <v>0</v>
      </c>
      <c r="F20" s="358">
        <v>0</v>
      </c>
      <c r="G20" s="358">
        <f>Trackers!H282</f>
        <v>0</v>
      </c>
      <c r="H20" s="358">
        <f>Trackers!I282</f>
        <v>0</v>
      </c>
      <c r="I20" s="358">
        <f>Trackers!J282</f>
        <v>0</v>
      </c>
      <c r="J20" s="358">
        <f>Trackers!K282</f>
        <v>0</v>
      </c>
      <c r="K20" s="358">
        <f>Trackers!L282</f>
        <v>0</v>
      </c>
      <c r="L20" s="358">
        <f>Trackers!M282</f>
        <v>0</v>
      </c>
      <c r="M20" s="358">
        <f>Trackers!N282</f>
        <v>0</v>
      </c>
      <c r="N20" s="358">
        <f>Trackers!O282</f>
        <v>0</v>
      </c>
      <c r="O20" s="358">
        <f>SUM(C20:N20)</f>
        <v>0</v>
      </c>
      <c r="P20" s="362">
        <f>SUM(C20:D20)</f>
        <v>0</v>
      </c>
      <c r="Q20" s="358">
        <f>(O20-P20)</f>
        <v>0</v>
      </c>
      <c r="R20" s="33"/>
    </row>
    <row r="21" spans="1:50" ht="3.95" customHeight="1" x14ac:dyDescent="0.2">
      <c r="A21" s="349"/>
      <c r="B21" s="766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3"/>
    </row>
    <row r="22" spans="1:50" x14ac:dyDescent="0.2">
      <c r="A22" s="363" t="s">
        <v>858</v>
      </c>
      <c r="B22" s="766"/>
      <c r="C22" s="369">
        <f t="shared" ref="C22:Q22" si="4">SUM(C19:C20)</f>
        <v>0</v>
      </c>
      <c r="D22" s="369">
        <f t="shared" si="4"/>
        <v>0</v>
      </c>
      <c r="E22" s="369">
        <f t="shared" si="4"/>
        <v>0</v>
      </c>
      <c r="F22" s="369">
        <f t="shared" si="4"/>
        <v>0</v>
      </c>
      <c r="G22" s="369">
        <f t="shared" si="4"/>
        <v>0</v>
      </c>
      <c r="H22" s="369">
        <f t="shared" si="4"/>
        <v>0</v>
      </c>
      <c r="I22" s="369">
        <f t="shared" si="4"/>
        <v>0</v>
      </c>
      <c r="J22" s="369">
        <f t="shared" si="4"/>
        <v>0</v>
      </c>
      <c r="K22" s="369">
        <f t="shared" si="4"/>
        <v>0</v>
      </c>
      <c r="L22" s="369">
        <f t="shared" si="4"/>
        <v>0</v>
      </c>
      <c r="M22" s="369">
        <f t="shared" si="4"/>
        <v>0</v>
      </c>
      <c r="N22" s="369">
        <f t="shared" si="4"/>
        <v>0</v>
      </c>
      <c r="O22" s="369">
        <f t="shared" si="4"/>
        <v>0</v>
      </c>
      <c r="P22" s="369">
        <f t="shared" si="4"/>
        <v>0</v>
      </c>
      <c r="Q22" s="369">
        <f t="shared" si="4"/>
        <v>0</v>
      </c>
      <c r="R22" s="36"/>
    </row>
    <row r="23" spans="1:50" ht="6" customHeight="1" x14ac:dyDescent="0.2">
      <c r="A23" s="355"/>
      <c r="B23" s="766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49"/>
      <c r="Q23" s="349"/>
    </row>
    <row r="24" spans="1:50" x14ac:dyDescent="0.2">
      <c r="A24" s="372" t="s">
        <v>859</v>
      </c>
      <c r="B24" s="766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57"/>
      <c r="P24" s="356"/>
      <c r="Q24" s="357"/>
      <c r="R24" s="31"/>
    </row>
    <row r="25" spans="1:50" x14ac:dyDescent="0.2">
      <c r="A25" s="363" t="s">
        <v>1024</v>
      </c>
      <c r="B25" s="766"/>
      <c r="C25" s="986">
        <f>DataBase!C82</f>
        <v>0</v>
      </c>
      <c r="D25" s="986">
        <f>DataBase!D82</f>
        <v>0</v>
      </c>
      <c r="E25" s="986">
        <f>DataBase!E82</f>
        <v>0</v>
      </c>
      <c r="F25" s="986">
        <f>DataBase!F82</f>
        <v>0</v>
      </c>
      <c r="G25" s="986">
        <f>DataBase!G82</f>
        <v>0</v>
      </c>
      <c r="H25" s="986">
        <f>DataBase!H82</f>
        <v>0</v>
      </c>
      <c r="I25" s="986">
        <f>DataBase!I82</f>
        <v>0</v>
      </c>
      <c r="J25" s="986">
        <f>DataBase!J82</f>
        <v>0</v>
      </c>
      <c r="K25" s="986">
        <f>DataBase!K82</f>
        <v>0</v>
      </c>
      <c r="L25" s="986">
        <f>DataBase!L82</f>
        <v>0</v>
      </c>
      <c r="M25" s="986">
        <f>DataBase!M82</f>
        <v>0</v>
      </c>
      <c r="N25" s="986">
        <f>DataBase!N82</f>
        <v>0</v>
      </c>
      <c r="O25" s="357">
        <f>SUM(C25:N25)</f>
        <v>0</v>
      </c>
      <c r="P25" s="356">
        <f>SUM(C25:D25)</f>
        <v>0</v>
      </c>
      <c r="Q25" s="357">
        <f>(O25-P25)</f>
        <v>0</v>
      </c>
      <c r="R25" s="31"/>
    </row>
    <row r="26" spans="1:50" s="26" customFormat="1" x14ac:dyDescent="0.2">
      <c r="A26" s="363" t="s">
        <v>100</v>
      </c>
      <c r="B26" s="770"/>
      <c r="C26" s="986">
        <f>DataBase!C83</f>
        <v>0</v>
      </c>
      <c r="D26" s="986">
        <f>DataBase!D83</f>
        <v>0</v>
      </c>
      <c r="E26" s="986">
        <f>DataBase!E83</f>
        <v>0</v>
      </c>
      <c r="F26" s="986">
        <f>DataBase!F83</f>
        <v>0</v>
      </c>
      <c r="G26" s="986">
        <f>DataBase!G83</f>
        <v>0</v>
      </c>
      <c r="H26" s="986">
        <f>DataBase!H83</f>
        <v>0</v>
      </c>
      <c r="I26" s="986">
        <f>DataBase!I83</f>
        <v>0</v>
      </c>
      <c r="J26" s="986">
        <f>DataBase!J83</f>
        <v>0</v>
      </c>
      <c r="K26" s="986">
        <f>DataBase!K83</f>
        <v>0</v>
      </c>
      <c r="L26" s="986">
        <f>DataBase!L83</f>
        <v>0</v>
      </c>
      <c r="M26" s="986">
        <f>DataBase!M83</f>
        <v>0</v>
      </c>
      <c r="N26" s="986">
        <f>DataBase!N83</f>
        <v>0</v>
      </c>
      <c r="O26" s="539">
        <f>SUM(C26:N26)</f>
        <v>0</v>
      </c>
      <c r="P26" s="356">
        <f>SUM(C26:D26)</f>
        <v>0</v>
      </c>
      <c r="Q26" s="539">
        <f>(O26-P26)</f>
        <v>0</v>
      </c>
    </row>
    <row r="27" spans="1:50" x14ac:dyDescent="0.2">
      <c r="A27" s="363" t="s">
        <v>101</v>
      </c>
      <c r="B27" s="766"/>
      <c r="C27" s="986">
        <f>DataBase!C84</f>
        <v>0</v>
      </c>
      <c r="D27" s="986">
        <f>DataBase!D84</f>
        <v>0</v>
      </c>
      <c r="E27" s="986">
        <f>DataBase!E84</f>
        <v>0</v>
      </c>
      <c r="F27" s="986">
        <f>DataBase!F84</f>
        <v>0</v>
      </c>
      <c r="G27" s="986">
        <f>DataBase!G84</f>
        <v>0</v>
      </c>
      <c r="H27" s="986">
        <f>DataBase!H84</f>
        <v>0</v>
      </c>
      <c r="I27" s="986">
        <f>DataBase!I84</f>
        <v>0</v>
      </c>
      <c r="J27" s="986">
        <f>DataBase!J84</f>
        <v>0</v>
      </c>
      <c r="K27" s="986">
        <f>DataBase!K84</f>
        <v>0</v>
      </c>
      <c r="L27" s="986">
        <f>DataBase!L84</f>
        <v>0</v>
      </c>
      <c r="M27" s="986">
        <f>DataBase!M84</f>
        <v>0</v>
      </c>
      <c r="N27" s="986">
        <f>DataBase!N84</f>
        <v>0</v>
      </c>
      <c r="O27" s="357">
        <f>SUM(C27:N27)</f>
        <v>0</v>
      </c>
      <c r="P27" s="356">
        <f>SUM(C27:D27)</f>
        <v>0</v>
      </c>
      <c r="Q27" s="357">
        <f>(O27-P27)</f>
        <v>0</v>
      </c>
      <c r="R27" s="31"/>
    </row>
    <row r="28" spans="1:50" x14ac:dyDescent="0.2">
      <c r="A28" s="363" t="s">
        <v>860</v>
      </c>
      <c r="B28" s="766"/>
      <c r="C28" s="362">
        <v>0</v>
      </c>
      <c r="D28" s="362">
        <v>0</v>
      </c>
      <c r="E28" s="362">
        <v>0</v>
      </c>
      <c r="F28" s="362">
        <v>0</v>
      </c>
      <c r="G28" s="362">
        <v>0</v>
      </c>
      <c r="H28" s="362">
        <v>0</v>
      </c>
      <c r="I28" s="362">
        <v>0</v>
      </c>
      <c r="J28" s="362">
        <v>0</v>
      </c>
      <c r="K28" s="362">
        <v>0</v>
      </c>
      <c r="L28" s="362">
        <v>0</v>
      </c>
      <c r="M28" s="362">
        <v>0</v>
      </c>
      <c r="N28" s="362">
        <v>0</v>
      </c>
      <c r="O28" s="358">
        <f>SUM(C28:N28)</f>
        <v>0</v>
      </c>
      <c r="P28" s="362">
        <f>SUM(C28:D28)</f>
        <v>0</v>
      </c>
      <c r="Q28" s="358">
        <f>(O28-P28)</f>
        <v>0</v>
      </c>
      <c r="R28" s="31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50" ht="3.95" customHeight="1" x14ac:dyDescent="0.2">
      <c r="A29" s="363"/>
      <c r="B29" s="766"/>
      <c r="C29" s="356"/>
      <c r="D29" s="356"/>
      <c r="E29" s="356"/>
      <c r="F29" s="356"/>
      <c r="G29" s="356"/>
      <c r="H29" s="356"/>
      <c r="I29" s="356"/>
      <c r="J29" s="356"/>
      <c r="K29" s="356"/>
      <c r="L29" s="356"/>
      <c r="M29" s="356"/>
      <c r="N29" s="356"/>
      <c r="O29" s="358"/>
      <c r="P29" s="362"/>
      <c r="Q29" s="358"/>
      <c r="R29" s="31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50" x14ac:dyDescent="0.2">
      <c r="A30" s="371" t="s">
        <v>861</v>
      </c>
      <c r="B30" s="766"/>
      <c r="C30" s="358">
        <f t="shared" ref="C30:Q30" si="5">SUM(C25:C28)</f>
        <v>0</v>
      </c>
      <c r="D30" s="358">
        <f t="shared" si="5"/>
        <v>0</v>
      </c>
      <c r="E30" s="358">
        <f t="shared" si="5"/>
        <v>0</v>
      </c>
      <c r="F30" s="358">
        <f t="shared" si="5"/>
        <v>0</v>
      </c>
      <c r="G30" s="358">
        <f t="shared" si="5"/>
        <v>0</v>
      </c>
      <c r="H30" s="358">
        <f t="shared" si="5"/>
        <v>0</v>
      </c>
      <c r="I30" s="358">
        <f t="shared" si="5"/>
        <v>0</v>
      </c>
      <c r="J30" s="358">
        <f t="shared" si="5"/>
        <v>0</v>
      </c>
      <c r="K30" s="358">
        <f t="shared" si="5"/>
        <v>0</v>
      </c>
      <c r="L30" s="358">
        <f t="shared" si="5"/>
        <v>0</v>
      </c>
      <c r="M30" s="358">
        <f t="shared" si="5"/>
        <v>0</v>
      </c>
      <c r="N30" s="358">
        <f t="shared" si="5"/>
        <v>0</v>
      </c>
      <c r="O30" s="358">
        <f t="shared" si="5"/>
        <v>0</v>
      </c>
      <c r="P30" s="358">
        <f t="shared" si="5"/>
        <v>0</v>
      </c>
      <c r="Q30" s="358">
        <f t="shared" si="5"/>
        <v>0</v>
      </c>
      <c r="R30" s="368"/>
      <c r="S30" s="36"/>
      <c r="T30" s="36"/>
      <c r="U30" s="37"/>
      <c r="V30" s="38"/>
      <c r="W30" s="38"/>
      <c r="X30" s="38"/>
      <c r="Y30" s="38"/>
      <c r="Z30" s="38"/>
      <c r="AA30" s="38"/>
      <c r="AB30" s="38"/>
      <c r="AC30" s="38"/>
      <c r="AD30" s="24"/>
      <c r="AE30" s="24"/>
      <c r="AF30" s="24"/>
      <c r="AH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6" customHeight="1" x14ac:dyDescent="0.2">
      <c r="A31" s="355"/>
      <c r="B31" s="766"/>
      <c r="C31" s="349"/>
      <c r="D31" s="349"/>
      <c r="E31" s="349"/>
      <c r="F31" s="349"/>
      <c r="G31" s="349"/>
      <c r="H31" s="349"/>
      <c r="I31" s="349"/>
      <c r="J31" s="349"/>
      <c r="K31" s="349"/>
      <c r="L31" s="349"/>
      <c r="M31" s="349"/>
      <c r="N31" s="349"/>
      <c r="O31" s="349"/>
      <c r="P31" s="349"/>
      <c r="Q31" s="349"/>
      <c r="R31" s="31"/>
    </row>
    <row r="32" spans="1:50" x14ac:dyDescent="0.2">
      <c r="A32" s="370" t="s">
        <v>952</v>
      </c>
      <c r="B32" s="770"/>
      <c r="C32" s="360">
        <f t="shared" ref="C32:Q32" si="6">C16+C22+C30</f>
        <v>0</v>
      </c>
      <c r="D32" s="360">
        <f t="shared" si="6"/>
        <v>0</v>
      </c>
      <c r="E32" s="360">
        <f t="shared" si="6"/>
        <v>0</v>
      </c>
      <c r="F32" s="360">
        <f t="shared" si="6"/>
        <v>0</v>
      </c>
      <c r="G32" s="360">
        <f t="shared" si="6"/>
        <v>0</v>
      </c>
      <c r="H32" s="360">
        <f t="shared" si="6"/>
        <v>0</v>
      </c>
      <c r="I32" s="360">
        <f t="shared" si="6"/>
        <v>0</v>
      </c>
      <c r="J32" s="360">
        <f t="shared" si="6"/>
        <v>0</v>
      </c>
      <c r="K32" s="360">
        <f t="shared" si="6"/>
        <v>0</v>
      </c>
      <c r="L32" s="360">
        <f t="shared" si="6"/>
        <v>0</v>
      </c>
      <c r="M32" s="360">
        <f t="shared" si="6"/>
        <v>0</v>
      </c>
      <c r="N32" s="360">
        <f t="shared" si="6"/>
        <v>0</v>
      </c>
      <c r="O32" s="360">
        <f t="shared" si="6"/>
        <v>0</v>
      </c>
      <c r="P32" s="360">
        <f t="shared" si="6"/>
        <v>0</v>
      </c>
      <c r="Q32" s="360">
        <f t="shared" si="6"/>
        <v>0</v>
      </c>
      <c r="R32" s="31"/>
      <c r="S32" s="39"/>
      <c r="T32" s="32"/>
      <c r="U32" s="32"/>
      <c r="V32" s="32"/>
      <c r="W32" s="32"/>
      <c r="X32" s="32"/>
      <c r="Y32" s="33"/>
      <c r="Z32" s="33"/>
      <c r="AA32" s="33"/>
      <c r="AJ32" s="24"/>
    </row>
    <row r="33" spans="1:46" ht="6" customHeight="1" x14ac:dyDescent="0.2">
      <c r="A33" s="355"/>
      <c r="B33" s="766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1"/>
    </row>
    <row r="34" spans="1:46" x14ac:dyDescent="0.2">
      <c r="A34" s="354" t="s">
        <v>862</v>
      </c>
      <c r="B34" s="766"/>
      <c r="C34" s="357">
        <f t="shared" ref="C34:N34" si="7">C16+C22</f>
        <v>0</v>
      </c>
      <c r="D34" s="357">
        <f t="shared" si="7"/>
        <v>0</v>
      </c>
      <c r="E34" s="357">
        <f t="shared" si="7"/>
        <v>0</v>
      </c>
      <c r="F34" s="357">
        <f t="shared" si="7"/>
        <v>0</v>
      </c>
      <c r="G34" s="357">
        <f t="shared" si="7"/>
        <v>0</v>
      </c>
      <c r="H34" s="357">
        <f t="shared" si="7"/>
        <v>0</v>
      </c>
      <c r="I34" s="357">
        <f t="shared" si="7"/>
        <v>0</v>
      </c>
      <c r="J34" s="357">
        <f t="shared" si="7"/>
        <v>0</v>
      </c>
      <c r="K34" s="357">
        <f t="shared" si="7"/>
        <v>0</v>
      </c>
      <c r="L34" s="357">
        <f t="shared" si="7"/>
        <v>0</v>
      </c>
      <c r="M34" s="357">
        <f t="shared" si="7"/>
        <v>0</v>
      </c>
      <c r="N34" s="357">
        <f t="shared" si="7"/>
        <v>0</v>
      </c>
      <c r="O34" s="357">
        <f>SUM(C34:N34)</f>
        <v>0</v>
      </c>
      <c r="P34" s="356">
        <f>SUM(C34:D34)</f>
        <v>0</v>
      </c>
      <c r="Q34" s="357">
        <f>(O34-P34)</f>
        <v>0</v>
      </c>
      <c r="R34" s="31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0"/>
      <c r="AI34" s="31"/>
    </row>
    <row r="35" spans="1:46" x14ac:dyDescent="0.2">
      <c r="A35" s="354" t="s">
        <v>863</v>
      </c>
      <c r="B35" s="766"/>
      <c r="C35" s="357">
        <f>C30</f>
        <v>0</v>
      </c>
      <c r="D35" s="357">
        <f>D30</f>
        <v>0</v>
      </c>
      <c r="E35" s="357">
        <v>0</v>
      </c>
      <c r="F35" s="357">
        <v>0</v>
      </c>
      <c r="G35" s="357">
        <f>G30</f>
        <v>0</v>
      </c>
      <c r="H35" s="357">
        <v>0</v>
      </c>
      <c r="I35" s="357">
        <v>0</v>
      </c>
      <c r="J35" s="357">
        <f>J30</f>
        <v>0</v>
      </c>
      <c r="K35" s="357">
        <f>K30</f>
        <v>0</v>
      </c>
      <c r="L35" s="357">
        <f>L30</f>
        <v>0</v>
      </c>
      <c r="M35" s="357">
        <f>M30</f>
        <v>0</v>
      </c>
      <c r="N35" s="357">
        <f>N30</f>
        <v>0</v>
      </c>
      <c r="O35" s="357">
        <f>SUM(C35:N35)</f>
        <v>0</v>
      </c>
      <c r="P35" s="356">
        <f>SUM(C35:D35)</f>
        <v>0</v>
      </c>
      <c r="Q35" s="357">
        <f>(O35-P35)</f>
        <v>0</v>
      </c>
      <c r="R35" s="31"/>
      <c r="S35" s="24"/>
      <c r="U35" s="40"/>
      <c r="V35" s="4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0"/>
      <c r="AI35" s="31"/>
      <c r="AJ35" s="24"/>
    </row>
    <row r="36" spans="1:46" ht="6" customHeight="1" x14ac:dyDescent="0.2">
      <c r="A36" s="355"/>
      <c r="B36" s="76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7"/>
      <c r="P36" s="356"/>
      <c r="Q36" s="357"/>
      <c r="R36" s="31"/>
      <c r="S36" s="24"/>
      <c r="U36" s="30"/>
      <c r="V36" s="30"/>
      <c r="W36" s="30"/>
      <c r="X36" s="31"/>
      <c r="Y36" s="31"/>
      <c r="Z36" s="31"/>
      <c r="AA36" s="31"/>
      <c r="AB36" s="31"/>
      <c r="AC36" s="31"/>
      <c r="AD36" s="31"/>
      <c r="AE36" s="30"/>
      <c r="AF36" s="30"/>
      <c r="AG36" s="31"/>
      <c r="AH36" s="30"/>
      <c r="AI36" s="31"/>
      <c r="AJ36" s="24"/>
    </row>
    <row r="37" spans="1:46" x14ac:dyDescent="0.2">
      <c r="A37" s="370" t="s">
        <v>864</v>
      </c>
      <c r="B37" s="766"/>
      <c r="C37" s="349"/>
      <c r="D37" s="349"/>
      <c r="E37" s="349"/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49"/>
      <c r="Q37" s="349"/>
      <c r="R37" s="31"/>
    </row>
    <row r="38" spans="1:46" x14ac:dyDescent="0.2">
      <c r="A38" s="363" t="s">
        <v>865</v>
      </c>
      <c r="B38" s="771" t="s">
        <v>630</v>
      </c>
      <c r="C38" s="481">
        <v>0</v>
      </c>
      <c r="D38" s="481">
        <v>0</v>
      </c>
      <c r="E38" s="481">
        <v>0</v>
      </c>
      <c r="F38" s="481">
        <v>0</v>
      </c>
      <c r="G38" s="481">
        <v>0</v>
      </c>
      <c r="H38" s="481">
        <v>0</v>
      </c>
      <c r="I38" s="481">
        <v>0</v>
      </c>
      <c r="J38" s="481">
        <v>0</v>
      </c>
      <c r="K38" s="481">
        <v>0</v>
      </c>
      <c r="L38" s="481">
        <v>0</v>
      </c>
      <c r="M38" s="481">
        <v>0</v>
      </c>
      <c r="N38" s="481">
        <v>0</v>
      </c>
      <c r="O38" s="357">
        <f t="shared" ref="O38:O43" si="8">SUM(C38:N38)</f>
        <v>0</v>
      </c>
      <c r="P38" s="356">
        <f t="shared" ref="P38:P43" si="9">SUM(C38:D38)</f>
        <v>0</v>
      </c>
      <c r="Q38" s="357">
        <f t="shared" ref="Q38:Q43" si="10">(O38-P38)</f>
        <v>0</v>
      </c>
      <c r="R38" s="31"/>
    </row>
    <row r="39" spans="1:46" x14ac:dyDescent="0.2">
      <c r="A39" s="363" t="s">
        <v>866</v>
      </c>
      <c r="B39" s="844" t="s">
        <v>1066</v>
      </c>
      <c r="C39" s="357">
        <f>Trackers!D170</f>
        <v>0</v>
      </c>
      <c r="D39" s="357">
        <f>Trackers!E170</f>
        <v>0</v>
      </c>
      <c r="E39" s="357">
        <f>Trackers!F170</f>
        <v>0</v>
      </c>
      <c r="F39" s="357">
        <f>Trackers!G170</f>
        <v>0</v>
      </c>
      <c r="G39" s="357">
        <f>Trackers!H170</f>
        <v>0</v>
      </c>
      <c r="H39" s="357">
        <f>Trackers!I170</f>
        <v>0</v>
      </c>
      <c r="I39" s="357">
        <f>Trackers!J170</f>
        <v>0</v>
      </c>
      <c r="J39" s="357">
        <f>Trackers!K170</f>
        <v>0</v>
      </c>
      <c r="K39" s="357">
        <f>Trackers!L170</f>
        <v>0</v>
      </c>
      <c r="L39" s="357">
        <f>Trackers!M170</f>
        <v>0</v>
      </c>
      <c r="M39" s="357">
        <f>Trackers!N170</f>
        <v>0</v>
      </c>
      <c r="N39" s="357">
        <f>Trackers!O170</f>
        <v>0</v>
      </c>
      <c r="O39" s="357">
        <f t="shared" si="8"/>
        <v>0</v>
      </c>
      <c r="P39" s="356">
        <f t="shared" si="9"/>
        <v>0</v>
      </c>
      <c r="Q39" s="357">
        <f t="shared" si="10"/>
        <v>0</v>
      </c>
      <c r="R39" s="31"/>
    </row>
    <row r="40" spans="1:46" x14ac:dyDescent="0.2">
      <c r="A40" s="363" t="s">
        <v>867</v>
      </c>
      <c r="B40" s="844" t="s">
        <v>1066</v>
      </c>
      <c r="C40" s="357">
        <f>Trackers!D223</f>
        <v>0</v>
      </c>
      <c r="D40" s="357">
        <f>Trackers!E223</f>
        <v>0</v>
      </c>
      <c r="E40" s="357">
        <f>Trackers!F223</f>
        <v>0</v>
      </c>
      <c r="F40" s="357">
        <f>Trackers!G223</f>
        <v>0</v>
      </c>
      <c r="G40" s="357">
        <f>Trackers!H223</f>
        <v>0</v>
      </c>
      <c r="H40" s="357">
        <f>Trackers!I223</f>
        <v>0</v>
      </c>
      <c r="I40" s="357">
        <f>Trackers!J223</f>
        <v>0</v>
      </c>
      <c r="J40" s="357">
        <f>Trackers!K223</f>
        <v>0</v>
      </c>
      <c r="K40" s="357">
        <f>Trackers!L223</f>
        <v>0</v>
      </c>
      <c r="L40" s="357">
        <f>Trackers!M223</f>
        <v>0</v>
      </c>
      <c r="M40" s="357">
        <f>Trackers!N223</f>
        <v>0</v>
      </c>
      <c r="N40" s="357">
        <f>Trackers!O223</f>
        <v>0</v>
      </c>
      <c r="O40" s="357">
        <f t="shared" si="8"/>
        <v>0</v>
      </c>
      <c r="P40" s="356">
        <f t="shared" si="9"/>
        <v>0</v>
      </c>
      <c r="Q40" s="357">
        <f t="shared" si="10"/>
        <v>0</v>
      </c>
      <c r="R40" s="31"/>
    </row>
    <row r="41" spans="1:46" x14ac:dyDescent="0.2">
      <c r="A41" s="363" t="s">
        <v>868</v>
      </c>
      <c r="B41" s="844" t="s">
        <v>1066</v>
      </c>
      <c r="C41" s="357">
        <f>Trackers!D536</f>
        <v>0</v>
      </c>
      <c r="D41" s="357">
        <f>Trackers!E536</f>
        <v>0</v>
      </c>
      <c r="E41" s="357">
        <f>Trackers!F536</f>
        <v>0</v>
      </c>
      <c r="F41" s="357">
        <f>Trackers!G536</f>
        <v>0</v>
      </c>
      <c r="G41" s="357">
        <f>Trackers!H536</f>
        <v>0</v>
      </c>
      <c r="H41" s="357">
        <f>Trackers!I536</f>
        <v>0</v>
      </c>
      <c r="I41" s="357">
        <f>Trackers!J536</f>
        <v>0</v>
      </c>
      <c r="J41" s="357">
        <f>Trackers!K536</f>
        <v>0</v>
      </c>
      <c r="K41" s="357">
        <f>Trackers!L536</f>
        <v>0</v>
      </c>
      <c r="L41" s="357">
        <f>Trackers!M536</f>
        <v>0</v>
      </c>
      <c r="M41" s="357">
        <f>Trackers!N536</f>
        <v>0</v>
      </c>
      <c r="N41" s="357">
        <f>Trackers!O536</f>
        <v>0</v>
      </c>
      <c r="O41" s="357">
        <f t="shared" si="8"/>
        <v>0</v>
      </c>
      <c r="P41" s="356">
        <f t="shared" si="9"/>
        <v>0</v>
      </c>
      <c r="Q41" s="357">
        <f t="shared" si="10"/>
        <v>0</v>
      </c>
      <c r="R41" s="31"/>
    </row>
    <row r="42" spans="1:46" x14ac:dyDescent="0.2">
      <c r="A42" s="363" t="s">
        <v>870</v>
      </c>
      <c r="B42" s="844" t="s">
        <v>1066</v>
      </c>
      <c r="C42" s="357">
        <f>Trackers!D588</f>
        <v>0</v>
      </c>
      <c r="D42" s="357">
        <f>Trackers!E588</f>
        <v>0</v>
      </c>
      <c r="E42" s="357">
        <f>Trackers!F588</f>
        <v>0</v>
      </c>
      <c r="F42" s="357">
        <f>Trackers!G588</f>
        <v>0</v>
      </c>
      <c r="G42" s="357">
        <f>Trackers!H588</f>
        <v>0</v>
      </c>
      <c r="H42" s="357">
        <f>Trackers!I588</f>
        <v>0</v>
      </c>
      <c r="I42" s="357">
        <f>Trackers!J588</f>
        <v>0</v>
      </c>
      <c r="J42" s="357">
        <f>Trackers!K588</f>
        <v>0</v>
      </c>
      <c r="K42" s="357">
        <f>Trackers!L588</f>
        <v>0</v>
      </c>
      <c r="L42" s="357">
        <f>Trackers!M588</f>
        <v>0</v>
      </c>
      <c r="M42" s="357">
        <f>Trackers!N588</f>
        <v>0</v>
      </c>
      <c r="N42" s="357">
        <f>Trackers!O588</f>
        <v>0</v>
      </c>
      <c r="O42" s="357">
        <f t="shared" si="8"/>
        <v>0</v>
      </c>
      <c r="P42" s="356">
        <f t="shared" si="9"/>
        <v>0</v>
      </c>
      <c r="Q42" s="357">
        <f t="shared" si="10"/>
        <v>0</v>
      </c>
      <c r="R42" s="31"/>
    </row>
    <row r="43" spans="1:46" x14ac:dyDescent="0.2">
      <c r="A43" s="363" t="s">
        <v>871</v>
      </c>
      <c r="B43" s="771" t="s">
        <v>630</v>
      </c>
      <c r="C43" s="362">
        <v>0</v>
      </c>
      <c r="D43" s="362">
        <v>0</v>
      </c>
      <c r="E43" s="362">
        <v>0</v>
      </c>
      <c r="F43" s="362">
        <v>0</v>
      </c>
      <c r="G43" s="362">
        <v>0</v>
      </c>
      <c r="H43" s="362">
        <v>0</v>
      </c>
      <c r="I43" s="362">
        <v>0</v>
      </c>
      <c r="J43" s="362">
        <v>0</v>
      </c>
      <c r="K43" s="362">
        <v>0</v>
      </c>
      <c r="L43" s="362">
        <v>0</v>
      </c>
      <c r="M43" s="362">
        <v>0</v>
      </c>
      <c r="N43" s="362">
        <v>0</v>
      </c>
      <c r="O43" s="358">
        <f t="shared" si="8"/>
        <v>0</v>
      </c>
      <c r="P43" s="362">
        <f t="shared" si="9"/>
        <v>0</v>
      </c>
      <c r="Q43" s="358">
        <f t="shared" si="10"/>
        <v>0</v>
      </c>
      <c r="R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0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1:46" ht="3.95" customHeight="1" x14ac:dyDescent="0.2">
      <c r="A44" s="349"/>
      <c r="B44" s="766"/>
      <c r="C44" s="359"/>
      <c r="D44" s="359"/>
      <c r="E44" s="359"/>
      <c r="F44" s="359"/>
      <c r="G44" s="359"/>
      <c r="H44" s="359"/>
      <c r="I44" s="359"/>
      <c r="J44" s="359"/>
      <c r="K44" s="359"/>
      <c r="L44" s="359"/>
      <c r="M44" s="359"/>
      <c r="N44" s="359"/>
      <c r="O44" s="359"/>
      <c r="P44" s="359"/>
      <c r="Q44" s="359"/>
    </row>
    <row r="45" spans="1:46" x14ac:dyDescent="0.2">
      <c r="A45" s="370" t="s">
        <v>872</v>
      </c>
      <c r="B45" s="772"/>
      <c r="C45" s="360">
        <f t="shared" ref="C45:Q45" si="11">SUM(C38:C43)</f>
        <v>0</v>
      </c>
      <c r="D45" s="360">
        <f t="shared" si="11"/>
        <v>0</v>
      </c>
      <c r="E45" s="360">
        <f t="shared" si="11"/>
        <v>0</v>
      </c>
      <c r="F45" s="360">
        <f t="shared" si="11"/>
        <v>0</v>
      </c>
      <c r="G45" s="360">
        <f t="shared" si="11"/>
        <v>0</v>
      </c>
      <c r="H45" s="360">
        <f t="shared" si="11"/>
        <v>0</v>
      </c>
      <c r="I45" s="360">
        <f t="shared" si="11"/>
        <v>0</v>
      </c>
      <c r="J45" s="360">
        <f t="shared" si="11"/>
        <v>0</v>
      </c>
      <c r="K45" s="360">
        <f t="shared" si="11"/>
        <v>0</v>
      </c>
      <c r="L45" s="360">
        <f t="shared" si="11"/>
        <v>0</v>
      </c>
      <c r="M45" s="360">
        <f t="shared" si="11"/>
        <v>0</v>
      </c>
      <c r="N45" s="360">
        <f t="shared" si="11"/>
        <v>0</v>
      </c>
      <c r="O45" s="360">
        <f t="shared" si="11"/>
        <v>0</v>
      </c>
      <c r="P45" s="360">
        <f t="shared" si="11"/>
        <v>0</v>
      </c>
      <c r="Q45" s="360">
        <f t="shared" si="11"/>
        <v>0</v>
      </c>
      <c r="R45" s="35"/>
      <c r="S45" s="35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ht="6" customHeight="1" x14ac:dyDescent="0.2">
      <c r="A46" s="355"/>
      <c r="B46" s="76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7"/>
      <c r="P46" s="356"/>
      <c r="Q46" s="357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x14ac:dyDescent="0.2">
      <c r="A47" s="370" t="s">
        <v>873</v>
      </c>
      <c r="B47" s="766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1"/>
      <c r="S47" s="31"/>
      <c r="T47" s="31"/>
      <c r="U47" s="31"/>
      <c r="V47" s="31"/>
      <c r="W47" s="31"/>
      <c r="X47" s="31"/>
    </row>
    <row r="48" spans="1:46" x14ac:dyDescent="0.2">
      <c r="A48" s="363" t="s">
        <v>865</v>
      </c>
      <c r="B48" s="771" t="s">
        <v>630</v>
      </c>
      <c r="C48" s="481">
        <v>0</v>
      </c>
      <c r="D48" s="481">
        <v>0</v>
      </c>
      <c r="E48" s="481">
        <v>0</v>
      </c>
      <c r="F48" s="481">
        <v>0</v>
      </c>
      <c r="G48" s="481">
        <v>0</v>
      </c>
      <c r="H48" s="481">
        <v>0</v>
      </c>
      <c r="I48" s="481">
        <v>0</v>
      </c>
      <c r="J48" s="481">
        <v>0</v>
      </c>
      <c r="K48" s="481">
        <v>0</v>
      </c>
      <c r="L48" s="481">
        <v>0</v>
      </c>
      <c r="M48" s="481">
        <v>0</v>
      </c>
      <c r="N48" s="481">
        <v>0</v>
      </c>
      <c r="O48" s="357">
        <f t="shared" ref="O48:O55" si="12">SUM(C48:N48)</f>
        <v>0</v>
      </c>
      <c r="P48" s="356">
        <f t="shared" ref="P48:P55" si="13">SUM(C48:D48)</f>
        <v>0</v>
      </c>
      <c r="Q48" s="357">
        <f t="shared" ref="Q48:Q55" si="14">(O48-P48)</f>
        <v>0</v>
      </c>
    </row>
    <row r="49" spans="1:24" x14ac:dyDescent="0.2">
      <c r="A49" s="363" t="s">
        <v>866</v>
      </c>
      <c r="B49" s="844" t="s">
        <v>1066</v>
      </c>
      <c r="C49" s="357">
        <f>-Trackers!D179</f>
        <v>0</v>
      </c>
      <c r="D49" s="357">
        <f>-Trackers!E179</f>
        <v>0</v>
      </c>
      <c r="E49" s="357">
        <f>-Trackers!F179</f>
        <v>0</v>
      </c>
      <c r="F49" s="357">
        <f>-Trackers!G179</f>
        <v>0</v>
      </c>
      <c r="G49" s="357">
        <f>-Trackers!H179</f>
        <v>0</v>
      </c>
      <c r="H49" s="357">
        <f>-Trackers!I179</f>
        <v>0</v>
      </c>
      <c r="I49" s="357">
        <f>-Trackers!J179</f>
        <v>0</v>
      </c>
      <c r="J49" s="357">
        <f>-Trackers!K179</f>
        <v>0</v>
      </c>
      <c r="K49" s="357">
        <f>-Trackers!L179</f>
        <v>0</v>
      </c>
      <c r="L49" s="357">
        <f>-Trackers!M179</f>
        <v>0</v>
      </c>
      <c r="M49" s="357">
        <f>-Trackers!N179</f>
        <v>0</v>
      </c>
      <c r="N49" s="357">
        <f>-Trackers!O179</f>
        <v>0</v>
      </c>
      <c r="O49" s="357">
        <f t="shared" si="12"/>
        <v>0</v>
      </c>
      <c r="P49" s="356">
        <f t="shared" si="13"/>
        <v>0</v>
      </c>
      <c r="Q49" s="357">
        <f t="shared" si="14"/>
        <v>0</v>
      </c>
    </row>
    <row r="50" spans="1:24" x14ac:dyDescent="0.2">
      <c r="A50" s="363" t="s">
        <v>874</v>
      </c>
      <c r="B50" s="844" t="s">
        <v>1066</v>
      </c>
      <c r="C50" s="357">
        <f>-Trackers!D95</f>
        <v>0</v>
      </c>
      <c r="D50" s="357">
        <f>-Trackers!E95</f>
        <v>0</v>
      </c>
      <c r="E50" s="357">
        <f>-Trackers!F95</f>
        <v>0</v>
      </c>
      <c r="F50" s="357">
        <f>-Trackers!G95</f>
        <v>0</v>
      </c>
      <c r="G50" s="357">
        <f>-Trackers!H95</f>
        <v>0</v>
      </c>
      <c r="H50" s="357">
        <f>-Trackers!I95</f>
        <v>0</v>
      </c>
      <c r="I50" s="357">
        <f>-Trackers!J95</f>
        <v>0</v>
      </c>
      <c r="J50" s="357">
        <f>-Trackers!K95</f>
        <v>0</v>
      </c>
      <c r="K50" s="357">
        <f>-Trackers!L95</f>
        <v>0</v>
      </c>
      <c r="L50" s="357">
        <f>-Trackers!M95</f>
        <v>0</v>
      </c>
      <c r="M50" s="357">
        <f>-Trackers!N95</f>
        <v>0</v>
      </c>
      <c r="N50" s="357">
        <f>-Trackers!O95</f>
        <v>0</v>
      </c>
      <c r="O50" s="357">
        <f t="shared" si="12"/>
        <v>0</v>
      </c>
      <c r="P50" s="356">
        <f t="shared" si="13"/>
        <v>0</v>
      </c>
      <c r="Q50" s="357">
        <f t="shared" si="14"/>
        <v>0</v>
      </c>
      <c r="R50" s="31"/>
      <c r="S50" s="31"/>
      <c r="T50" s="31"/>
      <c r="U50" s="31"/>
      <c r="V50" s="31"/>
      <c r="W50" s="31"/>
      <c r="X50" s="31"/>
    </row>
    <row r="51" spans="1:24" x14ac:dyDescent="0.2">
      <c r="A51" s="363" t="s">
        <v>875</v>
      </c>
      <c r="B51" s="844" t="s">
        <v>1066</v>
      </c>
      <c r="C51" s="357">
        <f>-Trackers!D93</f>
        <v>0</v>
      </c>
      <c r="D51" s="357">
        <f>-Trackers!E93</f>
        <v>0</v>
      </c>
      <c r="E51" s="357">
        <f>-Trackers!F93</f>
        <v>0</v>
      </c>
      <c r="F51" s="357">
        <f>-Trackers!G93</f>
        <v>0</v>
      </c>
      <c r="G51" s="357">
        <f>-Trackers!H93</f>
        <v>0</v>
      </c>
      <c r="H51" s="357">
        <f>-Trackers!I93</f>
        <v>0</v>
      </c>
      <c r="I51" s="357">
        <f>-Trackers!J93</f>
        <v>0</v>
      </c>
      <c r="J51" s="357">
        <f>-Trackers!K93</f>
        <v>0</v>
      </c>
      <c r="K51" s="357">
        <f>-Trackers!L93</f>
        <v>0</v>
      </c>
      <c r="L51" s="357">
        <f>-Trackers!M93</f>
        <v>0</v>
      </c>
      <c r="M51" s="357">
        <f>-Trackers!N93</f>
        <v>0</v>
      </c>
      <c r="N51" s="357">
        <f>-Trackers!O93</f>
        <v>0</v>
      </c>
      <c r="O51" s="357">
        <f t="shared" si="12"/>
        <v>0</v>
      </c>
      <c r="P51" s="356">
        <f t="shared" si="13"/>
        <v>0</v>
      </c>
      <c r="Q51" s="357">
        <f t="shared" si="14"/>
        <v>0</v>
      </c>
      <c r="R51" s="31"/>
      <c r="T51" s="31"/>
      <c r="U51" s="31"/>
      <c r="V51" s="31"/>
      <c r="W51" s="31"/>
      <c r="X51" s="31"/>
    </row>
    <row r="52" spans="1:24" x14ac:dyDescent="0.2">
      <c r="A52" s="363" t="s">
        <v>876</v>
      </c>
      <c r="B52" s="844" t="s">
        <v>1066</v>
      </c>
      <c r="C52" s="357">
        <f>-Trackers!D293</f>
        <v>0</v>
      </c>
      <c r="D52" s="357">
        <f>-Trackers!E293</f>
        <v>0</v>
      </c>
      <c r="E52" s="357">
        <f>-Trackers!F293</f>
        <v>0</v>
      </c>
      <c r="F52" s="357">
        <f>-Trackers!G293</f>
        <v>0</v>
      </c>
      <c r="G52" s="357">
        <f>-Trackers!H293</f>
        <v>0</v>
      </c>
      <c r="H52" s="357">
        <f>-Trackers!I293</f>
        <v>0</v>
      </c>
      <c r="I52" s="357">
        <f>-Trackers!J293</f>
        <v>0</v>
      </c>
      <c r="J52" s="357">
        <f>-Trackers!K293</f>
        <v>0</v>
      </c>
      <c r="K52" s="357">
        <f>-Trackers!L293</f>
        <v>0</v>
      </c>
      <c r="L52" s="357">
        <f>-Trackers!M293</f>
        <v>0</v>
      </c>
      <c r="M52" s="357">
        <f>-Trackers!N293</f>
        <v>0</v>
      </c>
      <c r="N52" s="357">
        <f>-Trackers!O293</f>
        <v>0</v>
      </c>
      <c r="O52" s="357">
        <f t="shared" si="12"/>
        <v>0</v>
      </c>
      <c r="P52" s="356">
        <f t="shared" si="13"/>
        <v>0</v>
      </c>
      <c r="Q52" s="357">
        <f t="shared" si="14"/>
        <v>0</v>
      </c>
      <c r="R52" s="31"/>
      <c r="S52" s="31"/>
    </row>
    <row r="53" spans="1:24" x14ac:dyDescent="0.2">
      <c r="A53" s="363" t="s">
        <v>877</v>
      </c>
      <c r="B53" s="844" t="s">
        <v>1066</v>
      </c>
      <c r="C53" s="357">
        <f>-Trackers!D232</f>
        <v>0</v>
      </c>
      <c r="D53" s="357">
        <f>-Trackers!E232</f>
        <v>0</v>
      </c>
      <c r="E53" s="357">
        <f>-Trackers!F232</f>
        <v>0</v>
      </c>
      <c r="F53" s="357">
        <f>-Trackers!G232</f>
        <v>0</v>
      </c>
      <c r="G53" s="357">
        <f>-Trackers!H232</f>
        <v>0</v>
      </c>
      <c r="H53" s="357">
        <f>-Trackers!I232</f>
        <v>0</v>
      </c>
      <c r="I53" s="357">
        <f>-Trackers!J232</f>
        <v>0</v>
      </c>
      <c r="J53" s="357">
        <f>-Trackers!K232</f>
        <v>0</v>
      </c>
      <c r="K53" s="357">
        <f>-Trackers!L232</f>
        <v>0</v>
      </c>
      <c r="L53" s="357">
        <f>-Trackers!M232</f>
        <v>0</v>
      </c>
      <c r="M53" s="357">
        <f>-Trackers!N232</f>
        <v>0</v>
      </c>
      <c r="N53" s="357">
        <f>-Trackers!O232</f>
        <v>0</v>
      </c>
      <c r="O53" s="357">
        <f t="shared" si="12"/>
        <v>0</v>
      </c>
      <c r="P53" s="356">
        <f t="shared" si="13"/>
        <v>0</v>
      </c>
      <c r="Q53" s="357">
        <f t="shared" si="14"/>
        <v>0</v>
      </c>
      <c r="R53" s="31"/>
      <c r="S53" s="31"/>
      <c r="T53" s="31"/>
      <c r="U53" s="31"/>
      <c r="V53" s="31"/>
      <c r="W53" s="31"/>
      <c r="X53" s="31"/>
    </row>
    <row r="54" spans="1:24" x14ac:dyDescent="0.2">
      <c r="A54" s="363" t="s">
        <v>878</v>
      </c>
      <c r="B54" s="844" t="s">
        <v>1066</v>
      </c>
      <c r="C54" s="357">
        <f>-Trackers!D545</f>
        <v>0</v>
      </c>
      <c r="D54" s="357">
        <f>-Trackers!E545</f>
        <v>0</v>
      </c>
      <c r="E54" s="357">
        <f>-Trackers!F545</f>
        <v>0</v>
      </c>
      <c r="F54" s="357">
        <f>-Trackers!G545</f>
        <v>0</v>
      </c>
      <c r="G54" s="357">
        <f>-Trackers!H545</f>
        <v>0</v>
      </c>
      <c r="H54" s="357">
        <f>-Trackers!I545</f>
        <v>0</v>
      </c>
      <c r="I54" s="357">
        <f>-Trackers!J545</f>
        <v>0</v>
      </c>
      <c r="J54" s="357">
        <f>-Trackers!K545</f>
        <v>0</v>
      </c>
      <c r="K54" s="357">
        <f>-Trackers!L545</f>
        <v>0</v>
      </c>
      <c r="L54" s="357">
        <f>-Trackers!M545</f>
        <v>0</v>
      </c>
      <c r="M54" s="357">
        <f>-Trackers!N545</f>
        <v>0</v>
      </c>
      <c r="N54" s="357">
        <f>-Trackers!O545</f>
        <v>0</v>
      </c>
      <c r="O54" s="357">
        <f t="shared" si="12"/>
        <v>0</v>
      </c>
      <c r="P54" s="356">
        <f t="shared" si="13"/>
        <v>0</v>
      </c>
      <c r="Q54" s="357">
        <f t="shared" si="14"/>
        <v>0</v>
      </c>
      <c r="R54" s="31"/>
    </row>
    <row r="55" spans="1:24" x14ac:dyDescent="0.2">
      <c r="A55" s="363" t="s">
        <v>879</v>
      </c>
      <c r="B55" s="844" t="s">
        <v>1066</v>
      </c>
      <c r="C55" s="358">
        <f>-Trackers!D597</f>
        <v>0</v>
      </c>
      <c r="D55" s="358">
        <f>-Trackers!E597</f>
        <v>0</v>
      </c>
      <c r="E55" s="358">
        <f>-Trackers!F597</f>
        <v>0</v>
      </c>
      <c r="F55" s="358">
        <f>-Trackers!G597</f>
        <v>0</v>
      </c>
      <c r="G55" s="358">
        <f>-Trackers!H597</f>
        <v>0</v>
      </c>
      <c r="H55" s="358">
        <f>-Trackers!I597</f>
        <v>0</v>
      </c>
      <c r="I55" s="358">
        <f>-Trackers!J597</f>
        <v>0</v>
      </c>
      <c r="J55" s="358">
        <f>-Trackers!K597</f>
        <v>0</v>
      </c>
      <c r="K55" s="358">
        <f>-Trackers!L597</f>
        <v>0</v>
      </c>
      <c r="L55" s="358">
        <f>-Trackers!M597</f>
        <v>0</v>
      </c>
      <c r="M55" s="358">
        <f>-Trackers!N597</f>
        <v>0</v>
      </c>
      <c r="N55" s="358">
        <f>-Trackers!O597</f>
        <v>0</v>
      </c>
      <c r="O55" s="358">
        <f t="shared" si="12"/>
        <v>0</v>
      </c>
      <c r="P55" s="362">
        <f t="shared" si="13"/>
        <v>0</v>
      </c>
      <c r="Q55" s="358">
        <f t="shared" si="14"/>
        <v>0</v>
      </c>
      <c r="R55" s="32"/>
      <c r="S55" s="33"/>
      <c r="T55" s="33"/>
      <c r="U55" s="33"/>
      <c r="V55" s="33"/>
      <c r="W55" s="33"/>
    </row>
    <row r="56" spans="1:24" ht="3.95" customHeight="1" x14ac:dyDescent="0.2">
      <c r="A56" s="349"/>
      <c r="B56" s="766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3"/>
      <c r="S56" s="33"/>
    </row>
    <row r="57" spans="1:24" x14ac:dyDescent="0.2">
      <c r="A57" s="370" t="s">
        <v>880</v>
      </c>
      <c r="B57" s="770"/>
      <c r="C57" s="360">
        <f t="shared" ref="C57:Q57" si="15">SUM(C48:C55)</f>
        <v>0</v>
      </c>
      <c r="D57" s="360">
        <f t="shared" si="15"/>
        <v>0</v>
      </c>
      <c r="E57" s="360">
        <f t="shared" si="15"/>
        <v>0</v>
      </c>
      <c r="F57" s="360">
        <f t="shared" si="15"/>
        <v>0</v>
      </c>
      <c r="G57" s="360">
        <f t="shared" si="15"/>
        <v>0</v>
      </c>
      <c r="H57" s="360">
        <f t="shared" si="15"/>
        <v>0</v>
      </c>
      <c r="I57" s="360">
        <f t="shared" si="15"/>
        <v>0</v>
      </c>
      <c r="J57" s="360">
        <f t="shared" si="15"/>
        <v>0</v>
      </c>
      <c r="K57" s="360">
        <f t="shared" si="15"/>
        <v>0</v>
      </c>
      <c r="L57" s="360">
        <f t="shared" si="15"/>
        <v>0</v>
      </c>
      <c r="M57" s="360">
        <f t="shared" si="15"/>
        <v>0</v>
      </c>
      <c r="N57" s="360">
        <f t="shared" si="15"/>
        <v>0</v>
      </c>
      <c r="O57" s="360">
        <f t="shared" si="15"/>
        <v>0</v>
      </c>
      <c r="P57" s="360">
        <f t="shared" si="15"/>
        <v>0</v>
      </c>
      <c r="Q57" s="360">
        <f t="shared" si="15"/>
        <v>0</v>
      </c>
      <c r="R57" s="34"/>
      <c r="S57" s="34"/>
      <c r="T57" s="31"/>
      <c r="U57" s="31"/>
      <c r="V57" s="31"/>
      <c r="W57" s="31"/>
      <c r="X57" s="31"/>
    </row>
    <row r="58" spans="1:24" ht="8.1" customHeight="1" x14ac:dyDescent="0.2">
      <c r="A58" s="355"/>
      <c r="B58" s="769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57"/>
      <c r="P58" s="357"/>
      <c r="Q58" s="357"/>
      <c r="R58" s="31"/>
      <c r="S58" s="31"/>
      <c r="T58" s="31"/>
      <c r="U58" s="31"/>
      <c r="V58" s="31"/>
      <c r="W58" s="31"/>
      <c r="X58" s="31"/>
    </row>
    <row r="59" spans="1:24" ht="12.75" customHeight="1" x14ac:dyDescent="0.2">
      <c r="A59" s="306" t="s">
        <v>1067</v>
      </c>
      <c r="B59" s="769"/>
      <c r="C59" s="845">
        <v>0</v>
      </c>
      <c r="D59" s="845">
        <v>0</v>
      </c>
      <c r="E59" s="845">
        <v>0</v>
      </c>
      <c r="F59" s="845">
        <v>0</v>
      </c>
      <c r="G59" s="845">
        <v>0</v>
      </c>
      <c r="H59" s="845">
        <v>0</v>
      </c>
      <c r="I59" s="845">
        <v>0</v>
      </c>
      <c r="J59" s="845">
        <v>0</v>
      </c>
      <c r="K59" s="845">
        <v>0</v>
      </c>
      <c r="L59" s="845">
        <v>0</v>
      </c>
      <c r="M59" s="845">
        <v>0</v>
      </c>
      <c r="N59" s="845">
        <v>0</v>
      </c>
      <c r="O59" s="357">
        <f>SUM(C59:N59)</f>
        <v>0</v>
      </c>
      <c r="P59" s="356">
        <f>SUM(C59:D59)</f>
        <v>0</v>
      </c>
      <c r="Q59" s="357">
        <f>(O59-P59)</f>
        <v>0</v>
      </c>
      <c r="R59" s="31"/>
      <c r="S59" s="31"/>
      <c r="T59" s="31"/>
      <c r="U59" s="31"/>
      <c r="V59" s="31"/>
      <c r="W59" s="31"/>
      <c r="X59" s="31"/>
    </row>
    <row r="60" spans="1:24" ht="12.75" customHeight="1" x14ac:dyDescent="0.2">
      <c r="A60" s="363" t="s">
        <v>1068</v>
      </c>
      <c r="B60" s="844" t="s">
        <v>1066</v>
      </c>
      <c r="C60" s="467">
        <f>'Transport-OtherRev'!C78</f>
        <v>0</v>
      </c>
      <c r="D60" s="467">
        <f>'Transport-OtherRev'!D78</f>
        <v>0</v>
      </c>
      <c r="E60" s="467">
        <f>'Transport-OtherRev'!E78</f>
        <v>0</v>
      </c>
      <c r="F60" s="467">
        <f>'Transport-OtherRev'!F78</f>
        <v>0</v>
      </c>
      <c r="G60" s="467">
        <f>'Transport-OtherRev'!G78</f>
        <v>0</v>
      </c>
      <c r="H60" s="467">
        <f>'Transport-OtherRev'!H78</f>
        <v>0</v>
      </c>
      <c r="I60" s="467">
        <f>'Transport-OtherRev'!I78</f>
        <v>0</v>
      </c>
      <c r="J60" s="467">
        <f>'Transport-OtherRev'!J78</f>
        <v>0</v>
      </c>
      <c r="K60" s="467">
        <f>'Transport-OtherRev'!K78</f>
        <v>0</v>
      </c>
      <c r="L60" s="467">
        <f>'Transport-OtherRev'!L78</f>
        <v>0</v>
      </c>
      <c r="M60" s="467">
        <f>'Transport-OtherRev'!M78</f>
        <v>0</v>
      </c>
      <c r="N60" s="467">
        <f>'Transport-OtherRev'!N78</f>
        <v>0</v>
      </c>
      <c r="O60" s="357">
        <f>SUM(C60:N60)</f>
        <v>0</v>
      </c>
      <c r="P60" s="356">
        <f>SUM(C60:D60)</f>
        <v>0</v>
      </c>
      <c r="Q60" s="357">
        <f>(O60-P60)</f>
        <v>0</v>
      </c>
      <c r="R60" s="31"/>
      <c r="S60" s="31"/>
      <c r="T60" s="31"/>
      <c r="U60" s="31"/>
      <c r="V60" s="31"/>
      <c r="W60" s="31"/>
      <c r="X60" s="31"/>
    </row>
    <row r="61" spans="1:24" ht="12.75" customHeight="1" x14ac:dyDescent="0.2">
      <c r="A61" s="363" t="s">
        <v>1069</v>
      </c>
      <c r="B61" s="844" t="s">
        <v>1066</v>
      </c>
      <c r="C61" s="305">
        <f>-'Transport-OtherRev'!C87</f>
        <v>0</v>
      </c>
      <c r="D61" s="305">
        <f>-'Transport-OtherRev'!D87</f>
        <v>0</v>
      </c>
      <c r="E61" s="305">
        <f>-'Transport-OtherRev'!E87</f>
        <v>0</v>
      </c>
      <c r="F61" s="305">
        <f>-'Transport-OtherRev'!F87</f>
        <v>0</v>
      </c>
      <c r="G61" s="305">
        <f>-'Transport-OtherRev'!G87</f>
        <v>0</v>
      </c>
      <c r="H61" s="305">
        <f>-'Transport-OtherRev'!H87</f>
        <v>0</v>
      </c>
      <c r="I61" s="305">
        <f>-'Transport-OtherRev'!I87</f>
        <v>0</v>
      </c>
      <c r="J61" s="305">
        <f>-'Transport-OtherRev'!J87</f>
        <v>0</v>
      </c>
      <c r="K61" s="305">
        <f>-'Transport-OtherRev'!K87</f>
        <v>0</v>
      </c>
      <c r="L61" s="305">
        <f>-'Transport-OtherRev'!L87</f>
        <v>0</v>
      </c>
      <c r="M61" s="305">
        <f>-'Transport-OtherRev'!M87</f>
        <v>0</v>
      </c>
      <c r="N61" s="305">
        <f>-'Transport-OtherRev'!N87</f>
        <v>0</v>
      </c>
      <c r="O61" s="358">
        <f>SUM(C61:N61)</f>
        <v>0</v>
      </c>
      <c r="P61" s="362">
        <f>SUM(C61:D61)</f>
        <v>0</v>
      </c>
      <c r="Q61" s="358">
        <f>(O61-P61)</f>
        <v>0</v>
      </c>
      <c r="R61" s="31"/>
      <c r="S61" s="31"/>
      <c r="T61" s="31"/>
      <c r="U61" s="31"/>
      <c r="V61" s="31"/>
      <c r="W61" s="31"/>
      <c r="X61" s="31"/>
    </row>
    <row r="62" spans="1:24" ht="3.95" customHeight="1" x14ac:dyDescent="0.2">
      <c r="A62" s="355"/>
      <c r="B62" s="769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1"/>
      <c r="S62" s="31"/>
      <c r="T62" s="31"/>
      <c r="U62" s="31"/>
      <c r="V62" s="31"/>
      <c r="W62" s="31"/>
      <c r="X62" s="31"/>
    </row>
    <row r="63" spans="1:24" ht="12.75" customHeight="1" x14ac:dyDescent="0.2">
      <c r="A63" s="370" t="s">
        <v>882</v>
      </c>
      <c r="B63" s="769"/>
      <c r="C63" s="360">
        <f t="shared" ref="C63:K63" si="16">SUM(C59:C61)</f>
        <v>0</v>
      </c>
      <c r="D63" s="360">
        <f t="shared" si="16"/>
        <v>0</v>
      </c>
      <c r="E63" s="360">
        <f t="shared" si="16"/>
        <v>0</v>
      </c>
      <c r="F63" s="360">
        <f t="shared" si="16"/>
        <v>0</v>
      </c>
      <c r="G63" s="360">
        <f t="shared" si="16"/>
        <v>0</v>
      </c>
      <c r="H63" s="360">
        <f t="shared" si="16"/>
        <v>0</v>
      </c>
      <c r="I63" s="360">
        <f t="shared" si="16"/>
        <v>0</v>
      </c>
      <c r="J63" s="360">
        <f t="shared" si="16"/>
        <v>0</v>
      </c>
      <c r="K63" s="360">
        <f t="shared" si="16"/>
        <v>0</v>
      </c>
      <c r="L63" s="360">
        <f t="shared" ref="L63:Q63" si="17">SUM(L59:L61)</f>
        <v>0</v>
      </c>
      <c r="M63" s="360">
        <f t="shared" si="17"/>
        <v>0</v>
      </c>
      <c r="N63" s="360">
        <f t="shared" si="17"/>
        <v>0</v>
      </c>
      <c r="O63" s="360">
        <f t="shared" si="17"/>
        <v>0</v>
      </c>
      <c r="P63" s="360">
        <f t="shared" si="17"/>
        <v>0</v>
      </c>
      <c r="Q63" s="360">
        <f t="shared" si="17"/>
        <v>0</v>
      </c>
      <c r="R63" s="31"/>
      <c r="S63" s="31"/>
      <c r="T63" s="31"/>
      <c r="U63" s="31"/>
      <c r="V63" s="31"/>
      <c r="W63" s="31"/>
      <c r="X63" s="31"/>
    </row>
    <row r="64" spans="1:24" ht="8.1" customHeight="1" x14ac:dyDescent="0.2">
      <c r="A64" s="355"/>
      <c r="B64" s="769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1"/>
      <c r="S64" s="31"/>
      <c r="T64" s="31"/>
      <c r="U64" s="31"/>
      <c r="V64" s="31"/>
      <c r="W64" s="31"/>
      <c r="X64" s="31"/>
    </row>
    <row r="65" spans="1:50" ht="12.75" customHeight="1" x14ac:dyDescent="0.2">
      <c r="A65" s="367" t="s">
        <v>883</v>
      </c>
      <c r="B65" s="770"/>
      <c r="C65" s="364">
        <f>C32+C45+C57+C63</f>
        <v>0</v>
      </c>
      <c r="D65" s="364">
        <f t="shared" ref="D65:Q65" si="18">D32+D45+D57+D63</f>
        <v>0</v>
      </c>
      <c r="E65" s="364">
        <f t="shared" si="18"/>
        <v>0</v>
      </c>
      <c r="F65" s="364">
        <f t="shared" si="18"/>
        <v>0</v>
      </c>
      <c r="G65" s="364">
        <f t="shared" si="18"/>
        <v>0</v>
      </c>
      <c r="H65" s="364">
        <f t="shared" si="18"/>
        <v>0</v>
      </c>
      <c r="I65" s="364">
        <f t="shared" si="18"/>
        <v>0</v>
      </c>
      <c r="J65" s="364">
        <f t="shared" si="18"/>
        <v>0</v>
      </c>
      <c r="K65" s="364">
        <f t="shared" si="18"/>
        <v>0</v>
      </c>
      <c r="L65" s="364">
        <f t="shared" si="18"/>
        <v>0</v>
      </c>
      <c r="M65" s="364">
        <f t="shared" si="18"/>
        <v>0</v>
      </c>
      <c r="N65" s="364">
        <f t="shared" si="18"/>
        <v>0</v>
      </c>
      <c r="O65" s="364">
        <f t="shared" si="18"/>
        <v>0</v>
      </c>
      <c r="P65" s="364">
        <f t="shared" si="18"/>
        <v>0</v>
      </c>
      <c r="Q65" s="364">
        <f t="shared" si="18"/>
        <v>0</v>
      </c>
      <c r="R65" s="4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0"/>
      <c r="AK65" s="31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:50" ht="8.1" customHeight="1" x14ac:dyDescent="0.2">
      <c r="A66" s="349"/>
      <c r="B66" s="766"/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356"/>
      <c r="P66" s="356"/>
      <c r="Q66" s="356"/>
      <c r="R66" s="31"/>
      <c r="S66" s="31"/>
      <c r="T66" s="31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1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24"/>
      <c r="AV66" s="24"/>
      <c r="AW66" s="24"/>
      <c r="AX66" s="24"/>
    </row>
    <row r="67" spans="1:50" x14ac:dyDescent="0.2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50" x14ac:dyDescent="0.2">
      <c r="A68" s="24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50" x14ac:dyDescent="0.2">
      <c r="A69" s="24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0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:50" x14ac:dyDescent="0.2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:50" x14ac:dyDescent="0.2">
      <c r="A71" s="2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:50" x14ac:dyDescent="0.2">
      <c r="A72" s="24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0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:50" x14ac:dyDescent="0.2">
      <c r="A73" s="24"/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0"/>
      <c r="N73" s="30"/>
      <c r="O73" s="31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:50" x14ac:dyDescent="0.2">
      <c r="A74" s="24"/>
      <c r="C74" s="30"/>
      <c r="D74" s="30"/>
      <c r="E74" s="30"/>
      <c r="F74" s="31"/>
      <c r="G74" s="31"/>
      <c r="H74" s="31"/>
      <c r="I74" s="31"/>
      <c r="J74" s="31"/>
      <c r="K74" s="31"/>
      <c r="L74" s="31"/>
      <c r="M74" s="30"/>
      <c r="N74" s="30"/>
      <c r="O74" s="31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:50" x14ac:dyDescent="0.2">
      <c r="A75" s="24"/>
      <c r="C75" s="30"/>
      <c r="D75" s="30"/>
      <c r="E75" s="30"/>
      <c r="F75" s="31"/>
      <c r="G75" s="31"/>
      <c r="H75" s="31"/>
      <c r="I75" s="31"/>
      <c r="J75" s="31"/>
      <c r="K75" s="31"/>
      <c r="L75" s="31"/>
      <c r="M75" s="30"/>
      <c r="N75" s="30"/>
      <c r="O75" s="31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:50" x14ac:dyDescent="0.2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0"/>
      <c r="Q76" s="31"/>
      <c r="R76" s="31"/>
    </row>
    <row r="77" spans="1:50" x14ac:dyDescent="0.2">
      <c r="A77" s="2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50" x14ac:dyDescent="0.2">
      <c r="A78" s="24"/>
      <c r="C78" s="30"/>
      <c r="D78" s="30"/>
      <c r="E78" s="30"/>
      <c r="F78" s="31"/>
      <c r="G78" s="31"/>
      <c r="H78" s="31"/>
      <c r="I78" s="31"/>
      <c r="J78" s="31"/>
      <c r="K78" s="31"/>
      <c r="L78" s="31"/>
      <c r="M78" s="30"/>
      <c r="N78" s="30"/>
      <c r="O78" s="31"/>
      <c r="P78" s="30"/>
      <c r="Q78" s="31"/>
      <c r="R78" s="31"/>
    </row>
    <row r="79" spans="1:50" x14ac:dyDescent="0.2">
      <c r="A79" s="24"/>
      <c r="C79" s="30"/>
      <c r="D79" s="30"/>
      <c r="E79" s="30"/>
      <c r="F79" s="31"/>
      <c r="G79" s="31"/>
      <c r="H79" s="31"/>
      <c r="I79" s="31"/>
      <c r="J79" s="31"/>
      <c r="K79" s="31"/>
      <c r="L79" s="31"/>
      <c r="M79" s="30"/>
      <c r="N79" s="30"/>
      <c r="O79" s="31"/>
      <c r="P79" s="30"/>
      <c r="Q79" s="31"/>
      <c r="R79" s="31"/>
    </row>
    <row r="80" spans="1:50" x14ac:dyDescent="0.2">
      <c r="A80" s="24"/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0"/>
      <c r="N80" s="30"/>
      <c r="O80" s="31"/>
      <c r="P80" s="30"/>
      <c r="Q80" s="31"/>
      <c r="R80" s="31"/>
    </row>
    <row r="81" spans="1:18" x14ac:dyDescent="0.2">
      <c r="A81" s="24"/>
      <c r="C81" s="30"/>
      <c r="D81" s="30"/>
      <c r="E81" s="30"/>
      <c r="F81" s="31"/>
      <c r="G81" s="31"/>
      <c r="H81" s="31"/>
      <c r="I81" s="31"/>
      <c r="J81" s="31"/>
      <c r="K81" s="31"/>
      <c r="L81" s="31"/>
      <c r="M81" s="30"/>
      <c r="N81" s="30"/>
      <c r="O81" s="31"/>
      <c r="P81" s="30"/>
      <c r="Q81" s="31"/>
      <c r="R81" s="31"/>
    </row>
    <row r="82" spans="1:18" x14ac:dyDescent="0.2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0"/>
      <c r="Q82" s="31"/>
      <c r="R82" s="31"/>
    </row>
    <row r="83" spans="1:18" x14ac:dyDescent="0.2">
      <c r="A83" s="2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4" spans="1:18" x14ac:dyDescent="0.2">
      <c r="A84" s="24"/>
      <c r="C84" s="30"/>
      <c r="D84" s="30"/>
      <c r="E84" s="30"/>
      <c r="F84" s="31"/>
      <c r="G84" s="31"/>
      <c r="H84" s="31"/>
      <c r="I84" s="31"/>
      <c r="J84" s="31"/>
      <c r="K84" s="31"/>
      <c r="L84" s="31"/>
      <c r="M84" s="30"/>
      <c r="N84" s="30"/>
      <c r="O84" s="31"/>
      <c r="P84" s="30"/>
      <c r="Q84" s="31"/>
      <c r="R84" s="31"/>
    </row>
    <row r="85" spans="1:18" x14ac:dyDescent="0.2">
      <c r="A85" s="24"/>
      <c r="C85" s="30"/>
      <c r="D85" s="30"/>
      <c r="E85" s="30"/>
      <c r="F85" s="31"/>
      <c r="G85" s="31"/>
      <c r="H85" s="31"/>
      <c r="I85" s="31"/>
      <c r="J85" s="31"/>
      <c r="K85" s="31"/>
      <c r="L85" s="31"/>
      <c r="M85" s="30"/>
      <c r="N85" s="30"/>
      <c r="O85" s="31"/>
      <c r="P85" s="30"/>
      <c r="Q85" s="31"/>
      <c r="R85" s="31"/>
    </row>
    <row r="86" spans="1:18" x14ac:dyDescent="0.2">
      <c r="A86" s="24"/>
      <c r="C86" s="30"/>
      <c r="D86" s="30"/>
      <c r="E86" s="30"/>
      <c r="F86" s="31"/>
      <c r="G86" s="31"/>
      <c r="H86" s="31"/>
      <c r="I86" s="31"/>
      <c r="J86" s="31"/>
      <c r="K86" s="31"/>
      <c r="L86" s="31"/>
      <c r="M86" s="30"/>
      <c r="N86" s="30"/>
      <c r="O86" s="31"/>
      <c r="P86" s="30"/>
      <c r="Q86" s="31"/>
      <c r="R86" s="31"/>
    </row>
    <row r="87" spans="1:18" x14ac:dyDescent="0.2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0"/>
      <c r="Q87" s="31"/>
      <c r="R87" s="31"/>
    </row>
    <row r="88" spans="1:18" x14ac:dyDescent="0.2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 spans="1:18" x14ac:dyDescent="0.2">
      <c r="A89" s="24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0"/>
      <c r="Q89" s="31"/>
      <c r="R89" s="31"/>
    </row>
    <row r="90" spans="1:18" x14ac:dyDescent="0.2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x14ac:dyDescent="0.2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</row>
    <row r="92" spans="1:18" x14ac:dyDescent="0.2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</row>
    <row r="93" spans="1:18" x14ac:dyDescent="0.2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1:18" x14ac:dyDescent="0.2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1:18" x14ac:dyDescent="0.2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</row>
    <row r="96" spans="1:18" x14ac:dyDescent="0.2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</row>
    <row r="97" spans="1:18" x14ac:dyDescent="0.2">
      <c r="A97" s="4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</row>
    <row r="98" spans="1:18" x14ac:dyDescent="0.2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</row>
    <row r="99" spans="1:18" x14ac:dyDescent="0.2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</row>
    <row r="100" spans="1:18" x14ac:dyDescent="0.2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1:18" x14ac:dyDescent="0.2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2" spans="1:18" x14ac:dyDescent="0.2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</row>
    <row r="103" spans="1:18" x14ac:dyDescent="0.2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</row>
    <row r="104" spans="1:18" x14ac:dyDescent="0.2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</row>
    <row r="105" spans="1:18" x14ac:dyDescent="0.2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</row>
    <row r="106" spans="1:18" x14ac:dyDescent="0.2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</row>
    <row r="107" spans="1:18" x14ac:dyDescent="0.2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</row>
  </sheetData>
  <phoneticPr fontId="0" type="noConversion"/>
  <printOptions horizontalCentered="1" gridLinesSet="0"/>
  <pageMargins left="0.5" right="0.5" top="0.5" bottom="0.25" header="0" footer="0"/>
  <pageSetup paperSize="5" scale="79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40"/>
  <sheetViews>
    <sheetView showGridLines="0" workbookViewId="0">
      <pane xSplit="2" ySplit="4" topLeftCell="C25" activePane="bottomRight" state="frozen"/>
      <selection activeCell="AA56" sqref="AA56"/>
      <selection pane="topRight" activeCell="AA56" sqref="AA56"/>
      <selection pane="bottomLeft" activeCell="AA56" sqref="AA56"/>
      <selection pane="bottomRight" activeCell="C32" sqref="C32"/>
    </sheetView>
  </sheetViews>
  <sheetFormatPr defaultColWidth="10.7109375" defaultRowHeight="12.75" x14ac:dyDescent="0.2"/>
  <cols>
    <col min="1" max="1" width="45.7109375" style="123" customWidth="1"/>
    <col min="2" max="14" width="8.7109375" style="123" customWidth="1"/>
    <col min="15" max="17" width="9.7109375" style="123" customWidth="1"/>
    <col min="18" max="16384" width="10.7109375" style="123"/>
  </cols>
  <sheetData>
    <row r="1" spans="1:19" x14ac:dyDescent="0.2">
      <c r="A1" s="548" t="str">
        <f ca="1">CELL("FILENAME")</f>
        <v>P:\Finance\2002 Plan\[EMTW02PL.XLS]IncomeState</v>
      </c>
    </row>
    <row r="2" spans="1:19" x14ac:dyDescent="0.2">
      <c r="A2" s="379" t="s">
        <v>905</v>
      </c>
      <c r="C2" s="124" t="s">
        <v>608</v>
      </c>
      <c r="D2" s="124" t="s">
        <v>608</v>
      </c>
      <c r="E2" s="124" t="s">
        <v>608</v>
      </c>
      <c r="F2" s="125"/>
      <c r="G2" s="486"/>
      <c r="H2" s="124" t="s">
        <v>608</v>
      </c>
      <c r="I2" s="125"/>
      <c r="J2" s="125"/>
      <c r="K2" s="125"/>
      <c r="L2" s="125"/>
      <c r="M2" s="125"/>
      <c r="N2" s="125"/>
      <c r="O2" s="126"/>
      <c r="P2" s="126"/>
      <c r="Q2" s="126"/>
      <c r="R2" s="126"/>
      <c r="S2" s="126"/>
    </row>
    <row r="3" spans="1:19" x14ac:dyDescent="0.2">
      <c r="A3" s="551" t="str">
        <f>IncomeState!A3</f>
        <v>2002 OPERATING PLAN</v>
      </c>
      <c r="B3" s="779">
        <f ca="1">NOW()</f>
        <v>37189.614922337962</v>
      </c>
      <c r="C3" s="558" t="str">
        <f>DataBase!C2</f>
        <v>PLAN</v>
      </c>
      <c r="D3" s="558" t="str">
        <f>DataBase!D2</f>
        <v>PLAN</v>
      </c>
      <c r="E3" s="558" t="str">
        <f>DataBase!E2</f>
        <v>PLAN</v>
      </c>
      <c r="F3" s="558" t="str">
        <f>DataBase!F2</f>
        <v>PLAN</v>
      </c>
      <c r="G3" s="558" t="str">
        <f>DataBase!G2</f>
        <v>PLAN</v>
      </c>
      <c r="H3" s="558" t="str">
        <f>DataBase!H2</f>
        <v>PLAN</v>
      </c>
      <c r="I3" s="558" t="str">
        <f>DataBase!I2</f>
        <v>PLAN</v>
      </c>
      <c r="J3" s="558" t="str">
        <f>DataBase!J2</f>
        <v>PLAN</v>
      </c>
      <c r="K3" s="558" t="str">
        <f>DataBase!K2</f>
        <v>PLAN</v>
      </c>
      <c r="L3" s="558" t="str">
        <f>DataBase!L2</f>
        <v>PLAN</v>
      </c>
      <c r="M3" s="558" t="str">
        <f>DataBase!M2</f>
        <v>PLAN</v>
      </c>
      <c r="N3" s="558" t="str">
        <f>DataBase!N2</f>
        <v>PLAN</v>
      </c>
      <c r="O3" s="558" t="str">
        <f>DataBase!O2</f>
        <v>TOTAL</v>
      </c>
      <c r="P3" s="558" t="str">
        <f>IncomeState!P6</f>
        <v>FEB.</v>
      </c>
      <c r="Q3" s="558" t="str">
        <f>IncomeState!Q6</f>
        <v>ESTIMATE</v>
      </c>
      <c r="R3" s="126"/>
      <c r="S3" s="126"/>
    </row>
    <row r="4" spans="1:19" x14ac:dyDescent="0.2">
      <c r="A4" s="380"/>
      <c r="B4" s="780">
        <f ca="1">NOW()</f>
        <v>37189.614922337962</v>
      </c>
      <c r="C4" s="383" t="s">
        <v>609</v>
      </c>
      <c r="D4" s="383" t="s">
        <v>610</v>
      </c>
      <c r="E4" s="383" t="s">
        <v>611</v>
      </c>
      <c r="F4" s="383" t="s">
        <v>612</v>
      </c>
      <c r="G4" s="383" t="s">
        <v>613</v>
      </c>
      <c r="H4" s="383" t="s">
        <v>614</v>
      </c>
      <c r="I4" s="383" t="s">
        <v>615</v>
      </c>
      <c r="J4" s="383" t="s">
        <v>616</v>
      </c>
      <c r="K4" s="383" t="s">
        <v>617</v>
      </c>
      <c r="L4" s="383" t="s">
        <v>618</v>
      </c>
      <c r="M4" s="383" t="s">
        <v>619</v>
      </c>
      <c r="N4" s="383" t="s">
        <v>620</v>
      </c>
      <c r="O4" s="559">
        <f>DataBase!O3</f>
        <v>2002</v>
      </c>
      <c r="P4" s="559" t="str">
        <f>IncomeState!P7</f>
        <v>Y-T-D</v>
      </c>
      <c r="Q4" s="559" t="str">
        <f>IncomeState!Q7</f>
        <v>R.M.</v>
      </c>
      <c r="R4" s="126"/>
      <c r="S4" s="126"/>
    </row>
    <row r="5" spans="1:19" ht="3.95" customHeight="1" x14ac:dyDescent="0.2">
      <c r="A5" s="381"/>
      <c r="B5" s="781"/>
    </row>
    <row r="6" spans="1:19" x14ac:dyDescent="0.2">
      <c r="A6" s="382" t="s">
        <v>962</v>
      </c>
      <c r="B6" s="782"/>
    </row>
    <row r="7" spans="1:19" x14ac:dyDescent="0.2">
      <c r="A7" s="545" t="s">
        <v>993</v>
      </c>
      <c r="B7" s="783"/>
      <c r="C7" s="982">
        <f>-DataBase!C30-DataBase!C31</f>
        <v>-2875</v>
      </c>
      <c r="D7" s="982">
        <f>-DataBase!D30-DataBase!D31</f>
        <v>-2563</v>
      </c>
      <c r="E7" s="982">
        <f>-DataBase!E30-DataBase!E31</f>
        <v>-2739</v>
      </c>
      <c r="F7" s="982">
        <f>-DataBase!F30-DataBase!F31</f>
        <v>-2471</v>
      </c>
      <c r="G7" s="982">
        <f>-DataBase!G30-DataBase!G31</f>
        <v>-2547</v>
      </c>
      <c r="H7" s="982">
        <f>-DataBase!H30-DataBase!H31</f>
        <v>-2403</v>
      </c>
      <c r="I7" s="982">
        <f>-DataBase!I30-DataBase!I31</f>
        <v>-2731</v>
      </c>
      <c r="J7" s="982">
        <f>-DataBase!J30-DataBase!J31</f>
        <v>-2585</v>
      </c>
      <c r="K7" s="982">
        <f>-DataBase!K30-DataBase!K31</f>
        <v>-2649</v>
      </c>
      <c r="L7" s="982">
        <f>-DataBase!L30-DataBase!L31</f>
        <v>-2770</v>
      </c>
      <c r="M7" s="982">
        <f>-DataBase!M30-DataBase!M31</f>
        <v>-2474</v>
      </c>
      <c r="N7" s="982">
        <f>-DataBase!N30-DataBase!N31</f>
        <v>-2393</v>
      </c>
      <c r="O7" s="129">
        <f t="shared" ref="O7:O12" si="0">SUM(C7:N7)</f>
        <v>-31200</v>
      </c>
      <c r="P7" s="128">
        <f t="shared" ref="P7:P12" si="1">SUM(C7:D7)</f>
        <v>-5438</v>
      </c>
      <c r="Q7" s="129">
        <f t="shared" ref="Q7:Q12" si="2">(O7-P7)</f>
        <v>-25762</v>
      </c>
    </row>
    <row r="8" spans="1:19" x14ac:dyDescent="0.2">
      <c r="A8" s="884" t="s">
        <v>389</v>
      </c>
      <c r="B8" s="783"/>
      <c r="C8" s="982">
        <f>-DataBase!C32-DataBase!C33</f>
        <v>0</v>
      </c>
      <c r="D8" s="982">
        <f>-DataBase!D32-DataBase!D33</f>
        <v>0</v>
      </c>
      <c r="E8" s="982">
        <f>-DataBase!E32-DataBase!E33</f>
        <v>0</v>
      </c>
      <c r="F8" s="982">
        <f>-DataBase!F32-DataBase!F33</f>
        <v>0</v>
      </c>
      <c r="G8" s="982">
        <f>-DataBase!G32-DataBase!G33</f>
        <v>0</v>
      </c>
      <c r="H8" s="982">
        <f>-DataBase!H32-DataBase!H33</f>
        <v>0</v>
      </c>
      <c r="I8" s="982">
        <f>-DataBase!I32-DataBase!I33</f>
        <v>0</v>
      </c>
      <c r="J8" s="982">
        <f>-DataBase!J32-DataBase!J33</f>
        <v>0</v>
      </c>
      <c r="K8" s="982">
        <f>-DataBase!K32-DataBase!K33</f>
        <v>0</v>
      </c>
      <c r="L8" s="982">
        <f>-DataBase!L32-DataBase!L33</f>
        <v>0</v>
      </c>
      <c r="M8" s="982">
        <f>-DataBase!M32-DataBase!M33</f>
        <v>0</v>
      </c>
      <c r="N8" s="982">
        <f>-DataBase!N32-DataBase!N33</f>
        <v>0</v>
      </c>
      <c r="O8" s="129">
        <f t="shared" si="0"/>
        <v>0</v>
      </c>
      <c r="P8" s="128">
        <f t="shared" si="1"/>
        <v>0</v>
      </c>
      <c r="Q8" s="129">
        <f t="shared" si="2"/>
        <v>0</v>
      </c>
    </row>
    <row r="9" spans="1:19" x14ac:dyDescent="0.2">
      <c r="A9" s="560" t="s">
        <v>994</v>
      </c>
      <c r="B9" s="783"/>
      <c r="C9" s="982">
        <f>-DataBase!C97</f>
        <v>89</v>
      </c>
      <c r="D9" s="982">
        <f>-DataBase!D97</f>
        <v>82</v>
      </c>
      <c r="E9" s="982">
        <f>-DataBase!E97</f>
        <v>87</v>
      </c>
      <c r="F9" s="982">
        <f>-DataBase!F97</f>
        <v>78</v>
      </c>
      <c r="G9" s="982">
        <f>-DataBase!G97</f>
        <v>82</v>
      </c>
      <c r="H9" s="982">
        <f>-DataBase!H97</f>
        <v>91</v>
      </c>
      <c r="I9" s="982">
        <f>-DataBase!I97</f>
        <v>92</v>
      </c>
      <c r="J9" s="982">
        <f>-DataBase!J97</f>
        <v>99</v>
      </c>
      <c r="K9" s="982">
        <f>-DataBase!K97</f>
        <v>90</v>
      </c>
      <c r="L9" s="982">
        <f>-DataBase!L97</f>
        <v>92</v>
      </c>
      <c r="M9" s="982">
        <f>-DataBase!M97</f>
        <v>98</v>
      </c>
      <c r="N9" s="982">
        <f>-DataBase!N97</f>
        <v>113</v>
      </c>
      <c r="O9" s="129">
        <f t="shared" si="0"/>
        <v>1093</v>
      </c>
      <c r="P9" s="128">
        <f t="shared" si="1"/>
        <v>171</v>
      </c>
      <c r="Q9" s="129">
        <f t="shared" si="2"/>
        <v>922</v>
      </c>
    </row>
    <row r="10" spans="1:19" x14ac:dyDescent="0.2">
      <c r="A10" s="131" t="s">
        <v>390</v>
      </c>
      <c r="B10" s="759"/>
      <c r="C10" s="982">
        <f>-DataBase!C98</f>
        <v>0</v>
      </c>
      <c r="D10" s="982">
        <f>-DataBase!D98</f>
        <v>0</v>
      </c>
      <c r="E10" s="982">
        <f>-DataBase!E98</f>
        <v>0</v>
      </c>
      <c r="F10" s="982">
        <f>-DataBase!F98</f>
        <v>0</v>
      </c>
      <c r="G10" s="982">
        <f>-DataBase!G98</f>
        <v>0</v>
      </c>
      <c r="H10" s="982">
        <f>-DataBase!H98</f>
        <v>0</v>
      </c>
      <c r="I10" s="982">
        <f>-DataBase!I98</f>
        <v>0</v>
      </c>
      <c r="J10" s="982">
        <f>-DataBase!J98</f>
        <v>0</v>
      </c>
      <c r="K10" s="982">
        <f>-DataBase!K98</f>
        <v>0</v>
      </c>
      <c r="L10" s="982">
        <f>-DataBase!L98</f>
        <v>0</v>
      </c>
      <c r="M10" s="982">
        <f>-DataBase!M98</f>
        <v>0</v>
      </c>
      <c r="N10" s="982">
        <f>-DataBase!N98</f>
        <v>0</v>
      </c>
      <c r="O10" s="129">
        <f t="shared" si="0"/>
        <v>0</v>
      </c>
      <c r="P10" s="128">
        <f t="shared" si="1"/>
        <v>0</v>
      </c>
      <c r="Q10" s="129">
        <f t="shared" si="2"/>
        <v>0</v>
      </c>
    </row>
    <row r="11" spans="1:19" x14ac:dyDescent="0.2">
      <c r="A11" s="131" t="s">
        <v>1025</v>
      </c>
      <c r="B11" s="759"/>
      <c r="C11" s="982">
        <f>-DataBase!C99-DataBase!C100</f>
        <v>0</v>
      </c>
      <c r="D11" s="982">
        <f>-DataBase!D99-DataBase!D100</f>
        <v>0</v>
      </c>
      <c r="E11" s="982">
        <f>-DataBase!E99-DataBase!E100</f>
        <v>0</v>
      </c>
      <c r="F11" s="982">
        <f>-DataBase!F99-DataBase!F100</f>
        <v>0</v>
      </c>
      <c r="G11" s="982">
        <f>-DataBase!G99-DataBase!G100</f>
        <v>0</v>
      </c>
      <c r="H11" s="982">
        <f>-DataBase!H99-DataBase!H100</f>
        <v>0</v>
      </c>
      <c r="I11" s="982">
        <f>-DataBase!I99-DataBase!I100</f>
        <v>0</v>
      </c>
      <c r="J11" s="982">
        <f>-DataBase!J99-DataBase!J100</f>
        <v>0</v>
      </c>
      <c r="K11" s="982">
        <f>-DataBase!K99-DataBase!K100</f>
        <v>0</v>
      </c>
      <c r="L11" s="982">
        <f>-DataBase!L99-DataBase!L100</f>
        <v>0</v>
      </c>
      <c r="M11" s="982">
        <f>-DataBase!M99-DataBase!M100</f>
        <v>0</v>
      </c>
      <c r="N11" s="982">
        <f>-DataBase!N99-DataBase!N100</f>
        <v>0</v>
      </c>
      <c r="O11" s="129">
        <f t="shared" si="0"/>
        <v>0</v>
      </c>
      <c r="P11" s="128">
        <f t="shared" si="1"/>
        <v>0</v>
      </c>
      <c r="Q11" s="129">
        <f t="shared" si="2"/>
        <v>0</v>
      </c>
    </row>
    <row r="12" spans="1:19" x14ac:dyDescent="0.2">
      <c r="A12" s="131" t="s">
        <v>622</v>
      </c>
      <c r="B12" s="782"/>
      <c r="C12" s="260">
        <f>0</f>
        <v>0</v>
      </c>
      <c r="D12" s="260">
        <f>0</f>
        <v>0</v>
      </c>
      <c r="E12" s="260">
        <f>0</f>
        <v>0</v>
      </c>
      <c r="F12" s="260">
        <f>0</f>
        <v>0</v>
      </c>
      <c r="G12" s="260">
        <f>0</f>
        <v>0</v>
      </c>
      <c r="H12" s="260">
        <f>0</f>
        <v>0</v>
      </c>
      <c r="I12" s="260">
        <f>0</f>
        <v>0</v>
      </c>
      <c r="J12" s="260">
        <f>0</f>
        <v>0</v>
      </c>
      <c r="K12" s="260">
        <f>0</f>
        <v>0</v>
      </c>
      <c r="L12" s="260">
        <f>0</f>
        <v>0</v>
      </c>
      <c r="M12" s="260">
        <f>0</f>
        <v>0</v>
      </c>
      <c r="N12" s="260">
        <f>0</f>
        <v>0</v>
      </c>
      <c r="O12" s="130">
        <f t="shared" si="0"/>
        <v>0</v>
      </c>
      <c r="P12" s="260">
        <f t="shared" si="1"/>
        <v>0</v>
      </c>
      <c r="Q12" s="130">
        <f t="shared" si="2"/>
        <v>0</v>
      </c>
    </row>
    <row r="13" spans="1:19" ht="3.95" customHeight="1" x14ac:dyDescent="0.2">
      <c r="B13" s="781"/>
      <c r="C13" s="134"/>
      <c r="D13" s="134"/>
      <c r="E13" s="134"/>
      <c r="F13" s="128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</row>
    <row r="14" spans="1:19" x14ac:dyDescent="0.2">
      <c r="A14" s="384" t="s">
        <v>960</v>
      </c>
      <c r="B14" s="124"/>
      <c r="C14" s="132">
        <f t="shared" ref="C14:Q14" si="3">ROUND(SUM(C7:C12),0)</f>
        <v>-2786</v>
      </c>
      <c r="D14" s="132">
        <f t="shared" si="3"/>
        <v>-2481</v>
      </c>
      <c r="E14" s="132">
        <f t="shared" si="3"/>
        <v>-2652</v>
      </c>
      <c r="F14" s="132">
        <f t="shared" si="3"/>
        <v>-2393</v>
      </c>
      <c r="G14" s="132">
        <f t="shared" si="3"/>
        <v>-2465</v>
      </c>
      <c r="H14" s="132">
        <f t="shared" si="3"/>
        <v>-2312</v>
      </c>
      <c r="I14" s="132">
        <f t="shared" si="3"/>
        <v>-2639</v>
      </c>
      <c r="J14" s="132">
        <f t="shared" si="3"/>
        <v>-2486</v>
      </c>
      <c r="K14" s="132">
        <f t="shared" si="3"/>
        <v>-2559</v>
      </c>
      <c r="L14" s="132">
        <f t="shared" si="3"/>
        <v>-2678</v>
      </c>
      <c r="M14" s="132">
        <f t="shared" si="3"/>
        <v>-2376</v>
      </c>
      <c r="N14" s="132">
        <f t="shared" si="3"/>
        <v>-2280</v>
      </c>
      <c r="O14" s="132">
        <f t="shared" si="3"/>
        <v>-30107</v>
      </c>
      <c r="P14" s="132">
        <f t="shared" si="3"/>
        <v>-5267</v>
      </c>
      <c r="Q14" s="132">
        <f t="shared" si="3"/>
        <v>-24840</v>
      </c>
      <c r="R14" s="126"/>
    </row>
    <row r="15" spans="1:19" x14ac:dyDescent="0.2">
      <c r="A15" s="127"/>
      <c r="B15" s="782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35"/>
      <c r="P15" s="128"/>
      <c r="Q15" s="135"/>
    </row>
    <row r="16" spans="1:19" x14ac:dyDescent="0.2">
      <c r="A16" s="561" t="s">
        <v>963</v>
      </c>
      <c r="B16" s="781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</row>
    <row r="17" spans="1:20" x14ac:dyDescent="0.2">
      <c r="A17" s="131" t="s">
        <v>968</v>
      </c>
      <c r="B17" s="781"/>
      <c r="C17" s="982">
        <f>-DataBase!C211</f>
        <v>1133</v>
      </c>
      <c r="D17" s="982">
        <f>-DataBase!D211</f>
        <v>1136</v>
      </c>
      <c r="E17" s="982">
        <f>-DataBase!E211</f>
        <v>1136</v>
      </c>
      <c r="F17" s="982">
        <f>-DataBase!F211</f>
        <v>1136</v>
      </c>
      <c r="G17" s="982">
        <f>-DataBase!G211</f>
        <v>1136</v>
      </c>
      <c r="H17" s="982">
        <f>-DataBase!H211</f>
        <v>1138</v>
      </c>
      <c r="I17" s="982">
        <f>-DataBase!I211</f>
        <v>1142</v>
      </c>
      <c r="J17" s="982">
        <f>-DataBase!J211</f>
        <v>1142</v>
      </c>
      <c r="K17" s="982">
        <f>-DataBase!K211</f>
        <v>1161</v>
      </c>
      <c r="L17" s="982">
        <f>-DataBase!L211</f>
        <v>1161</v>
      </c>
      <c r="M17" s="982">
        <f>-DataBase!M211</f>
        <v>1164</v>
      </c>
      <c r="N17" s="982">
        <f>-DataBase!N211</f>
        <v>1168</v>
      </c>
      <c r="O17" s="129">
        <f t="shared" ref="O17:O24" si="4">SUM(C17:N17)</f>
        <v>13753</v>
      </c>
      <c r="P17" s="128">
        <f t="shared" ref="P17:P27" si="5">SUM(C17:D17)</f>
        <v>2269</v>
      </c>
      <c r="Q17" s="129">
        <f t="shared" ref="Q17:Q24" si="6">O17-P17</f>
        <v>11484</v>
      </c>
    </row>
    <row r="18" spans="1:20" x14ac:dyDescent="0.2">
      <c r="A18" s="131" t="s">
        <v>967</v>
      </c>
      <c r="B18" s="844" t="s">
        <v>1066</v>
      </c>
      <c r="C18" s="982">
        <f>-DataBase!C212</f>
        <v>0</v>
      </c>
      <c r="D18" s="982">
        <f>-DataBase!D212</f>
        <v>0</v>
      </c>
      <c r="E18" s="982">
        <f>-DataBase!E212</f>
        <v>0</v>
      </c>
      <c r="F18" s="982">
        <f>-DataBase!F212</f>
        <v>0</v>
      </c>
      <c r="G18" s="982">
        <f>-DataBase!G212</f>
        <v>0</v>
      </c>
      <c r="H18" s="982">
        <f>-DataBase!H212</f>
        <v>0</v>
      </c>
      <c r="I18" s="982">
        <f>-DataBase!I212</f>
        <v>0</v>
      </c>
      <c r="J18" s="982">
        <f>-DataBase!J212</f>
        <v>0</v>
      </c>
      <c r="K18" s="982">
        <f>-DataBase!K212</f>
        <v>0</v>
      </c>
      <c r="L18" s="982">
        <f>-DataBase!L212</f>
        <v>0</v>
      </c>
      <c r="M18" s="982">
        <f>-DataBase!M212</f>
        <v>0</v>
      </c>
      <c r="N18" s="982">
        <f>-DataBase!N212</f>
        <v>0</v>
      </c>
      <c r="O18" s="129">
        <f t="shared" si="4"/>
        <v>0</v>
      </c>
      <c r="P18" s="128">
        <f t="shared" si="5"/>
        <v>0</v>
      </c>
      <c r="Q18" s="129">
        <f t="shared" si="6"/>
        <v>0</v>
      </c>
    </row>
    <row r="19" spans="1:20" x14ac:dyDescent="0.2">
      <c r="A19" s="131" t="s">
        <v>966</v>
      </c>
      <c r="B19" s="846" t="s">
        <v>1070</v>
      </c>
      <c r="C19" s="982">
        <f>-DataBase!C213</f>
        <v>50</v>
      </c>
      <c r="D19" s="982">
        <f>-DataBase!D213</f>
        <v>50</v>
      </c>
      <c r="E19" s="982">
        <f>-DataBase!E213</f>
        <v>50</v>
      </c>
      <c r="F19" s="982">
        <f>-DataBase!F213</f>
        <v>50</v>
      </c>
      <c r="G19" s="982">
        <f>-DataBase!G213</f>
        <v>50</v>
      </c>
      <c r="H19" s="982">
        <f>-DataBase!H213</f>
        <v>50</v>
      </c>
      <c r="I19" s="982">
        <f>-DataBase!I213</f>
        <v>50</v>
      </c>
      <c r="J19" s="982">
        <f>-DataBase!J213</f>
        <v>50</v>
      </c>
      <c r="K19" s="982">
        <f>-DataBase!K213</f>
        <v>50</v>
      </c>
      <c r="L19" s="982">
        <f>-DataBase!L213</f>
        <v>50</v>
      </c>
      <c r="M19" s="982">
        <f>-DataBase!M213</f>
        <v>50</v>
      </c>
      <c r="N19" s="982">
        <f>-DataBase!N213</f>
        <v>50</v>
      </c>
      <c r="O19" s="129">
        <f t="shared" si="4"/>
        <v>600</v>
      </c>
      <c r="P19" s="128">
        <f t="shared" si="5"/>
        <v>100</v>
      </c>
      <c r="Q19" s="129">
        <f t="shared" si="6"/>
        <v>500</v>
      </c>
    </row>
    <row r="20" spans="1:20" x14ac:dyDescent="0.2">
      <c r="A20" s="131" t="s">
        <v>965</v>
      </c>
      <c r="B20" s="846" t="s">
        <v>1070</v>
      </c>
      <c r="C20" s="982">
        <f>-DataBase!C214</f>
        <v>17</v>
      </c>
      <c r="D20" s="982">
        <f>-DataBase!D214</f>
        <v>17</v>
      </c>
      <c r="E20" s="982">
        <f>-DataBase!E214</f>
        <v>17</v>
      </c>
      <c r="F20" s="982">
        <f>-DataBase!F214</f>
        <v>17</v>
      </c>
      <c r="G20" s="982">
        <f>-DataBase!G214</f>
        <v>17</v>
      </c>
      <c r="H20" s="982">
        <f>-DataBase!H214</f>
        <v>17</v>
      </c>
      <c r="I20" s="982">
        <f>-DataBase!I214</f>
        <v>17</v>
      </c>
      <c r="J20" s="982">
        <f>-DataBase!J214</f>
        <v>17</v>
      </c>
      <c r="K20" s="982">
        <f>-DataBase!K214</f>
        <v>17</v>
      </c>
      <c r="L20" s="982">
        <f>-DataBase!L214</f>
        <v>17</v>
      </c>
      <c r="M20" s="982">
        <f>-DataBase!M214</f>
        <v>17</v>
      </c>
      <c r="N20" s="982">
        <f>-DataBase!N214</f>
        <v>17</v>
      </c>
      <c r="O20" s="129">
        <f t="shared" si="4"/>
        <v>204</v>
      </c>
      <c r="P20" s="128">
        <f t="shared" si="5"/>
        <v>34</v>
      </c>
      <c r="Q20" s="129">
        <f t="shared" si="6"/>
        <v>170</v>
      </c>
    </row>
    <row r="21" spans="1:20" x14ac:dyDescent="0.2">
      <c r="A21" s="545" t="s">
        <v>964</v>
      </c>
      <c r="B21" s="781"/>
      <c r="C21" s="982">
        <f>-DataBase!C215</f>
        <v>0</v>
      </c>
      <c r="D21" s="982">
        <f>-DataBase!D215</f>
        <v>0</v>
      </c>
      <c r="E21" s="982">
        <f>-DataBase!E215</f>
        <v>0</v>
      </c>
      <c r="F21" s="982">
        <f>-DataBase!F215</f>
        <v>0</v>
      </c>
      <c r="G21" s="982">
        <f>-DataBase!G215</f>
        <v>0</v>
      </c>
      <c r="H21" s="982">
        <f>-DataBase!H215</f>
        <v>0</v>
      </c>
      <c r="I21" s="982">
        <f>-DataBase!I215</f>
        <v>0</v>
      </c>
      <c r="J21" s="982">
        <f>-DataBase!J215</f>
        <v>0</v>
      </c>
      <c r="K21" s="982">
        <f>-DataBase!K215</f>
        <v>0</v>
      </c>
      <c r="L21" s="982">
        <f>-DataBase!L215</f>
        <v>0</v>
      </c>
      <c r="M21" s="982">
        <f>-DataBase!M215</f>
        <v>0</v>
      </c>
      <c r="N21" s="982">
        <f>-DataBase!N215</f>
        <v>0</v>
      </c>
      <c r="O21" s="129">
        <f>SUM(C21:N21)</f>
        <v>0</v>
      </c>
      <c r="P21" s="128">
        <f t="shared" si="5"/>
        <v>0</v>
      </c>
      <c r="Q21" s="129">
        <f>O21-P21</f>
        <v>0</v>
      </c>
    </row>
    <row r="22" spans="1:20" x14ac:dyDescent="0.2">
      <c r="A22" s="545" t="s">
        <v>964</v>
      </c>
      <c r="B22" s="781"/>
      <c r="C22" s="982">
        <f>-DataBase!C216</f>
        <v>0</v>
      </c>
      <c r="D22" s="982">
        <f>-DataBase!D216</f>
        <v>0</v>
      </c>
      <c r="E22" s="982">
        <f>-DataBase!E216</f>
        <v>0</v>
      </c>
      <c r="F22" s="982">
        <f>-DataBase!F216</f>
        <v>0</v>
      </c>
      <c r="G22" s="982">
        <f>-DataBase!G216</f>
        <v>0</v>
      </c>
      <c r="H22" s="982">
        <f>-DataBase!H216</f>
        <v>0</v>
      </c>
      <c r="I22" s="982">
        <f>-DataBase!I216</f>
        <v>0</v>
      </c>
      <c r="J22" s="982">
        <f>-DataBase!J216</f>
        <v>0</v>
      </c>
      <c r="K22" s="982">
        <f>-DataBase!K216</f>
        <v>0</v>
      </c>
      <c r="L22" s="982">
        <f>-DataBase!L216</f>
        <v>0</v>
      </c>
      <c r="M22" s="982">
        <f>-DataBase!M216</f>
        <v>0</v>
      </c>
      <c r="N22" s="982">
        <f>-DataBase!N216</f>
        <v>0</v>
      </c>
      <c r="O22" s="129">
        <f t="shared" si="4"/>
        <v>0</v>
      </c>
      <c r="P22" s="128">
        <f t="shared" si="5"/>
        <v>0</v>
      </c>
      <c r="Q22" s="129">
        <f t="shared" si="6"/>
        <v>0</v>
      </c>
    </row>
    <row r="23" spans="1:20" x14ac:dyDescent="0.2">
      <c r="A23" s="131" t="s">
        <v>969</v>
      </c>
      <c r="B23" s="781"/>
      <c r="C23" s="982">
        <f>-DataBase!C217</f>
        <v>100</v>
      </c>
      <c r="D23" s="982">
        <f>-DataBase!D217</f>
        <v>100</v>
      </c>
      <c r="E23" s="982">
        <f>-DataBase!E217</f>
        <v>100</v>
      </c>
      <c r="F23" s="982">
        <f>-DataBase!F217</f>
        <v>100</v>
      </c>
      <c r="G23" s="982">
        <f>-DataBase!G217</f>
        <v>100</v>
      </c>
      <c r="H23" s="982">
        <f>-DataBase!H217</f>
        <v>100</v>
      </c>
      <c r="I23" s="982">
        <f>-DataBase!I217</f>
        <v>100</v>
      </c>
      <c r="J23" s="982">
        <f>-DataBase!J217</f>
        <v>100</v>
      </c>
      <c r="K23" s="982">
        <f>-DataBase!K217</f>
        <v>100</v>
      </c>
      <c r="L23" s="982">
        <f>-DataBase!L217</f>
        <v>100</v>
      </c>
      <c r="M23" s="982">
        <f>-DataBase!M217</f>
        <v>100</v>
      </c>
      <c r="N23" s="982">
        <f>-DataBase!N217</f>
        <v>100</v>
      </c>
      <c r="O23" s="129">
        <f t="shared" si="4"/>
        <v>1200</v>
      </c>
      <c r="P23" s="128">
        <f t="shared" si="5"/>
        <v>200</v>
      </c>
      <c r="Q23" s="129">
        <f t="shared" si="6"/>
        <v>1000</v>
      </c>
    </row>
    <row r="24" spans="1:20" x14ac:dyDescent="0.2">
      <c r="A24" s="131" t="s">
        <v>970</v>
      </c>
      <c r="B24" s="781"/>
      <c r="C24" s="982">
        <f>-DataBase!C218</f>
        <v>500</v>
      </c>
      <c r="D24" s="982">
        <f>-DataBase!D218</f>
        <v>500</v>
      </c>
      <c r="E24" s="982">
        <f>-DataBase!E218</f>
        <v>500</v>
      </c>
      <c r="F24" s="982">
        <f>-DataBase!F218</f>
        <v>500</v>
      </c>
      <c r="G24" s="982">
        <f>-DataBase!G218</f>
        <v>500</v>
      </c>
      <c r="H24" s="982">
        <f>-DataBase!H218</f>
        <v>500</v>
      </c>
      <c r="I24" s="982">
        <f>-DataBase!I218</f>
        <v>500</v>
      </c>
      <c r="J24" s="982">
        <f>-DataBase!J218</f>
        <v>500</v>
      </c>
      <c r="K24" s="982">
        <f>-DataBase!K218</f>
        <v>500</v>
      </c>
      <c r="L24" s="982">
        <f>-DataBase!L218</f>
        <v>500</v>
      </c>
      <c r="M24" s="982">
        <f>-DataBase!M218</f>
        <v>500</v>
      </c>
      <c r="N24" s="982">
        <f>-DataBase!N218</f>
        <v>500</v>
      </c>
      <c r="O24" s="129">
        <f t="shared" si="4"/>
        <v>6000</v>
      </c>
      <c r="P24" s="128">
        <f t="shared" si="5"/>
        <v>1000</v>
      </c>
      <c r="Q24" s="129">
        <f t="shared" si="6"/>
        <v>5000</v>
      </c>
    </row>
    <row r="25" spans="1:20" x14ac:dyDescent="0.2">
      <c r="A25" s="545" t="s">
        <v>964</v>
      </c>
      <c r="B25" s="781"/>
      <c r="C25" s="982">
        <f>-DataBase!C219</f>
        <v>0</v>
      </c>
      <c r="D25" s="982">
        <f>-DataBase!D219</f>
        <v>0</v>
      </c>
      <c r="E25" s="982">
        <f>-DataBase!E219</f>
        <v>0</v>
      </c>
      <c r="F25" s="982">
        <f>-DataBase!F219</f>
        <v>0</v>
      </c>
      <c r="G25" s="982">
        <f>-DataBase!G219</f>
        <v>0</v>
      </c>
      <c r="H25" s="982">
        <f>-DataBase!H219</f>
        <v>0</v>
      </c>
      <c r="I25" s="982">
        <f>-DataBase!I219</f>
        <v>0</v>
      </c>
      <c r="J25" s="982">
        <f>-DataBase!J219</f>
        <v>0</v>
      </c>
      <c r="K25" s="982">
        <f>-DataBase!K219</f>
        <v>0</v>
      </c>
      <c r="L25" s="982">
        <f>-DataBase!L219</f>
        <v>0</v>
      </c>
      <c r="M25" s="982">
        <f>-DataBase!M219</f>
        <v>0</v>
      </c>
      <c r="N25" s="982">
        <f>-DataBase!N219</f>
        <v>0</v>
      </c>
      <c r="O25" s="129">
        <f>SUM(C25:N25)</f>
        <v>0</v>
      </c>
      <c r="P25" s="128">
        <f t="shared" si="5"/>
        <v>0</v>
      </c>
      <c r="Q25" s="129">
        <f>O25-P25</f>
        <v>0</v>
      </c>
    </row>
    <row r="26" spans="1:20" x14ac:dyDescent="0.2">
      <c r="A26" s="545" t="s">
        <v>964</v>
      </c>
      <c r="B26" s="781"/>
      <c r="C26" s="982">
        <f>-DataBase!C220</f>
        <v>0</v>
      </c>
      <c r="D26" s="982">
        <f>-DataBase!D220</f>
        <v>0</v>
      </c>
      <c r="E26" s="982">
        <f>-DataBase!E220</f>
        <v>0</v>
      </c>
      <c r="F26" s="982">
        <f>-DataBase!F220</f>
        <v>0</v>
      </c>
      <c r="G26" s="982">
        <f>-DataBase!G220</f>
        <v>0</v>
      </c>
      <c r="H26" s="982">
        <f>-DataBase!H220</f>
        <v>0</v>
      </c>
      <c r="I26" s="982">
        <f>-DataBase!I220</f>
        <v>0</v>
      </c>
      <c r="J26" s="982">
        <f>-DataBase!J220</f>
        <v>0</v>
      </c>
      <c r="K26" s="982">
        <f>-DataBase!K220</f>
        <v>0</v>
      </c>
      <c r="L26" s="982">
        <f>-DataBase!L220</f>
        <v>0</v>
      </c>
      <c r="M26" s="982">
        <f>-DataBase!M220</f>
        <v>0</v>
      </c>
      <c r="N26" s="982">
        <f>-DataBase!N220</f>
        <v>0</v>
      </c>
      <c r="O26" s="129">
        <f>SUM(C26:N26)</f>
        <v>0</v>
      </c>
      <c r="P26" s="128">
        <f t="shared" si="5"/>
        <v>0</v>
      </c>
      <c r="Q26" s="129">
        <f>O26-P26</f>
        <v>0</v>
      </c>
    </row>
    <row r="27" spans="1:20" x14ac:dyDescent="0.2">
      <c r="A27" s="131" t="s">
        <v>622</v>
      </c>
      <c r="B27" s="781"/>
      <c r="C27" s="260">
        <v>0</v>
      </c>
      <c r="D27" s="260">
        <v>0</v>
      </c>
      <c r="E27" s="260">
        <v>0</v>
      </c>
      <c r="F27" s="260">
        <v>0</v>
      </c>
      <c r="G27" s="260">
        <v>0</v>
      </c>
      <c r="H27" s="260">
        <v>0</v>
      </c>
      <c r="I27" s="260">
        <v>0</v>
      </c>
      <c r="J27" s="260">
        <v>0</v>
      </c>
      <c r="K27" s="260">
        <v>0</v>
      </c>
      <c r="L27" s="260">
        <v>0</v>
      </c>
      <c r="M27" s="260">
        <v>0</v>
      </c>
      <c r="N27" s="260">
        <v>0</v>
      </c>
      <c r="O27" s="130">
        <f>SUM(C27:N27)</f>
        <v>0</v>
      </c>
      <c r="P27" s="260">
        <f t="shared" si="5"/>
        <v>0</v>
      </c>
      <c r="Q27" s="130">
        <f>O27-P27</f>
        <v>0</v>
      </c>
    </row>
    <row r="28" spans="1:20" ht="3.95" customHeight="1" x14ac:dyDescent="0.2">
      <c r="A28"/>
      <c r="B28" s="781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35"/>
      <c r="P28" s="128"/>
      <c r="Q28" s="135"/>
      <c r="R28" s="133"/>
      <c r="S28" s="133"/>
      <c r="T28" s="133"/>
    </row>
    <row r="29" spans="1:20" x14ac:dyDescent="0.2">
      <c r="A29" s="561" t="s">
        <v>906</v>
      </c>
      <c r="B29" s="784"/>
      <c r="C29" s="132">
        <f t="shared" ref="C29:Q29" si="7">SUM(C17:C27)</f>
        <v>1800</v>
      </c>
      <c r="D29" s="132">
        <f t="shared" si="7"/>
        <v>1803</v>
      </c>
      <c r="E29" s="132">
        <f t="shared" si="7"/>
        <v>1803</v>
      </c>
      <c r="F29" s="132">
        <f t="shared" si="7"/>
        <v>1803</v>
      </c>
      <c r="G29" s="132">
        <f t="shared" si="7"/>
        <v>1803</v>
      </c>
      <c r="H29" s="132">
        <f t="shared" si="7"/>
        <v>1805</v>
      </c>
      <c r="I29" s="132">
        <f t="shared" si="7"/>
        <v>1809</v>
      </c>
      <c r="J29" s="132">
        <f t="shared" si="7"/>
        <v>1809</v>
      </c>
      <c r="K29" s="132">
        <f t="shared" si="7"/>
        <v>1828</v>
      </c>
      <c r="L29" s="132">
        <f t="shared" si="7"/>
        <v>1828</v>
      </c>
      <c r="M29" s="132">
        <f t="shared" si="7"/>
        <v>1831</v>
      </c>
      <c r="N29" s="132">
        <f t="shared" si="7"/>
        <v>1835</v>
      </c>
      <c r="O29" s="132">
        <f t="shared" si="7"/>
        <v>21757</v>
      </c>
      <c r="P29" s="132">
        <f t="shared" si="7"/>
        <v>3603</v>
      </c>
      <c r="Q29" s="132">
        <f t="shared" si="7"/>
        <v>18154</v>
      </c>
      <c r="R29" s="126"/>
      <c r="S29" s="126"/>
    </row>
    <row r="30" spans="1:20" x14ac:dyDescent="0.2">
      <c r="A30" s="381"/>
      <c r="B30" s="781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35"/>
      <c r="P30" s="128"/>
      <c r="Q30" s="135"/>
    </row>
    <row r="31" spans="1:20" x14ac:dyDescent="0.2">
      <c r="A31" s="384" t="s">
        <v>975</v>
      </c>
      <c r="B31" s="781"/>
      <c r="C31" s="135"/>
      <c r="D31" s="135"/>
      <c r="E31" s="135"/>
      <c r="F31" s="135"/>
      <c r="G31" s="129"/>
      <c r="H31" s="129"/>
      <c r="I31" s="129"/>
      <c r="J31" s="129"/>
      <c r="K31" s="129"/>
      <c r="L31" s="129"/>
      <c r="M31" s="129"/>
      <c r="N31" s="129"/>
      <c r="O31" s="129"/>
      <c r="P31" s="128"/>
      <c r="Q31" s="129"/>
    </row>
    <row r="32" spans="1:20" x14ac:dyDescent="0.2">
      <c r="A32" s="131" t="s">
        <v>971</v>
      </c>
      <c r="B32" s="781"/>
      <c r="C32" s="855">
        <f>-DataBase!C225-SUM(C33:C34)</f>
        <v>722</v>
      </c>
      <c r="D32" s="855">
        <f>-DataBase!D225-SUM(D33:D34)</f>
        <v>722</v>
      </c>
      <c r="E32" s="855">
        <f>-DataBase!E225-SUM(E33:E34)</f>
        <v>722</v>
      </c>
      <c r="F32" s="855">
        <f>-DataBase!F225-SUM(F33:F34)</f>
        <v>722</v>
      </c>
      <c r="G32" s="855">
        <f>-DataBase!G225-SUM(G33:G34)</f>
        <v>722</v>
      </c>
      <c r="H32" s="855">
        <f>-DataBase!H225-SUM(H33:H34)</f>
        <v>722</v>
      </c>
      <c r="I32" s="855">
        <f>-DataBase!I225-SUM(I33:I34)</f>
        <v>722</v>
      </c>
      <c r="J32" s="855">
        <f>-DataBase!J225-SUM(J33:J34)</f>
        <v>722</v>
      </c>
      <c r="K32" s="855">
        <f>-DataBase!K225-SUM(K33:K34)</f>
        <v>722</v>
      </c>
      <c r="L32" s="855">
        <f>-DataBase!L225-SUM(L33:L34)</f>
        <v>722</v>
      </c>
      <c r="M32" s="855">
        <f>-DataBase!M225-SUM(M33:M34)</f>
        <v>722</v>
      </c>
      <c r="N32" s="855">
        <f>-DataBase!N225-SUM(N33:N34)</f>
        <v>722</v>
      </c>
      <c r="O32" s="129">
        <f t="shared" ref="O32:O49" si="8">SUM(C32:N32)</f>
        <v>8664</v>
      </c>
      <c r="P32" s="128">
        <f t="shared" ref="P32:P49" si="9">SUM(C32:D32)</f>
        <v>1444</v>
      </c>
      <c r="Q32" s="129">
        <f t="shared" ref="Q32:Q49" si="10">O32-P32</f>
        <v>7220</v>
      </c>
    </row>
    <row r="33" spans="1:17" x14ac:dyDescent="0.2">
      <c r="A33" s="545" t="s">
        <v>972</v>
      </c>
      <c r="B33" s="781"/>
      <c r="C33" s="128">
        <v>0</v>
      </c>
      <c r="D33" s="128">
        <v>0</v>
      </c>
      <c r="E33" s="128">
        <f>-100+100-100+100</f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 t="shared" si="8"/>
        <v>0</v>
      </c>
      <c r="P33" s="128">
        <f t="shared" si="9"/>
        <v>0</v>
      </c>
      <c r="Q33" s="129">
        <f t="shared" si="10"/>
        <v>0</v>
      </c>
    </row>
    <row r="34" spans="1:17" x14ac:dyDescent="0.2">
      <c r="A34" s="545" t="s">
        <v>964</v>
      </c>
      <c r="B34" s="781"/>
      <c r="C34" s="128">
        <v>0</v>
      </c>
      <c r="D34" s="128">
        <v>0</v>
      </c>
      <c r="E34" s="128">
        <f>-100+100-100+100</f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9"/>
        <v>0</v>
      </c>
      <c r="Q34" s="129">
        <f>O34-P34</f>
        <v>0</v>
      </c>
    </row>
    <row r="35" spans="1:17" x14ac:dyDescent="0.2">
      <c r="A35" s="131" t="s">
        <v>973</v>
      </c>
      <c r="B35" s="781"/>
      <c r="C35" s="982">
        <f>-DataBase!C226</f>
        <v>96</v>
      </c>
      <c r="D35" s="982">
        <f>-DataBase!D226</f>
        <v>96</v>
      </c>
      <c r="E35" s="982">
        <f>-DataBase!E226</f>
        <v>96</v>
      </c>
      <c r="F35" s="982">
        <f>-DataBase!F226</f>
        <v>96</v>
      </c>
      <c r="G35" s="982">
        <f>-DataBase!G226</f>
        <v>96</v>
      </c>
      <c r="H35" s="982">
        <f>-DataBase!H226</f>
        <v>96</v>
      </c>
      <c r="I35" s="982">
        <f>-DataBase!I226</f>
        <v>96</v>
      </c>
      <c r="J35" s="982">
        <f>-DataBase!J226</f>
        <v>96</v>
      </c>
      <c r="K35" s="982">
        <f>-DataBase!K226</f>
        <v>96</v>
      </c>
      <c r="L35" s="982">
        <f>-DataBase!L226</f>
        <v>96</v>
      </c>
      <c r="M35" s="982">
        <f>-DataBase!M226</f>
        <v>96</v>
      </c>
      <c r="N35" s="982">
        <f>-DataBase!N226</f>
        <v>96</v>
      </c>
      <c r="O35" s="129">
        <f t="shared" si="8"/>
        <v>1152</v>
      </c>
      <c r="P35" s="128">
        <f t="shared" si="9"/>
        <v>192</v>
      </c>
      <c r="Q35" s="129">
        <f t="shared" si="10"/>
        <v>960</v>
      </c>
    </row>
    <row r="36" spans="1:17" x14ac:dyDescent="0.2">
      <c r="A36" s="131" t="s">
        <v>10</v>
      </c>
      <c r="B36" s="781"/>
    </row>
    <row r="37" spans="1:17" x14ac:dyDescent="0.2">
      <c r="A37" s="545" t="s">
        <v>11</v>
      </c>
      <c r="B37" s="781"/>
      <c r="C37" s="982">
        <f>-DataBase!C102</f>
        <v>6</v>
      </c>
      <c r="D37" s="982">
        <f>-DataBase!D102</f>
        <v>23</v>
      </c>
      <c r="E37" s="982">
        <f>-DataBase!E102</f>
        <v>6</v>
      </c>
      <c r="F37" s="982">
        <f>-DataBase!F102</f>
        <v>5</v>
      </c>
      <c r="G37" s="982">
        <f>-DataBase!G102</f>
        <v>6</v>
      </c>
      <c r="H37" s="982">
        <f>-DataBase!H102</f>
        <v>5</v>
      </c>
      <c r="I37" s="982">
        <f>-DataBase!I102</f>
        <v>6</v>
      </c>
      <c r="J37" s="982">
        <f>-DataBase!J102</f>
        <v>5</v>
      </c>
      <c r="K37" s="982">
        <f>-DataBase!K102</f>
        <v>6</v>
      </c>
      <c r="L37" s="982">
        <f>-DataBase!L102</f>
        <v>6</v>
      </c>
      <c r="M37" s="982">
        <f>-DataBase!M102</f>
        <v>6</v>
      </c>
      <c r="N37" s="982">
        <f>-DataBase!N102</f>
        <v>6</v>
      </c>
      <c r="O37" s="129">
        <f>SUM(C37:N37)</f>
        <v>86</v>
      </c>
      <c r="P37" s="128">
        <f t="shared" si="9"/>
        <v>29</v>
      </c>
      <c r="Q37" s="129">
        <f>O37-P37</f>
        <v>57</v>
      </c>
    </row>
    <row r="38" spans="1:17" x14ac:dyDescent="0.2">
      <c r="A38" s="545" t="s">
        <v>12</v>
      </c>
      <c r="B38" s="781"/>
      <c r="C38" s="982">
        <f>-DataBase!C146</f>
        <v>9</v>
      </c>
      <c r="D38" s="982">
        <f>-DataBase!D146</f>
        <v>14</v>
      </c>
      <c r="E38" s="982">
        <f>-DataBase!E146</f>
        <v>9</v>
      </c>
      <c r="F38" s="982">
        <f>-DataBase!F146</f>
        <v>8</v>
      </c>
      <c r="G38" s="982">
        <f>-DataBase!G146</f>
        <v>9</v>
      </c>
      <c r="H38" s="982">
        <f>-DataBase!H146</f>
        <v>8</v>
      </c>
      <c r="I38" s="982">
        <f>-DataBase!I146</f>
        <v>9</v>
      </c>
      <c r="J38" s="982">
        <f>-DataBase!J146</f>
        <v>8</v>
      </c>
      <c r="K38" s="982">
        <f>-DataBase!K146</f>
        <v>9</v>
      </c>
      <c r="L38" s="982">
        <f>-DataBase!L146</f>
        <v>8</v>
      </c>
      <c r="M38" s="982">
        <f>-DataBase!M146</f>
        <v>9</v>
      </c>
      <c r="N38" s="982">
        <f>-DataBase!N146</f>
        <v>8</v>
      </c>
      <c r="O38" s="129">
        <f t="shared" si="8"/>
        <v>108</v>
      </c>
      <c r="P38" s="128">
        <f t="shared" si="9"/>
        <v>23</v>
      </c>
      <c r="Q38" s="129">
        <f t="shared" si="10"/>
        <v>85</v>
      </c>
    </row>
    <row r="39" spans="1:17" x14ac:dyDescent="0.2">
      <c r="A39" s="545" t="s">
        <v>13</v>
      </c>
      <c r="B39" s="781"/>
      <c r="C39" s="982">
        <f>-DataBase!C174</f>
        <v>50</v>
      </c>
      <c r="D39" s="982">
        <f>-DataBase!D174</f>
        <v>57</v>
      </c>
      <c r="E39" s="982">
        <f>-DataBase!E174</f>
        <v>50</v>
      </c>
      <c r="F39" s="982">
        <f>-DataBase!F174</f>
        <v>50</v>
      </c>
      <c r="G39" s="982">
        <f>-DataBase!G174</f>
        <v>51</v>
      </c>
      <c r="H39" s="982">
        <f>-DataBase!H174</f>
        <v>50</v>
      </c>
      <c r="I39" s="982">
        <f>-DataBase!I174</f>
        <v>50</v>
      </c>
      <c r="J39" s="982">
        <f>-DataBase!J174</f>
        <v>51</v>
      </c>
      <c r="K39" s="982">
        <f>-DataBase!K174</f>
        <v>50</v>
      </c>
      <c r="L39" s="982">
        <f>-DataBase!L174</f>
        <v>50</v>
      </c>
      <c r="M39" s="982">
        <f>-DataBase!M174</f>
        <v>51</v>
      </c>
      <c r="N39" s="982">
        <f>-DataBase!N174</f>
        <v>50</v>
      </c>
      <c r="O39" s="129">
        <f t="shared" si="8"/>
        <v>610</v>
      </c>
      <c r="P39" s="128">
        <f t="shared" si="9"/>
        <v>107</v>
      </c>
      <c r="Q39" s="129">
        <f t="shared" si="10"/>
        <v>503</v>
      </c>
    </row>
    <row r="40" spans="1:17" x14ac:dyDescent="0.2">
      <c r="A40" s="545" t="s">
        <v>14</v>
      </c>
      <c r="B40" s="781"/>
      <c r="C40" s="982">
        <f>-DataBase!C230</f>
        <v>6</v>
      </c>
      <c r="D40" s="982">
        <f>-DataBase!D230</f>
        <v>12</v>
      </c>
      <c r="E40" s="982">
        <f>-DataBase!E230</f>
        <v>6</v>
      </c>
      <c r="F40" s="982">
        <f>-DataBase!F230</f>
        <v>6</v>
      </c>
      <c r="G40" s="982">
        <f>-DataBase!G230</f>
        <v>6</v>
      </c>
      <c r="H40" s="982">
        <f>-DataBase!H230</f>
        <v>5</v>
      </c>
      <c r="I40" s="982">
        <f>-DataBase!I230</f>
        <v>6</v>
      </c>
      <c r="J40" s="982">
        <f>-DataBase!J230</f>
        <v>6</v>
      </c>
      <c r="K40" s="982">
        <f>-DataBase!K230</f>
        <v>6</v>
      </c>
      <c r="L40" s="982">
        <f>-DataBase!L230</f>
        <v>6</v>
      </c>
      <c r="M40" s="982">
        <f>-DataBase!M230</f>
        <v>6</v>
      </c>
      <c r="N40" s="982">
        <f>-DataBase!N230</f>
        <v>5</v>
      </c>
      <c r="O40" s="129">
        <f t="shared" si="8"/>
        <v>76</v>
      </c>
      <c r="P40" s="128">
        <f t="shared" si="9"/>
        <v>18</v>
      </c>
      <c r="Q40" s="129">
        <f t="shared" si="10"/>
        <v>58</v>
      </c>
    </row>
    <row r="41" spans="1:17" x14ac:dyDescent="0.2">
      <c r="A41" s="545" t="s">
        <v>19</v>
      </c>
      <c r="B41" s="781"/>
      <c r="C41" s="128">
        <v>0</v>
      </c>
      <c r="D41" s="855">
        <f>80-80</f>
        <v>0</v>
      </c>
      <c r="E41" s="128">
        <f>-100+100-100+100</f>
        <v>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9">
        <f>SUM(C41:N41)</f>
        <v>0</v>
      </c>
      <c r="P41" s="128">
        <f t="shared" si="9"/>
        <v>0</v>
      </c>
      <c r="Q41" s="129">
        <f>O41-P41</f>
        <v>0</v>
      </c>
    </row>
    <row r="42" spans="1:17" x14ac:dyDescent="0.2">
      <c r="A42" s="858" t="s">
        <v>37</v>
      </c>
      <c r="B42" s="781"/>
      <c r="C42" s="982">
        <f>-DataBase!C229</f>
        <v>0</v>
      </c>
      <c r="D42" s="982">
        <f>-DataBase!D229</f>
        <v>0</v>
      </c>
      <c r="E42" s="982">
        <f>-DataBase!E229</f>
        <v>0</v>
      </c>
      <c r="F42" s="982">
        <f>-DataBase!F229</f>
        <v>0</v>
      </c>
      <c r="G42" s="982">
        <f>-DataBase!G229</f>
        <v>0</v>
      </c>
      <c r="H42" s="982">
        <f>-DataBase!H229</f>
        <v>0</v>
      </c>
      <c r="I42" s="982">
        <f>-DataBase!I229</f>
        <v>0</v>
      </c>
      <c r="J42" s="982">
        <f>-DataBase!J229</f>
        <v>0</v>
      </c>
      <c r="K42" s="982">
        <f>-DataBase!K229</f>
        <v>0</v>
      </c>
      <c r="L42" s="982">
        <f>-DataBase!L229</f>
        <v>0</v>
      </c>
      <c r="M42" s="982">
        <f>-DataBase!M229</f>
        <v>0</v>
      </c>
      <c r="N42" s="982">
        <f>-DataBase!N229</f>
        <v>0</v>
      </c>
      <c r="O42" s="129">
        <f>SUM(C42:N42)</f>
        <v>0</v>
      </c>
      <c r="P42" s="128">
        <f t="shared" si="9"/>
        <v>0</v>
      </c>
      <c r="Q42" s="129">
        <f>O42-P42</f>
        <v>0</v>
      </c>
    </row>
    <row r="43" spans="1:17" x14ac:dyDescent="0.2">
      <c r="A43" s="545" t="s">
        <v>15</v>
      </c>
      <c r="B43" s="781"/>
      <c r="C43" s="982">
        <f>-DataBase!C281</f>
        <v>4</v>
      </c>
      <c r="D43" s="982">
        <f>-DataBase!D281</f>
        <v>9</v>
      </c>
      <c r="E43" s="982">
        <f>-DataBase!E281</f>
        <v>4</v>
      </c>
      <c r="F43" s="982">
        <f>-DataBase!F281</f>
        <v>3</v>
      </c>
      <c r="G43" s="982">
        <f>-DataBase!G281</f>
        <v>4</v>
      </c>
      <c r="H43" s="982">
        <f>-DataBase!H281</f>
        <v>4</v>
      </c>
      <c r="I43" s="982">
        <f>-DataBase!I281</f>
        <v>3</v>
      </c>
      <c r="J43" s="982">
        <f>-DataBase!J281</f>
        <v>4</v>
      </c>
      <c r="K43" s="982">
        <f>-DataBase!K281</f>
        <v>4</v>
      </c>
      <c r="L43" s="982">
        <f>-DataBase!L281</f>
        <v>3</v>
      </c>
      <c r="M43" s="982">
        <f>-DataBase!M281</f>
        <v>4</v>
      </c>
      <c r="N43" s="982">
        <f>-DataBase!N281</f>
        <v>3</v>
      </c>
      <c r="O43" s="129">
        <f t="shared" si="8"/>
        <v>49</v>
      </c>
      <c r="P43" s="128">
        <f t="shared" si="9"/>
        <v>13</v>
      </c>
      <c r="Q43" s="129">
        <f t="shared" si="10"/>
        <v>36</v>
      </c>
    </row>
    <row r="44" spans="1:17" x14ac:dyDescent="0.2">
      <c r="A44" s="545" t="s">
        <v>16</v>
      </c>
      <c r="B44" s="781"/>
      <c r="C44" s="982">
        <f>-DataBase!C296</f>
        <v>0</v>
      </c>
      <c r="D44" s="982">
        <f>-DataBase!D296</f>
        <v>0</v>
      </c>
      <c r="E44" s="982">
        <f>-DataBase!E296</f>
        <v>0</v>
      </c>
      <c r="F44" s="982">
        <f>-DataBase!F296</f>
        <v>0</v>
      </c>
      <c r="G44" s="982">
        <f>-DataBase!G296</f>
        <v>0</v>
      </c>
      <c r="H44" s="982">
        <f>-DataBase!H296</f>
        <v>0</v>
      </c>
      <c r="I44" s="982">
        <f>-DataBase!I296</f>
        <v>0</v>
      </c>
      <c r="J44" s="982">
        <f>-DataBase!J296</f>
        <v>0</v>
      </c>
      <c r="K44" s="982">
        <f>-DataBase!K296</f>
        <v>0</v>
      </c>
      <c r="L44" s="982">
        <f>-DataBase!L296</f>
        <v>0</v>
      </c>
      <c r="M44" s="982">
        <f>-DataBase!M296</f>
        <v>0</v>
      </c>
      <c r="N44" s="982">
        <f>-DataBase!N296</f>
        <v>0</v>
      </c>
      <c r="O44" s="129">
        <f t="shared" si="8"/>
        <v>0</v>
      </c>
      <c r="P44" s="128">
        <f t="shared" si="9"/>
        <v>0</v>
      </c>
      <c r="Q44" s="129">
        <f t="shared" si="10"/>
        <v>0</v>
      </c>
    </row>
    <row r="45" spans="1:17" x14ac:dyDescent="0.2">
      <c r="A45" s="545" t="s">
        <v>17</v>
      </c>
      <c r="B45" s="781"/>
      <c r="C45" s="982">
        <f>-DataBase!C310</f>
        <v>0</v>
      </c>
      <c r="D45" s="982">
        <f>-DataBase!D310</f>
        <v>0</v>
      </c>
      <c r="E45" s="982">
        <f>-DataBase!E310</f>
        <v>0</v>
      </c>
      <c r="F45" s="982">
        <f>-DataBase!F310</f>
        <v>0</v>
      </c>
      <c r="G45" s="982">
        <f>-DataBase!G310</f>
        <v>0</v>
      </c>
      <c r="H45" s="982">
        <f>-DataBase!H310</f>
        <v>0</v>
      </c>
      <c r="I45" s="982">
        <f>-DataBase!I310</f>
        <v>0</v>
      </c>
      <c r="J45" s="982">
        <f>-DataBase!J310</f>
        <v>0</v>
      </c>
      <c r="K45" s="982">
        <f>-DataBase!K310</f>
        <v>0</v>
      </c>
      <c r="L45" s="982">
        <f>-DataBase!L310</f>
        <v>0</v>
      </c>
      <c r="M45" s="982">
        <f>-DataBase!M310</f>
        <v>0</v>
      </c>
      <c r="N45" s="982">
        <f>-DataBase!N310</f>
        <v>0</v>
      </c>
      <c r="O45" s="129">
        <f t="shared" si="8"/>
        <v>0</v>
      </c>
      <c r="P45" s="128">
        <f t="shared" si="9"/>
        <v>0</v>
      </c>
      <c r="Q45" s="129">
        <f t="shared" si="10"/>
        <v>0</v>
      </c>
    </row>
    <row r="46" spans="1:17" x14ac:dyDescent="0.2">
      <c r="A46" s="545" t="s">
        <v>18</v>
      </c>
      <c r="B46" s="781"/>
      <c r="C46" s="982">
        <f>-DataBase!C327</f>
        <v>0</v>
      </c>
      <c r="D46" s="982">
        <f>-DataBase!D327</f>
        <v>0</v>
      </c>
      <c r="E46" s="982">
        <f>-DataBase!E327</f>
        <v>0</v>
      </c>
      <c r="F46" s="982">
        <f>-DataBase!F327</f>
        <v>0</v>
      </c>
      <c r="G46" s="982">
        <f>-DataBase!G327</f>
        <v>0</v>
      </c>
      <c r="H46" s="982">
        <f>-DataBase!H327</f>
        <v>0</v>
      </c>
      <c r="I46" s="982">
        <f>-DataBase!I327</f>
        <v>0</v>
      </c>
      <c r="J46" s="982">
        <f>-DataBase!J327</f>
        <v>0</v>
      </c>
      <c r="K46" s="982">
        <f>-DataBase!K327</f>
        <v>0</v>
      </c>
      <c r="L46" s="982">
        <f>-DataBase!L327</f>
        <v>0</v>
      </c>
      <c r="M46" s="982">
        <f>-DataBase!M327</f>
        <v>0</v>
      </c>
      <c r="N46" s="982">
        <f>-DataBase!N327</f>
        <v>0</v>
      </c>
      <c r="O46" s="129">
        <f t="shared" si="8"/>
        <v>0</v>
      </c>
      <c r="P46" s="128">
        <f t="shared" si="9"/>
        <v>0</v>
      </c>
      <c r="Q46" s="129">
        <f t="shared" si="10"/>
        <v>0</v>
      </c>
    </row>
    <row r="47" spans="1:17" x14ac:dyDescent="0.2">
      <c r="A47" s="131" t="s">
        <v>974</v>
      </c>
      <c r="B47" s="781"/>
      <c r="C47" s="982">
        <f>-DataBase!C227</f>
        <v>7</v>
      </c>
      <c r="D47" s="982">
        <f>-DataBase!D227</f>
        <v>7</v>
      </c>
      <c r="E47" s="982">
        <f>-DataBase!E227</f>
        <v>7</v>
      </c>
      <c r="F47" s="982">
        <f>-DataBase!F227</f>
        <v>7</v>
      </c>
      <c r="G47" s="982">
        <f>-DataBase!G227</f>
        <v>7</v>
      </c>
      <c r="H47" s="982">
        <f>-DataBase!H227</f>
        <v>7</v>
      </c>
      <c r="I47" s="982">
        <f>-DataBase!I227</f>
        <v>7</v>
      </c>
      <c r="J47" s="982">
        <f>-DataBase!J227</f>
        <v>7</v>
      </c>
      <c r="K47" s="982">
        <f>-DataBase!K227</f>
        <v>7</v>
      </c>
      <c r="L47" s="982">
        <f>-DataBase!L227</f>
        <v>7</v>
      </c>
      <c r="M47" s="982">
        <f>-DataBase!M227</f>
        <v>7</v>
      </c>
      <c r="N47" s="982">
        <f>-DataBase!N227</f>
        <v>7</v>
      </c>
      <c r="O47" s="129">
        <f t="shared" si="8"/>
        <v>84</v>
      </c>
      <c r="P47" s="128">
        <f t="shared" si="9"/>
        <v>14</v>
      </c>
      <c r="Q47" s="129">
        <f t="shared" si="10"/>
        <v>70</v>
      </c>
    </row>
    <row r="48" spans="1:17" x14ac:dyDescent="0.2">
      <c r="A48" s="131" t="s">
        <v>621</v>
      </c>
      <c r="B48" s="781"/>
      <c r="C48" s="982">
        <f>-DataBase!C228</f>
        <v>0</v>
      </c>
      <c r="D48" s="982">
        <f>-DataBase!D228</f>
        <v>0</v>
      </c>
      <c r="E48" s="982">
        <f>-DataBase!E228</f>
        <v>0</v>
      </c>
      <c r="F48" s="982">
        <f>-DataBase!F228</f>
        <v>0</v>
      </c>
      <c r="G48" s="982">
        <f>-DataBase!G228</f>
        <v>0</v>
      </c>
      <c r="H48" s="982">
        <f>-DataBase!H228</f>
        <v>0</v>
      </c>
      <c r="I48" s="982">
        <f>-DataBase!I228</f>
        <v>0</v>
      </c>
      <c r="J48" s="982">
        <f>-DataBase!J228</f>
        <v>0</v>
      </c>
      <c r="K48" s="982">
        <f>-DataBase!K228</f>
        <v>0</v>
      </c>
      <c r="L48" s="982">
        <f>-DataBase!L228</f>
        <v>0</v>
      </c>
      <c r="M48" s="982">
        <f>-DataBase!M228</f>
        <v>0</v>
      </c>
      <c r="N48" s="982">
        <f>-DataBase!N228</f>
        <v>0</v>
      </c>
      <c r="O48" s="129">
        <f t="shared" si="8"/>
        <v>0</v>
      </c>
      <c r="P48" s="128">
        <f t="shared" si="9"/>
        <v>0</v>
      </c>
      <c r="Q48" s="129">
        <f t="shared" si="10"/>
        <v>0</v>
      </c>
    </row>
    <row r="49" spans="1:22" x14ac:dyDescent="0.2">
      <c r="A49" s="131" t="s">
        <v>622</v>
      </c>
      <c r="B49" s="781"/>
      <c r="C49" s="260">
        <v>0</v>
      </c>
      <c r="D49" s="260">
        <v>0</v>
      </c>
      <c r="E49" s="260">
        <v>0</v>
      </c>
      <c r="F49" s="260">
        <v>0</v>
      </c>
      <c r="G49" s="260">
        <v>0</v>
      </c>
      <c r="H49" s="260">
        <v>0</v>
      </c>
      <c r="I49" s="260">
        <v>0</v>
      </c>
      <c r="J49" s="260">
        <v>0</v>
      </c>
      <c r="K49" s="260">
        <v>0</v>
      </c>
      <c r="L49" s="260">
        <v>0</v>
      </c>
      <c r="M49" s="260">
        <v>0</v>
      </c>
      <c r="N49" s="260">
        <v>0</v>
      </c>
      <c r="O49" s="130">
        <f t="shared" si="8"/>
        <v>0</v>
      </c>
      <c r="P49" s="260">
        <f t="shared" si="9"/>
        <v>0</v>
      </c>
      <c r="Q49" s="130">
        <f t="shared" si="10"/>
        <v>0</v>
      </c>
    </row>
    <row r="50" spans="1:22" ht="3.95" customHeight="1" x14ac:dyDescent="0.2">
      <c r="A50" s="127"/>
      <c r="B50" s="781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8"/>
      <c r="Q50" s="135"/>
    </row>
    <row r="51" spans="1:22" x14ac:dyDescent="0.2">
      <c r="A51" s="384" t="s">
        <v>907</v>
      </c>
      <c r="B51" s="785"/>
      <c r="C51" s="132">
        <f t="shared" ref="C51:Q51" si="11">SUM(C32:C49)</f>
        <v>900</v>
      </c>
      <c r="D51" s="132">
        <f t="shared" si="11"/>
        <v>940</v>
      </c>
      <c r="E51" s="132">
        <f t="shared" si="11"/>
        <v>900</v>
      </c>
      <c r="F51" s="132">
        <f t="shared" si="11"/>
        <v>897</v>
      </c>
      <c r="G51" s="132">
        <f t="shared" si="11"/>
        <v>901</v>
      </c>
      <c r="H51" s="132">
        <f t="shared" si="11"/>
        <v>897</v>
      </c>
      <c r="I51" s="132">
        <f t="shared" si="11"/>
        <v>899</v>
      </c>
      <c r="J51" s="132">
        <f t="shared" si="11"/>
        <v>899</v>
      </c>
      <c r="K51" s="132">
        <f t="shared" si="11"/>
        <v>900</v>
      </c>
      <c r="L51" s="132">
        <f t="shared" si="11"/>
        <v>898</v>
      </c>
      <c r="M51" s="132">
        <f t="shared" si="11"/>
        <v>901</v>
      </c>
      <c r="N51" s="132">
        <f t="shared" si="11"/>
        <v>897</v>
      </c>
      <c r="O51" s="132">
        <f t="shared" si="11"/>
        <v>10829</v>
      </c>
      <c r="P51" s="132">
        <f t="shared" si="11"/>
        <v>1840</v>
      </c>
      <c r="Q51" s="132">
        <f t="shared" si="11"/>
        <v>8989</v>
      </c>
      <c r="R51" s="126"/>
      <c r="S51" s="126"/>
      <c r="T51" s="126"/>
      <c r="U51" s="126"/>
      <c r="V51" s="126"/>
    </row>
    <row r="52" spans="1:22" ht="8.1" customHeight="1" x14ac:dyDescent="0.2"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P52" s="127"/>
    </row>
    <row r="53" spans="1:22" x14ac:dyDescent="0.2">
      <c r="A53" s="131" t="s">
        <v>418</v>
      </c>
      <c r="C53" s="998">
        <f>SUM(C37:C46)</f>
        <v>75</v>
      </c>
      <c r="D53" s="998">
        <f t="shared" ref="D53:N53" si="12">SUM(D37:D46)</f>
        <v>115</v>
      </c>
      <c r="E53" s="998">
        <f t="shared" si="12"/>
        <v>75</v>
      </c>
      <c r="F53" s="998">
        <f t="shared" si="12"/>
        <v>72</v>
      </c>
      <c r="G53" s="998">
        <f t="shared" si="12"/>
        <v>76</v>
      </c>
      <c r="H53" s="998">
        <f t="shared" si="12"/>
        <v>72</v>
      </c>
      <c r="I53" s="998">
        <f t="shared" si="12"/>
        <v>74</v>
      </c>
      <c r="J53" s="998">
        <f t="shared" si="12"/>
        <v>74</v>
      </c>
      <c r="K53" s="998">
        <f t="shared" si="12"/>
        <v>75</v>
      </c>
      <c r="L53" s="998">
        <f t="shared" si="12"/>
        <v>73</v>
      </c>
      <c r="M53" s="998">
        <f t="shared" si="12"/>
        <v>76</v>
      </c>
      <c r="N53" s="998">
        <f t="shared" si="12"/>
        <v>72</v>
      </c>
      <c r="O53" s="129">
        <f>SUM(C53:N53)</f>
        <v>929</v>
      </c>
    </row>
    <row r="61" spans="1:22" x14ac:dyDescent="0.2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</row>
    <row r="64" spans="1:22" x14ac:dyDescent="0.2">
      <c r="A64" s="127"/>
      <c r="B64" s="127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8"/>
      <c r="Q64" s="129"/>
    </row>
    <row r="65" spans="1:17" x14ac:dyDescent="0.2">
      <c r="A65" s="127"/>
      <c r="B65" s="127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">
      <c r="A66" s="127"/>
      <c r="C66" s="128"/>
      <c r="D66" s="128"/>
      <c r="E66" s="129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">
      <c r="A67" s="127"/>
      <c r="B67" s="127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9"/>
      <c r="P67" s="128"/>
      <c r="Q67" s="129"/>
    </row>
    <row r="68" spans="1:17" x14ac:dyDescent="0.2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P68" s="127"/>
    </row>
    <row r="69" spans="1:17" x14ac:dyDescent="0.2"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">
      <c r="A70" s="127"/>
      <c r="B70" s="127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</row>
    <row r="71" spans="1:17" x14ac:dyDescent="0.2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P71" s="127"/>
    </row>
    <row r="80" spans="1:17" x14ac:dyDescent="0.2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</row>
    <row r="100" spans="4:16" x14ac:dyDescent="0.2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</row>
    <row r="120" spans="4:16" x14ac:dyDescent="0.2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</row>
    <row r="140" spans="4:16" x14ac:dyDescent="0.2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</row>
    <row r="160" spans="4:16" x14ac:dyDescent="0.2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</row>
    <row r="180" spans="4:16" x14ac:dyDescent="0.2"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</row>
    <row r="200" spans="4:16" x14ac:dyDescent="0.2"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</row>
    <row r="220" spans="4:16" x14ac:dyDescent="0.2"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</row>
    <row r="240" spans="4:16" x14ac:dyDescent="0.2"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49"/>
  <sheetViews>
    <sheetView showGridLines="0" workbookViewId="0">
      <pane xSplit="2" ySplit="4" topLeftCell="C25" activePane="bottomRight" state="frozen"/>
      <selection activeCell="T1" sqref="T1:AA68"/>
      <selection pane="topRight" activeCell="T1" sqref="T1:AA68"/>
      <selection pane="bottomLeft" activeCell="T1" sqref="T1:AA68"/>
      <selection pane="bottomRight" activeCell="C28" sqref="C28"/>
    </sheetView>
  </sheetViews>
  <sheetFormatPr defaultColWidth="10.7109375" defaultRowHeight="12.75" x14ac:dyDescent="0.2"/>
  <cols>
    <col min="1" max="1" width="45.7109375" style="136" customWidth="1"/>
    <col min="2" max="2" width="8.7109375" style="786" customWidth="1"/>
    <col min="3" max="14" width="8.7109375" style="136" customWidth="1"/>
    <col min="15" max="17" width="9.7109375" style="136" customWidth="1"/>
    <col min="18" max="16384" width="10.7109375" style="136"/>
  </cols>
  <sheetData>
    <row r="1" spans="1:18" x14ac:dyDescent="0.2">
      <c r="A1" s="548" t="str">
        <f ca="1">CELL("FILENAME")</f>
        <v>P:\Finance\2002 Plan\[EMTW02PL.XLS]IncomeState</v>
      </c>
    </row>
    <row r="2" spans="1:18" x14ac:dyDescent="0.2">
      <c r="A2" s="386" t="s">
        <v>905</v>
      </c>
      <c r="C2" s="137" t="s">
        <v>608</v>
      </c>
      <c r="D2" s="137" t="s">
        <v>608</v>
      </c>
      <c r="E2" s="137" t="s">
        <v>608</v>
      </c>
      <c r="F2" s="137" t="s">
        <v>608</v>
      </c>
      <c r="G2" s="487"/>
      <c r="H2" s="137" t="s">
        <v>608</v>
      </c>
      <c r="I2" s="138"/>
      <c r="J2" s="138"/>
      <c r="K2" s="138"/>
      <c r="L2" s="138"/>
      <c r="M2" s="138"/>
      <c r="N2" s="138"/>
      <c r="O2" s="139"/>
      <c r="P2" s="139"/>
      <c r="Q2" s="139"/>
      <c r="R2" s="139"/>
    </row>
    <row r="3" spans="1:18" x14ac:dyDescent="0.2">
      <c r="A3" s="551" t="str">
        <f>IncomeState!A3</f>
        <v>2002 OPERATING PLAN</v>
      </c>
      <c r="B3" s="787">
        <f ca="1">NOW()</f>
        <v>37189.6149224537</v>
      </c>
      <c r="C3" s="562" t="str">
        <f>DataBase!C2</f>
        <v>PLAN</v>
      </c>
      <c r="D3" s="562" t="str">
        <f>DataBase!D2</f>
        <v>PLAN</v>
      </c>
      <c r="E3" s="562" t="str">
        <f>DataBase!E2</f>
        <v>PLAN</v>
      </c>
      <c r="F3" s="562" t="str">
        <f>DataBase!F2</f>
        <v>PLAN</v>
      </c>
      <c r="G3" s="562" t="str">
        <f>DataBase!G2</f>
        <v>PLAN</v>
      </c>
      <c r="H3" s="562" t="str">
        <f>DataBase!H2</f>
        <v>PLAN</v>
      </c>
      <c r="I3" s="562" t="str">
        <f>DataBase!I2</f>
        <v>PLAN</v>
      </c>
      <c r="J3" s="562" t="str">
        <f>DataBase!J2</f>
        <v>PLAN</v>
      </c>
      <c r="K3" s="562" t="str">
        <f>DataBase!K2</f>
        <v>PLAN</v>
      </c>
      <c r="L3" s="562" t="str">
        <f>DataBase!L2</f>
        <v>PLAN</v>
      </c>
      <c r="M3" s="562" t="str">
        <f>DataBase!M2</f>
        <v>PLAN</v>
      </c>
      <c r="N3" s="562" t="str">
        <f>DataBase!N2</f>
        <v>PLAN</v>
      </c>
      <c r="O3" s="562" t="str">
        <f>DataBase!O2</f>
        <v>TOTAL</v>
      </c>
      <c r="P3" s="562" t="str">
        <f>IncomeState!P6</f>
        <v>FEB.</v>
      </c>
      <c r="Q3" s="562" t="str">
        <f>IncomeState!Q6</f>
        <v>ESTIMATE</v>
      </c>
      <c r="R3" s="139"/>
    </row>
    <row r="4" spans="1:18" x14ac:dyDescent="0.2">
      <c r="A4" s="140"/>
      <c r="B4" s="788">
        <f ca="1">NOW()</f>
        <v>37189.6149224537</v>
      </c>
      <c r="C4" s="387" t="s">
        <v>609</v>
      </c>
      <c r="D4" s="387" t="s">
        <v>610</v>
      </c>
      <c r="E4" s="387" t="s">
        <v>611</v>
      </c>
      <c r="F4" s="387" t="s">
        <v>612</v>
      </c>
      <c r="G4" s="387" t="s">
        <v>613</v>
      </c>
      <c r="H4" s="387" t="s">
        <v>614</v>
      </c>
      <c r="I4" s="387" t="s">
        <v>615</v>
      </c>
      <c r="J4" s="387" t="s">
        <v>616</v>
      </c>
      <c r="K4" s="387" t="s">
        <v>617</v>
      </c>
      <c r="L4" s="387" t="s">
        <v>618</v>
      </c>
      <c r="M4" s="387" t="s">
        <v>619</v>
      </c>
      <c r="N4" s="387" t="s">
        <v>620</v>
      </c>
      <c r="O4" s="563">
        <f>DataBase!O3</f>
        <v>2002</v>
      </c>
      <c r="P4" s="563" t="str">
        <f>IncomeState!P7</f>
        <v>Y-T-D</v>
      </c>
      <c r="Q4" s="563" t="str">
        <f>IncomeState!Q7</f>
        <v>R.M.</v>
      </c>
      <c r="R4" s="139"/>
    </row>
    <row r="5" spans="1:18" ht="3.95" customHeight="1" x14ac:dyDescent="0.2"/>
    <row r="6" spans="1:18" ht="12" customHeight="1" x14ac:dyDescent="0.2">
      <c r="A6" s="389" t="s">
        <v>976</v>
      </c>
    </row>
    <row r="7" spans="1:18" x14ac:dyDescent="0.2">
      <c r="A7" s="146" t="s">
        <v>623</v>
      </c>
      <c r="C7" s="141">
        <v>0</v>
      </c>
      <c r="D7" s="141">
        <v>0</v>
      </c>
      <c r="E7" s="141">
        <v>0</v>
      </c>
      <c r="F7" s="141">
        <v>0</v>
      </c>
      <c r="G7" s="141">
        <v>0</v>
      </c>
      <c r="H7" s="141">
        <v>0</v>
      </c>
      <c r="I7" s="141">
        <v>0</v>
      </c>
      <c r="J7" s="141">
        <v>0</v>
      </c>
      <c r="K7" s="141">
        <v>0</v>
      </c>
      <c r="L7" s="141">
        <v>0</v>
      </c>
      <c r="M7" s="141">
        <v>0</v>
      </c>
      <c r="N7" s="141">
        <v>0</v>
      </c>
      <c r="O7" s="142">
        <f>SUM(C7:N7)</f>
        <v>0</v>
      </c>
      <c r="P7" s="141">
        <f>SUM(C7:D7)</f>
        <v>0</v>
      </c>
      <c r="Q7" s="142">
        <f>(O7-P7)</f>
        <v>0</v>
      </c>
    </row>
    <row r="8" spans="1:18" x14ac:dyDescent="0.2">
      <c r="A8" s="146" t="s">
        <v>622</v>
      </c>
      <c r="C8" s="261">
        <v>0</v>
      </c>
      <c r="D8" s="261">
        <v>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0</v>
      </c>
      <c r="M8" s="261">
        <v>0</v>
      </c>
      <c r="N8" s="261">
        <v>0</v>
      </c>
      <c r="O8" s="143">
        <f>SUM(C8:N8)</f>
        <v>0</v>
      </c>
      <c r="P8" s="261">
        <f>SUM(C8:D8)</f>
        <v>0</v>
      </c>
      <c r="Q8" s="143">
        <f>(O8-P8)</f>
        <v>0</v>
      </c>
    </row>
    <row r="9" spans="1:18" ht="3.95" customHeight="1" x14ac:dyDescent="0.2">
      <c r="A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P9" s="144"/>
    </row>
    <row r="10" spans="1:18" x14ac:dyDescent="0.2">
      <c r="A10" s="385" t="s">
        <v>908</v>
      </c>
      <c r="B10" s="848" t="s">
        <v>1070</v>
      </c>
      <c r="C10" s="145">
        <f t="shared" ref="C10:P10" si="0">SUM(C7:C8)</f>
        <v>0</v>
      </c>
      <c r="D10" s="145">
        <f t="shared" si="0"/>
        <v>0</v>
      </c>
      <c r="E10" s="145">
        <f t="shared" si="0"/>
        <v>0</v>
      </c>
      <c r="F10" s="145">
        <f t="shared" si="0"/>
        <v>0</v>
      </c>
      <c r="G10" s="145">
        <f t="shared" si="0"/>
        <v>0</v>
      </c>
      <c r="H10" s="145">
        <f t="shared" si="0"/>
        <v>0</v>
      </c>
      <c r="I10" s="145">
        <f t="shared" si="0"/>
        <v>0</v>
      </c>
      <c r="J10" s="145">
        <f t="shared" si="0"/>
        <v>0</v>
      </c>
      <c r="K10" s="145">
        <f t="shared" si="0"/>
        <v>0</v>
      </c>
      <c r="L10" s="145">
        <f t="shared" si="0"/>
        <v>0</v>
      </c>
      <c r="M10" s="145">
        <f t="shared" si="0"/>
        <v>0</v>
      </c>
      <c r="N10" s="145">
        <f t="shared" si="0"/>
        <v>0</v>
      </c>
      <c r="O10" s="145">
        <f t="shared" si="0"/>
        <v>0</v>
      </c>
      <c r="P10" s="145">
        <f t="shared" si="0"/>
        <v>0</v>
      </c>
      <c r="Q10" s="145">
        <f>SUM(Q7:Q8)</f>
        <v>0</v>
      </c>
      <c r="R10" s="139"/>
    </row>
    <row r="11" spans="1:18" ht="6" customHeight="1" x14ac:dyDescent="0.2">
      <c r="A11" s="144"/>
      <c r="O11" s="142"/>
    </row>
    <row r="12" spans="1:18" x14ac:dyDescent="0.2">
      <c r="A12" s="389" t="s">
        <v>977</v>
      </c>
    </row>
    <row r="13" spans="1:18" x14ac:dyDescent="0.2">
      <c r="A13" s="146" t="s">
        <v>829</v>
      </c>
      <c r="B13" s="790"/>
      <c r="C13" s="984">
        <f>DataBase!C233</f>
        <v>0</v>
      </c>
      <c r="D13" s="984">
        <f>DataBase!D233</f>
        <v>0</v>
      </c>
      <c r="E13" s="984">
        <f>DataBase!E233</f>
        <v>0</v>
      </c>
      <c r="F13" s="984">
        <f>DataBase!F233</f>
        <v>0</v>
      </c>
      <c r="G13" s="984">
        <f>DataBase!G233</f>
        <v>0</v>
      </c>
      <c r="H13" s="984">
        <f>DataBase!H233</f>
        <v>0</v>
      </c>
      <c r="I13" s="984">
        <f>DataBase!I233</f>
        <v>0</v>
      </c>
      <c r="J13" s="984">
        <f>DataBase!J233</f>
        <v>0</v>
      </c>
      <c r="K13" s="984">
        <f>DataBase!K233</f>
        <v>0</v>
      </c>
      <c r="L13" s="984">
        <f>DataBase!L233</f>
        <v>0</v>
      </c>
      <c r="M13" s="984">
        <f>DataBase!M233</f>
        <v>0</v>
      </c>
      <c r="N13" s="984">
        <f>DataBase!N233</f>
        <v>0</v>
      </c>
      <c r="O13" s="142">
        <f t="shared" ref="O13:O22" si="1">SUM(C13:N13)</f>
        <v>0</v>
      </c>
      <c r="P13" s="141">
        <f t="shared" ref="P13:P22" si="2">SUM(C13:D13)</f>
        <v>0</v>
      </c>
      <c r="Q13" s="142">
        <f>(O13-P13)</f>
        <v>0</v>
      </c>
      <c r="R13" s="142"/>
    </row>
    <row r="14" spans="1:18" x14ac:dyDescent="0.2">
      <c r="A14" s="147" t="s">
        <v>830</v>
      </c>
      <c r="B14" s="790"/>
      <c r="C14" s="984">
        <f>DataBase!C234</f>
        <v>0</v>
      </c>
      <c r="D14" s="984">
        <f>DataBase!D234</f>
        <v>0</v>
      </c>
      <c r="E14" s="984">
        <f>DataBase!E234</f>
        <v>0</v>
      </c>
      <c r="F14" s="984">
        <f>DataBase!F234</f>
        <v>0</v>
      </c>
      <c r="G14" s="984">
        <f>DataBase!G234</f>
        <v>0</v>
      </c>
      <c r="H14" s="984">
        <f>DataBase!H234</f>
        <v>0</v>
      </c>
      <c r="I14" s="984">
        <f>DataBase!I234</f>
        <v>0</v>
      </c>
      <c r="J14" s="984">
        <f>DataBase!J234</f>
        <v>0</v>
      </c>
      <c r="K14" s="984">
        <f>DataBase!K234</f>
        <v>0</v>
      </c>
      <c r="L14" s="984">
        <f>DataBase!L234</f>
        <v>0</v>
      </c>
      <c r="M14" s="984">
        <f>DataBase!M234</f>
        <v>0</v>
      </c>
      <c r="N14" s="984">
        <f>DataBase!N234</f>
        <v>0</v>
      </c>
      <c r="O14" s="142">
        <f>SUM(C14:N14)</f>
        <v>0</v>
      </c>
      <c r="P14" s="141">
        <f t="shared" si="2"/>
        <v>0</v>
      </c>
      <c r="Q14" s="142">
        <f>(O14-P14)</f>
        <v>0</v>
      </c>
      <c r="R14" s="142"/>
    </row>
    <row r="15" spans="1:18" x14ac:dyDescent="0.2">
      <c r="A15" s="147" t="s">
        <v>1071</v>
      </c>
      <c r="B15" s="847" t="s">
        <v>1066</v>
      </c>
      <c r="C15" s="142">
        <f>Trackers!D48</f>
        <v>0</v>
      </c>
      <c r="D15" s="142">
        <f>Trackers!E48</f>
        <v>0</v>
      </c>
      <c r="E15" s="142">
        <f>Trackers!F48</f>
        <v>0</v>
      </c>
      <c r="F15" s="142">
        <f>Trackers!G48</f>
        <v>0</v>
      </c>
      <c r="G15" s="142">
        <f>Trackers!H48</f>
        <v>0</v>
      </c>
      <c r="H15" s="142">
        <f>Trackers!I48</f>
        <v>0</v>
      </c>
      <c r="I15" s="142">
        <f>Trackers!J48</f>
        <v>0</v>
      </c>
      <c r="J15" s="142">
        <f>Trackers!K48</f>
        <v>0</v>
      </c>
      <c r="K15" s="142">
        <f>Trackers!L48</f>
        <v>0</v>
      </c>
      <c r="L15" s="142">
        <f>Trackers!M48</f>
        <v>0</v>
      </c>
      <c r="M15" s="142">
        <f>Trackers!N48</f>
        <v>0</v>
      </c>
      <c r="N15" s="142">
        <f>Trackers!O48</f>
        <v>0</v>
      </c>
      <c r="O15" s="142">
        <f t="shared" si="1"/>
        <v>0</v>
      </c>
      <c r="P15" s="141">
        <f t="shared" si="2"/>
        <v>0</v>
      </c>
      <c r="Q15" s="142">
        <f t="shared" ref="Q15:Q22" si="3">(O15-P15)</f>
        <v>0</v>
      </c>
    </row>
    <row r="16" spans="1:18" x14ac:dyDescent="0.2">
      <c r="A16" s="147" t="s">
        <v>831</v>
      </c>
      <c r="B16" s="847" t="s">
        <v>1066</v>
      </c>
      <c r="C16" s="142">
        <f>Trackers!D117</f>
        <v>0</v>
      </c>
      <c r="D16" s="142">
        <f>Trackers!E117</f>
        <v>0</v>
      </c>
      <c r="E16" s="142">
        <f>Trackers!F117</f>
        <v>0</v>
      </c>
      <c r="F16" s="142">
        <f>Trackers!G117</f>
        <v>0</v>
      </c>
      <c r="G16" s="142">
        <f>Trackers!H117</f>
        <v>0</v>
      </c>
      <c r="H16" s="142">
        <f>Trackers!I117</f>
        <v>0</v>
      </c>
      <c r="I16" s="142">
        <f>Trackers!J117</f>
        <v>0</v>
      </c>
      <c r="J16" s="142">
        <f>Trackers!K117</f>
        <v>0</v>
      </c>
      <c r="K16" s="142">
        <f>Trackers!L117</f>
        <v>0</v>
      </c>
      <c r="L16" s="142">
        <f>Trackers!M117</f>
        <v>0</v>
      </c>
      <c r="M16" s="142">
        <f>Trackers!N117</f>
        <v>0</v>
      </c>
      <c r="N16" s="142">
        <f>Trackers!O117</f>
        <v>0</v>
      </c>
      <c r="O16" s="142">
        <f t="shared" si="1"/>
        <v>0</v>
      </c>
      <c r="P16" s="141">
        <f t="shared" si="2"/>
        <v>0</v>
      </c>
      <c r="Q16" s="142">
        <f t="shared" si="3"/>
        <v>0</v>
      </c>
    </row>
    <row r="17" spans="1:24" x14ac:dyDescent="0.2">
      <c r="A17" s="147" t="s">
        <v>832</v>
      </c>
      <c r="B17" s="847" t="s">
        <v>1066</v>
      </c>
      <c r="C17" s="142">
        <f>Trackers!D315</f>
        <v>0</v>
      </c>
      <c r="D17" s="142">
        <f>Trackers!E315</f>
        <v>0</v>
      </c>
      <c r="E17" s="142">
        <f>Trackers!F315</f>
        <v>0</v>
      </c>
      <c r="F17" s="142">
        <f>Trackers!G315</f>
        <v>0</v>
      </c>
      <c r="G17" s="142">
        <f>Trackers!H315</f>
        <v>0</v>
      </c>
      <c r="H17" s="142">
        <f>Trackers!I315</f>
        <v>0</v>
      </c>
      <c r="I17" s="142">
        <f>Trackers!J315</f>
        <v>0</v>
      </c>
      <c r="J17" s="142">
        <f>Trackers!K315</f>
        <v>0</v>
      </c>
      <c r="K17" s="142">
        <f>Trackers!L315</f>
        <v>0</v>
      </c>
      <c r="L17" s="142">
        <f>Trackers!M315</f>
        <v>0</v>
      </c>
      <c r="M17" s="142">
        <f>Trackers!N315</f>
        <v>0</v>
      </c>
      <c r="N17" s="142">
        <f>Trackers!O315</f>
        <v>0</v>
      </c>
      <c r="O17" s="142">
        <f t="shared" si="1"/>
        <v>0</v>
      </c>
      <c r="P17" s="141">
        <f t="shared" si="2"/>
        <v>0</v>
      </c>
      <c r="Q17" s="142">
        <f t="shared" si="3"/>
        <v>0</v>
      </c>
    </row>
    <row r="18" spans="1:24" x14ac:dyDescent="0.2">
      <c r="A18" s="147" t="s">
        <v>833</v>
      </c>
      <c r="B18" s="847" t="s">
        <v>1066</v>
      </c>
      <c r="C18" s="142">
        <f>Trackers!D380</f>
        <v>0</v>
      </c>
      <c r="D18" s="142">
        <f>Trackers!E380</f>
        <v>0</v>
      </c>
      <c r="E18" s="142">
        <f>Trackers!F380</f>
        <v>0</v>
      </c>
      <c r="F18" s="142">
        <f>Trackers!G380</f>
        <v>0</v>
      </c>
      <c r="G18" s="142">
        <f>Trackers!H380</f>
        <v>0</v>
      </c>
      <c r="H18" s="142">
        <f>Trackers!I380</f>
        <v>0</v>
      </c>
      <c r="I18" s="142">
        <f>Trackers!J380</f>
        <v>0</v>
      </c>
      <c r="J18" s="142">
        <f>Trackers!K380</f>
        <v>0</v>
      </c>
      <c r="K18" s="142">
        <f>Trackers!L380</f>
        <v>0</v>
      </c>
      <c r="L18" s="142">
        <f>Trackers!M380</f>
        <v>0</v>
      </c>
      <c r="M18" s="142">
        <f>Trackers!N380</f>
        <v>0</v>
      </c>
      <c r="N18" s="142">
        <f>Trackers!O380</f>
        <v>0</v>
      </c>
      <c r="O18" s="142">
        <f t="shared" si="1"/>
        <v>0</v>
      </c>
      <c r="P18" s="141">
        <f t="shared" si="2"/>
        <v>0</v>
      </c>
      <c r="Q18" s="142">
        <f t="shared" si="3"/>
        <v>0</v>
      </c>
    </row>
    <row r="19" spans="1:24" x14ac:dyDescent="0.2">
      <c r="A19" s="147" t="s">
        <v>834</v>
      </c>
      <c r="B19" s="847" t="s">
        <v>1066</v>
      </c>
      <c r="C19" s="142">
        <f>Trackers!D515</f>
        <v>0</v>
      </c>
      <c r="D19" s="142">
        <f>Trackers!E515</f>
        <v>0</v>
      </c>
      <c r="E19" s="142">
        <f>Trackers!F515</f>
        <v>0</v>
      </c>
      <c r="F19" s="142">
        <f>Trackers!G515</f>
        <v>0</v>
      </c>
      <c r="G19" s="142">
        <f>Trackers!H515</f>
        <v>0</v>
      </c>
      <c r="H19" s="142">
        <f>Trackers!I515</f>
        <v>0</v>
      </c>
      <c r="I19" s="142">
        <f>Trackers!J515</f>
        <v>0</v>
      </c>
      <c r="J19" s="142">
        <f>Trackers!K515</f>
        <v>0</v>
      </c>
      <c r="K19" s="142">
        <f>Trackers!L515</f>
        <v>0</v>
      </c>
      <c r="L19" s="142">
        <f>Trackers!M515</f>
        <v>0</v>
      </c>
      <c r="M19" s="142">
        <f>Trackers!N515</f>
        <v>0</v>
      </c>
      <c r="N19" s="142">
        <f>Trackers!O515</f>
        <v>0</v>
      </c>
      <c r="O19" s="142">
        <f t="shared" si="1"/>
        <v>0</v>
      </c>
      <c r="P19" s="141">
        <f t="shared" si="2"/>
        <v>0</v>
      </c>
      <c r="Q19" s="142">
        <f t="shared" si="3"/>
        <v>0</v>
      </c>
    </row>
    <row r="20" spans="1:24" x14ac:dyDescent="0.2">
      <c r="A20" s="147" t="s">
        <v>836</v>
      </c>
      <c r="B20" s="847" t="s">
        <v>1066</v>
      </c>
      <c r="C20" s="142">
        <f>Trackers!D201</f>
        <v>0</v>
      </c>
      <c r="D20" s="142">
        <f>Trackers!E201</f>
        <v>0</v>
      </c>
      <c r="E20" s="142">
        <f>Trackers!F201</f>
        <v>0</v>
      </c>
      <c r="F20" s="142">
        <f>Trackers!G201</f>
        <v>0</v>
      </c>
      <c r="G20" s="142">
        <f>Trackers!H201</f>
        <v>0</v>
      </c>
      <c r="H20" s="142">
        <f>Trackers!I201</f>
        <v>0</v>
      </c>
      <c r="I20" s="142">
        <f>Trackers!J201</f>
        <v>0</v>
      </c>
      <c r="J20" s="142">
        <f>Trackers!K201</f>
        <v>0</v>
      </c>
      <c r="K20" s="142">
        <f>Trackers!L201</f>
        <v>0</v>
      </c>
      <c r="L20" s="142">
        <f>Trackers!M201</f>
        <v>0</v>
      </c>
      <c r="M20" s="142">
        <f>Trackers!N201</f>
        <v>0</v>
      </c>
      <c r="N20" s="142">
        <f>Trackers!O201</f>
        <v>0</v>
      </c>
      <c r="O20" s="142">
        <f t="shared" si="1"/>
        <v>0</v>
      </c>
      <c r="P20" s="141">
        <f t="shared" si="2"/>
        <v>0</v>
      </c>
      <c r="Q20" s="142">
        <f t="shared" si="3"/>
        <v>0</v>
      </c>
    </row>
    <row r="21" spans="1:24" x14ac:dyDescent="0.2">
      <c r="A21" s="531" t="s">
        <v>623</v>
      </c>
      <c r="B21" s="792"/>
      <c r="C21" s="984">
        <f>DataBase!C238</f>
        <v>0</v>
      </c>
      <c r="D21" s="984">
        <f>DataBase!D238</f>
        <v>0</v>
      </c>
      <c r="E21" s="984">
        <f>DataBase!E238</f>
        <v>0</v>
      </c>
      <c r="F21" s="984">
        <f>DataBase!F238</f>
        <v>0</v>
      </c>
      <c r="G21" s="984">
        <f>DataBase!G238</f>
        <v>0</v>
      </c>
      <c r="H21" s="984">
        <f>DataBase!H238</f>
        <v>0</v>
      </c>
      <c r="I21" s="984">
        <f>DataBase!I238</f>
        <v>0</v>
      </c>
      <c r="J21" s="984">
        <f>DataBase!J238</f>
        <v>0</v>
      </c>
      <c r="K21" s="984">
        <f>DataBase!K238</f>
        <v>0</v>
      </c>
      <c r="L21" s="984">
        <f>DataBase!L238</f>
        <v>0</v>
      </c>
      <c r="M21" s="984">
        <f>DataBase!M238</f>
        <v>0</v>
      </c>
      <c r="N21" s="984">
        <f>DataBase!N238</f>
        <v>0</v>
      </c>
      <c r="O21" s="142">
        <f t="shared" si="1"/>
        <v>0</v>
      </c>
      <c r="P21" s="141">
        <f t="shared" si="2"/>
        <v>0</v>
      </c>
      <c r="Q21" s="142">
        <f t="shared" si="3"/>
        <v>0</v>
      </c>
    </row>
    <row r="22" spans="1:24" x14ac:dyDescent="0.2">
      <c r="A22" s="146" t="s">
        <v>622</v>
      </c>
      <c r="C22" s="261">
        <v>0</v>
      </c>
      <c r="D22" s="261">
        <v>0</v>
      </c>
      <c r="E22" s="261">
        <v>0</v>
      </c>
      <c r="F22" s="261">
        <v>0</v>
      </c>
      <c r="G22" s="261">
        <v>0</v>
      </c>
      <c r="H22" s="261">
        <v>0</v>
      </c>
      <c r="I22" s="261">
        <v>0</v>
      </c>
      <c r="J22" s="261">
        <v>0</v>
      </c>
      <c r="K22" s="261">
        <v>0</v>
      </c>
      <c r="L22" s="261">
        <v>0</v>
      </c>
      <c r="M22" s="261">
        <v>0</v>
      </c>
      <c r="N22" s="261">
        <v>0</v>
      </c>
      <c r="O22" s="143">
        <f t="shared" si="1"/>
        <v>0</v>
      </c>
      <c r="P22" s="261">
        <f t="shared" si="2"/>
        <v>0</v>
      </c>
      <c r="Q22" s="143">
        <f t="shared" si="3"/>
        <v>0</v>
      </c>
    </row>
    <row r="23" spans="1:24" ht="3.95" customHeight="1" x14ac:dyDescent="0.2">
      <c r="A23" s="388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P23" s="144"/>
    </row>
    <row r="24" spans="1:24" x14ac:dyDescent="0.2">
      <c r="A24" s="385" t="s">
        <v>909</v>
      </c>
      <c r="B24" s="789"/>
      <c r="C24" s="145">
        <f t="shared" ref="C24:N24" si="4">SUM(C13:C22)</f>
        <v>0</v>
      </c>
      <c r="D24" s="145">
        <f t="shared" si="4"/>
        <v>0</v>
      </c>
      <c r="E24" s="145">
        <f t="shared" si="4"/>
        <v>0</v>
      </c>
      <c r="F24" s="145">
        <f t="shared" si="4"/>
        <v>0</v>
      </c>
      <c r="G24" s="145">
        <f t="shared" si="4"/>
        <v>0</v>
      </c>
      <c r="H24" s="145">
        <f t="shared" si="4"/>
        <v>0</v>
      </c>
      <c r="I24" s="145">
        <f t="shared" si="4"/>
        <v>0</v>
      </c>
      <c r="J24" s="145">
        <f t="shared" si="4"/>
        <v>0</v>
      </c>
      <c r="K24" s="145">
        <f t="shared" si="4"/>
        <v>0</v>
      </c>
      <c r="L24" s="145">
        <f t="shared" si="4"/>
        <v>0</v>
      </c>
      <c r="M24" s="145">
        <f t="shared" si="4"/>
        <v>0</v>
      </c>
      <c r="N24" s="145">
        <f t="shared" si="4"/>
        <v>0</v>
      </c>
      <c r="O24" s="145">
        <f>SUM(O12:O22)</f>
        <v>0</v>
      </c>
      <c r="P24" s="145">
        <f>SUM(P12:P22)</f>
        <v>0</v>
      </c>
      <c r="Q24" s="145">
        <f>SUM(Q13:Q22)</f>
        <v>0</v>
      </c>
      <c r="R24" s="139"/>
      <c r="S24" s="139"/>
      <c r="T24" s="139"/>
      <c r="U24" s="139"/>
      <c r="V24" s="139"/>
      <c r="W24" s="139"/>
      <c r="X24" s="139"/>
    </row>
    <row r="25" spans="1:24" ht="6" customHeight="1" x14ac:dyDescent="0.2">
      <c r="A25" s="388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P25" s="144"/>
    </row>
    <row r="26" spans="1:24" x14ac:dyDescent="0.2">
      <c r="A26" s="389" t="s">
        <v>978</v>
      </c>
      <c r="B26" s="791"/>
    </row>
    <row r="27" spans="1:24" x14ac:dyDescent="0.2">
      <c r="A27" s="147" t="s">
        <v>912</v>
      </c>
      <c r="B27" s="790"/>
      <c r="C27" s="984">
        <f>DataBase!C248</f>
        <v>0</v>
      </c>
      <c r="D27" s="984">
        <f>DataBase!D248</f>
        <v>0</v>
      </c>
      <c r="E27" s="984">
        <f>DataBase!E248</f>
        <v>0</v>
      </c>
      <c r="F27" s="984">
        <f>DataBase!F248</f>
        <v>0</v>
      </c>
      <c r="G27" s="984">
        <f>DataBase!G248</f>
        <v>0</v>
      </c>
      <c r="H27" s="984">
        <f>DataBase!H248</f>
        <v>0</v>
      </c>
      <c r="I27" s="984">
        <f>DataBase!I248</f>
        <v>0</v>
      </c>
      <c r="J27" s="984">
        <f>DataBase!J248</f>
        <v>0</v>
      </c>
      <c r="K27" s="984">
        <f>DataBase!K248</f>
        <v>0</v>
      </c>
      <c r="L27" s="984">
        <f>DataBase!L248</f>
        <v>0</v>
      </c>
      <c r="M27" s="984">
        <f>DataBase!M248</f>
        <v>0</v>
      </c>
      <c r="N27" s="984">
        <f>DataBase!N248</f>
        <v>0</v>
      </c>
      <c r="O27" s="142">
        <f t="shared" ref="O27:O44" si="5">SUM(C27:N27)</f>
        <v>0</v>
      </c>
      <c r="P27" s="141">
        <f t="shared" ref="P27:P44" si="6">SUM(C27:D27)</f>
        <v>0</v>
      </c>
      <c r="Q27" s="142">
        <f t="shared" ref="Q27:Q44" si="7">(O27-P27)</f>
        <v>0</v>
      </c>
    </row>
    <row r="28" spans="1:24" x14ac:dyDescent="0.2">
      <c r="A28" s="147" t="s">
        <v>717</v>
      </c>
      <c r="B28" s="847" t="s">
        <v>1050</v>
      </c>
      <c r="C28" s="984">
        <f>DataBase!C249</f>
        <v>66</v>
      </c>
      <c r="D28" s="984">
        <f>DataBase!D249</f>
        <v>110</v>
      </c>
      <c r="E28" s="984">
        <f>DataBase!E249</f>
        <v>90</v>
      </c>
      <c r="F28" s="984">
        <f>DataBase!F249</f>
        <v>167</v>
      </c>
      <c r="G28" s="984">
        <f>DataBase!G249</f>
        <v>253</v>
      </c>
      <c r="H28" s="984">
        <f>DataBase!H249</f>
        <v>300</v>
      </c>
      <c r="I28" s="984">
        <f>DataBase!I249</f>
        <v>311</v>
      </c>
      <c r="J28" s="984">
        <f>DataBase!J249</f>
        <v>309</v>
      </c>
      <c r="K28" s="984">
        <f>DataBase!K249</f>
        <v>294</v>
      </c>
      <c r="L28" s="984">
        <f>DataBase!L249</f>
        <v>279</v>
      </c>
      <c r="M28" s="984">
        <f>DataBase!M249</f>
        <v>310</v>
      </c>
      <c r="N28" s="984">
        <f>DataBase!N249</f>
        <v>309</v>
      </c>
      <c r="O28" s="142">
        <f>SUM(C28:N28)</f>
        <v>2798</v>
      </c>
      <c r="P28" s="141">
        <f>SUM(C28:D28)</f>
        <v>176</v>
      </c>
      <c r="Q28" s="142">
        <f>(O28-P28)</f>
        <v>2622</v>
      </c>
    </row>
    <row r="29" spans="1:24" x14ac:dyDescent="0.2">
      <c r="A29" s="147" t="s">
        <v>716</v>
      </c>
      <c r="B29" s="847" t="s">
        <v>1050</v>
      </c>
      <c r="C29" s="984">
        <f>DataBase!C250</f>
        <v>40</v>
      </c>
      <c r="D29" s="984">
        <f>DataBase!D250</f>
        <v>67</v>
      </c>
      <c r="E29" s="984">
        <f>DataBase!E250</f>
        <v>55</v>
      </c>
      <c r="F29" s="984">
        <f>DataBase!F250</f>
        <v>102</v>
      </c>
      <c r="G29" s="984">
        <f>DataBase!G250</f>
        <v>155</v>
      </c>
      <c r="H29" s="984">
        <f>DataBase!H250</f>
        <v>183</v>
      </c>
      <c r="I29" s="984">
        <f>DataBase!I250</f>
        <v>190</v>
      </c>
      <c r="J29" s="984">
        <f>DataBase!J250</f>
        <v>189</v>
      </c>
      <c r="K29" s="984">
        <f>DataBase!K250</f>
        <v>180</v>
      </c>
      <c r="L29" s="984">
        <f>DataBase!L250</f>
        <v>171</v>
      </c>
      <c r="M29" s="984">
        <f>DataBase!M250</f>
        <v>189</v>
      </c>
      <c r="N29" s="984">
        <f>DataBase!N250</f>
        <v>189</v>
      </c>
      <c r="O29" s="142">
        <f t="shared" si="5"/>
        <v>1710</v>
      </c>
      <c r="P29" s="141">
        <f t="shared" si="6"/>
        <v>107</v>
      </c>
      <c r="Q29" s="142">
        <f t="shared" si="7"/>
        <v>1603</v>
      </c>
    </row>
    <row r="30" spans="1:24" x14ac:dyDescent="0.2">
      <c r="A30" s="147" t="s">
        <v>715</v>
      </c>
      <c r="B30" s="847" t="s">
        <v>1050</v>
      </c>
      <c r="C30" s="984">
        <f>DataBase!C251</f>
        <v>-7</v>
      </c>
      <c r="D30" s="984">
        <f>DataBase!D251</f>
        <v>-7</v>
      </c>
      <c r="E30" s="984">
        <f>DataBase!E251</f>
        <v>-7</v>
      </c>
      <c r="F30" s="984">
        <f>DataBase!F251</f>
        <v>-7</v>
      </c>
      <c r="G30" s="984">
        <f>DataBase!G251</f>
        <v>-7</v>
      </c>
      <c r="H30" s="984">
        <f>DataBase!H251</f>
        <v>-7</v>
      </c>
      <c r="I30" s="984">
        <f>DataBase!I251</f>
        <v>-7</v>
      </c>
      <c r="J30" s="984">
        <f>DataBase!J251</f>
        <v>-7</v>
      </c>
      <c r="K30" s="984">
        <f>DataBase!K251</f>
        <v>-7</v>
      </c>
      <c r="L30" s="984">
        <f>DataBase!L251</f>
        <v>-7</v>
      </c>
      <c r="M30" s="984">
        <f>DataBase!M251</f>
        <v>-7</v>
      </c>
      <c r="N30" s="984">
        <f>DataBase!N251</f>
        <v>-7</v>
      </c>
      <c r="O30" s="142">
        <f t="shared" si="5"/>
        <v>-84</v>
      </c>
      <c r="P30" s="141">
        <f t="shared" si="6"/>
        <v>-14</v>
      </c>
      <c r="Q30" s="142">
        <f t="shared" si="7"/>
        <v>-70</v>
      </c>
    </row>
    <row r="31" spans="1:24" x14ac:dyDescent="0.2">
      <c r="A31" s="656" t="s">
        <v>385</v>
      </c>
      <c r="B31" s="847" t="s">
        <v>1050</v>
      </c>
      <c r="C31" s="987">
        <f>DataBase!C112</f>
        <v>0</v>
      </c>
      <c r="D31" s="987">
        <f>DataBase!D112</f>
        <v>0</v>
      </c>
      <c r="E31" s="987">
        <f>DataBase!E112</f>
        <v>0</v>
      </c>
      <c r="F31" s="987">
        <f>DataBase!F112</f>
        <v>0</v>
      </c>
      <c r="G31" s="987">
        <f>DataBase!G112</f>
        <v>0</v>
      </c>
      <c r="H31" s="987">
        <f>DataBase!H112</f>
        <v>0</v>
      </c>
      <c r="I31" s="987">
        <f>DataBase!I112</f>
        <v>0</v>
      </c>
      <c r="J31" s="987">
        <f>DataBase!J112</f>
        <v>0</v>
      </c>
      <c r="K31" s="987">
        <f>DataBase!K112</f>
        <v>0</v>
      </c>
      <c r="L31" s="987">
        <f>DataBase!L112</f>
        <v>0</v>
      </c>
      <c r="M31" s="987">
        <f>DataBase!M112</f>
        <v>0</v>
      </c>
      <c r="N31" s="987">
        <f>DataBase!N112</f>
        <v>0</v>
      </c>
      <c r="O31" s="156">
        <f t="shared" si="5"/>
        <v>0</v>
      </c>
      <c r="P31" s="141">
        <f t="shared" si="6"/>
        <v>0</v>
      </c>
      <c r="Q31" s="156">
        <f t="shared" si="7"/>
        <v>0</v>
      </c>
    </row>
    <row r="32" spans="1:24" x14ac:dyDescent="0.2">
      <c r="A32" s="147" t="s">
        <v>386</v>
      </c>
      <c r="B32" s="847" t="s">
        <v>1050</v>
      </c>
      <c r="C32" s="987">
        <f>DataBase!C113</f>
        <v>0</v>
      </c>
      <c r="D32" s="987">
        <f>DataBase!D113</f>
        <v>0</v>
      </c>
      <c r="E32" s="987">
        <f>DataBase!E113</f>
        <v>0</v>
      </c>
      <c r="F32" s="987">
        <f>DataBase!F113</f>
        <v>0</v>
      </c>
      <c r="G32" s="987">
        <f>DataBase!G113</f>
        <v>0</v>
      </c>
      <c r="H32" s="987">
        <f>DataBase!H113</f>
        <v>0</v>
      </c>
      <c r="I32" s="987">
        <f>DataBase!I113</f>
        <v>0</v>
      </c>
      <c r="J32" s="987">
        <f>DataBase!J113</f>
        <v>0</v>
      </c>
      <c r="K32" s="987">
        <f>DataBase!K113</f>
        <v>0</v>
      </c>
      <c r="L32" s="987">
        <f>DataBase!L113</f>
        <v>0</v>
      </c>
      <c r="M32" s="987">
        <f>DataBase!M113</f>
        <v>0</v>
      </c>
      <c r="N32" s="987">
        <f>DataBase!N113</f>
        <v>0</v>
      </c>
      <c r="O32" s="142">
        <f t="shared" si="5"/>
        <v>0</v>
      </c>
      <c r="P32" s="141">
        <f t="shared" si="6"/>
        <v>0</v>
      </c>
      <c r="Q32" s="142">
        <f t="shared" si="7"/>
        <v>0</v>
      </c>
    </row>
    <row r="33" spans="1:29" x14ac:dyDescent="0.2">
      <c r="A33" s="157" t="s">
        <v>1029</v>
      </c>
      <c r="B33" s="790"/>
      <c r="C33" s="984">
        <f>DataBase!C51</f>
        <v>0</v>
      </c>
      <c r="D33" s="984">
        <f>DataBase!D51</f>
        <v>0</v>
      </c>
      <c r="E33" s="984">
        <f>DataBase!E51</f>
        <v>0</v>
      </c>
      <c r="F33" s="984">
        <f>DataBase!F51</f>
        <v>0</v>
      </c>
      <c r="G33" s="984">
        <f>DataBase!G51</f>
        <v>0</v>
      </c>
      <c r="H33" s="984">
        <f>DataBase!H51</f>
        <v>0</v>
      </c>
      <c r="I33" s="984">
        <f>DataBase!I51</f>
        <v>0</v>
      </c>
      <c r="J33" s="984">
        <f>DataBase!J51</f>
        <v>0</v>
      </c>
      <c r="K33" s="984">
        <f>DataBase!K51</f>
        <v>0</v>
      </c>
      <c r="L33" s="984">
        <f>DataBase!L51</f>
        <v>0</v>
      </c>
      <c r="M33" s="984">
        <f>DataBase!M51</f>
        <v>0</v>
      </c>
      <c r="N33" s="984">
        <f>DataBase!N51</f>
        <v>0</v>
      </c>
      <c r="O33" s="142">
        <f t="shared" si="5"/>
        <v>0</v>
      </c>
      <c r="P33" s="141">
        <f t="shared" si="6"/>
        <v>0</v>
      </c>
      <c r="Q33" s="142">
        <f t="shared" si="7"/>
        <v>0</v>
      </c>
    </row>
    <row r="34" spans="1:29" x14ac:dyDescent="0.2">
      <c r="A34" s="157" t="s">
        <v>1030</v>
      </c>
      <c r="B34" s="790"/>
      <c r="C34" s="984">
        <f>DataBase!C52</f>
        <v>0</v>
      </c>
      <c r="D34" s="984">
        <f>DataBase!D52</f>
        <v>0</v>
      </c>
      <c r="E34" s="984">
        <f>DataBase!E52</f>
        <v>0</v>
      </c>
      <c r="F34" s="984">
        <f>DataBase!F52</f>
        <v>0</v>
      </c>
      <c r="G34" s="984">
        <f>DataBase!G52</f>
        <v>0</v>
      </c>
      <c r="H34" s="984">
        <f>DataBase!H52</f>
        <v>0</v>
      </c>
      <c r="I34" s="984">
        <f>DataBase!I52</f>
        <v>0</v>
      </c>
      <c r="J34" s="984">
        <f>DataBase!J52</f>
        <v>0</v>
      </c>
      <c r="K34" s="984">
        <f>DataBase!K52</f>
        <v>0</v>
      </c>
      <c r="L34" s="984">
        <f>DataBase!L52</f>
        <v>0</v>
      </c>
      <c r="M34" s="984">
        <f>DataBase!M52</f>
        <v>0</v>
      </c>
      <c r="N34" s="984">
        <f>DataBase!N52</f>
        <v>0</v>
      </c>
      <c r="O34" s="142">
        <f>SUM(C34:N34)</f>
        <v>0</v>
      </c>
      <c r="P34" s="141">
        <f t="shared" si="6"/>
        <v>0</v>
      </c>
      <c r="Q34" s="142">
        <f t="shared" si="7"/>
        <v>0</v>
      </c>
    </row>
    <row r="35" spans="1:29" x14ac:dyDescent="0.2">
      <c r="A35" s="157" t="s">
        <v>1031</v>
      </c>
      <c r="B35" s="790"/>
      <c r="C35" s="984">
        <f>DataBase!C53</f>
        <v>0</v>
      </c>
      <c r="D35" s="984">
        <f>DataBase!D53</f>
        <v>0</v>
      </c>
      <c r="E35" s="984">
        <f>DataBase!E53</f>
        <v>0</v>
      </c>
      <c r="F35" s="984">
        <f>DataBase!F53</f>
        <v>0</v>
      </c>
      <c r="G35" s="984">
        <f>DataBase!G53</f>
        <v>0</v>
      </c>
      <c r="H35" s="984">
        <f>DataBase!H53</f>
        <v>0</v>
      </c>
      <c r="I35" s="984">
        <f>DataBase!I53</f>
        <v>0</v>
      </c>
      <c r="J35" s="984">
        <f>DataBase!J53</f>
        <v>0</v>
      </c>
      <c r="K35" s="984">
        <f>DataBase!K53</f>
        <v>0</v>
      </c>
      <c r="L35" s="984">
        <f>DataBase!L53</f>
        <v>0</v>
      </c>
      <c r="M35" s="984">
        <f>DataBase!M53</f>
        <v>0</v>
      </c>
      <c r="N35" s="984">
        <f>DataBase!N53</f>
        <v>0</v>
      </c>
      <c r="O35" s="142">
        <f>SUM(C35:N35)</f>
        <v>0</v>
      </c>
      <c r="P35" s="141">
        <f t="shared" si="6"/>
        <v>0</v>
      </c>
      <c r="Q35" s="142">
        <f t="shared" si="7"/>
        <v>0</v>
      </c>
    </row>
    <row r="36" spans="1:29" x14ac:dyDescent="0.2">
      <c r="A36" s="157" t="s">
        <v>1026</v>
      </c>
      <c r="B36" s="790"/>
      <c r="C36" s="984">
        <f>DataBase!C114</f>
        <v>0</v>
      </c>
      <c r="D36" s="984">
        <f>DataBase!D114</f>
        <v>0</v>
      </c>
      <c r="E36" s="984">
        <f>DataBase!E114</f>
        <v>0</v>
      </c>
      <c r="F36" s="984">
        <f>DataBase!F114</f>
        <v>0</v>
      </c>
      <c r="G36" s="984">
        <f>DataBase!G114</f>
        <v>0</v>
      </c>
      <c r="H36" s="984">
        <f>DataBase!H114</f>
        <v>0</v>
      </c>
      <c r="I36" s="984">
        <f>DataBase!I114</f>
        <v>0</v>
      </c>
      <c r="J36" s="984">
        <f>DataBase!J114</f>
        <v>0</v>
      </c>
      <c r="K36" s="984">
        <f>DataBase!K114</f>
        <v>0</v>
      </c>
      <c r="L36" s="984">
        <f>DataBase!L114</f>
        <v>0</v>
      </c>
      <c r="M36" s="984">
        <f>DataBase!M114</f>
        <v>0</v>
      </c>
      <c r="N36" s="984">
        <f>DataBase!N114</f>
        <v>0</v>
      </c>
      <c r="O36" s="142">
        <f t="shared" si="5"/>
        <v>0</v>
      </c>
      <c r="P36" s="141">
        <f t="shared" si="6"/>
        <v>0</v>
      </c>
      <c r="Q36" s="142">
        <f t="shared" si="7"/>
        <v>0</v>
      </c>
    </row>
    <row r="37" spans="1:29" x14ac:dyDescent="0.2">
      <c r="A37" s="157" t="s">
        <v>1027</v>
      </c>
      <c r="B37" s="790"/>
      <c r="C37" s="984">
        <f>DataBase!C115</f>
        <v>0</v>
      </c>
      <c r="D37" s="984">
        <f>DataBase!D115</f>
        <v>0</v>
      </c>
      <c r="E37" s="984">
        <f>DataBase!E115</f>
        <v>0</v>
      </c>
      <c r="F37" s="984">
        <f>DataBase!F115</f>
        <v>0</v>
      </c>
      <c r="G37" s="984">
        <f>DataBase!G115</f>
        <v>0</v>
      </c>
      <c r="H37" s="984">
        <f>DataBase!H115</f>
        <v>0</v>
      </c>
      <c r="I37" s="984">
        <f>DataBase!I115</f>
        <v>0</v>
      </c>
      <c r="J37" s="984">
        <f>DataBase!J115</f>
        <v>0</v>
      </c>
      <c r="K37" s="984">
        <f>DataBase!K115</f>
        <v>0</v>
      </c>
      <c r="L37" s="984">
        <f>DataBase!L115</f>
        <v>0</v>
      </c>
      <c r="M37" s="984">
        <f>DataBase!M115</f>
        <v>0</v>
      </c>
      <c r="N37" s="984">
        <f>DataBase!N115</f>
        <v>0</v>
      </c>
      <c r="O37" s="142">
        <f t="shared" si="5"/>
        <v>0</v>
      </c>
      <c r="P37" s="141">
        <f t="shared" si="6"/>
        <v>0</v>
      </c>
      <c r="Q37" s="142">
        <f t="shared" si="7"/>
        <v>0</v>
      </c>
    </row>
    <row r="38" spans="1:29" x14ac:dyDescent="0.2">
      <c r="A38" s="157" t="s">
        <v>1028</v>
      </c>
      <c r="B38" s="790"/>
      <c r="C38" s="984">
        <f>DataBase!C116</f>
        <v>0</v>
      </c>
      <c r="D38" s="984">
        <f>DataBase!D116</f>
        <v>0</v>
      </c>
      <c r="E38" s="984">
        <f>DataBase!E116</f>
        <v>0</v>
      </c>
      <c r="F38" s="984">
        <f>DataBase!F116</f>
        <v>0</v>
      </c>
      <c r="G38" s="984">
        <f>DataBase!G116</f>
        <v>0</v>
      </c>
      <c r="H38" s="984">
        <f>DataBase!H116</f>
        <v>0</v>
      </c>
      <c r="I38" s="984">
        <f>DataBase!I116</f>
        <v>0</v>
      </c>
      <c r="J38" s="984">
        <f>DataBase!J116</f>
        <v>0</v>
      </c>
      <c r="K38" s="984">
        <f>DataBase!K116</f>
        <v>0</v>
      </c>
      <c r="L38" s="984">
        <f>DataBase!L116</f>
        <v>0</v>
      </c>
      <c r="M38" s="984">
        <f>DataBase!M116</f>
        <v>0</v>
      </c>
      <c r="N38" s="984">
        <f>DataBase!N116</f>
        <v>0</v>
      </c>
      <c r="O38" s="142">
        <f t="shared" ref="O38:O43" si="8">SUM(C38:N38)</f>
        <v>0</v>
      </c>
      <c r="P38" s="141">
        <f t="shared" si="6"/>
        <v>0</v>
      </c>
      <c r="Q38" s="142">
        <f t="shared" si="7"/>
        <v>0</v>
      </c>
    </row>
    <row r="39" spans="1:29" x14ac:dyDescent="0.2">
      <c r="A39" s="157" t="s">
        <v>1033</v>
      </c>
      <c r="B39" s="790"/>
      <c r="C39" s="984">
        <f>DataBase!C117</f>
        <v>0</v>
      </c>
      <c r="D39" s="984">
        <f>DataBase!D117</f>
        <v>0</v>
      </c>
      <c r="E39" s="984">
        <f>DataBase!E117</f>
        <v>0</v>
      </c>
      <c r="F39" s="984">
        <f>DataBase!F117</f>
        <v>0</v>
      </c>
      <c r="G39" s="984">
        <f>DataBase!G117</f>
        <v>0</v>
      </c>
      <c r="H39" s="984">
        <f>DataBase!H117</f>
        <v>0</v>
      </c>
      <c r="I39" s="984">
        <f>DataBase!I117</f>
        <v>0</v>
      </c>
      <c r="J39" s="984">
        <f>DataBase!J117</f>
        <v>0</v>
      </c>
      <c r="K39" s="984">
        <f>DataBase!K117</f>
        <v>0</v>
      </c>
      <c r="L39" s="984">
        <f>DataBase!L117</f>
        <v>0</v>
      </c>
      <c r="M39" s="984">
        <f>DataBase!M117</f>
        <v>0</v>
      </c>
      <c r="N39" s="984">
        <f>DataBase!N117</f>
        <v>0</v>
      </c>
      <c r="O39" s="142">
        <f t="shared" si="8"/>
        <v>0</v>
      </c>
      <c r="P39" s="141">
        <f t="shared" si="6"/>
        <v>0</v>
      </c>
      <c r="Q39" s="142">
        <f t="shared" si="7"/>
        <v>0</v>
      </c>
    </row>
    <row r="40" spans="1:29" x14ac:dyDescent="0.2">
      <c r="A40" s="157" t="s">
        <v>1033</v>
      </c>
      <c r="B40" s="790"/>
      <c r="C40" s="984">
        <f>DataBase!C118</f>
        <v>0</v>
      </c>
      <c r="D40" s="984">
        <f>DataBase!D118</f>
        <v>0</v>
      </c>
      <c r="E40" s="984">
        <f>DataBase!E118</f>
        <v>0</v>
      </c>
      <c r="F40" s="984">
        <f>DataBase!F118</f>
        <v>0</v>
      </c>
      <c r="G40" s="984">
        <f>DataBase!G118</f>
        <v>0</v>
      </c>
      <c r="H40" s="984">
        <f>DataBase!H118</f>
        <v>0</v>
      </c>
      <c r="I40" s="984">
        <f>DataBase!I118</f>
        <v>0</v>
      </c>
      <c r="J40" s="984">
        <f>DataBase!J118</f>
        <v>0</v>
      </c>
      <c r="K40" s="984">
        <f>DataBase!K118</f>
        <v>0</v>
      </c>
      <c r="L40" s="984">
        <f>DataBase!L118</f>
        <v>0</v>
      </c>
      <c r="M40" s="984">
        <f>DataBase!M118</f>
        <v>0</v>
      </c>
      <c r="N40" s="984">
        <f>DataBase!N118</f>
        <v>0</v>
      </c>
      <c r="O40" s="142">
        <f t="shared" si="8"/>
        <v>0</v>
      </c>
      <c r="P40" s="141">
        <f t="shared" si="6"/>
        <v>0</v>
      </c>
      <c r="Q40" s="142">
        <f t="shared" si="7"/>
        <v>0</v>
      </c>
    </row>
    <row r="41" spans="1:29" x14ac:dyDescent="0.2">
      <c r="A41" s="157" t="s">
        <v>1033</v>
      </c>
      <c r="B41" s="790"/>
      <c r="C41" s="984">
        <f>DataBase!C119</f>
        <v>0</v>
      </c>
      <c r="D41" s="984">
        <f>DataBase!D119</f>
        <v>0</v>
      </c>
      <c r="E41" s="984">
        <f>DataBase!E119</f>
        <v>0</v>
      </c>
      <c r="F41" s="984">
        <f>DataBase!F119</f>
        <v>0</v>
      </c>
      <c r="G41" s="984">
        <f>DataBase!G119</f>
        <v>0</v>
      </c>
      <c r="H41" s="984">
        <f>DataBase!H119</f>
        <v>0</v>
      </c>
      <c r="I41" s="984">
        <f>DataBase!I119</f>
        <v>0</v>
      </c>
      <c r="J41" s="984">
        <f>DataBase!J119</f>
        <v>0</v>
      </c>
      <c r="K41" s="984">
        <f>DataBase!K119</f>
        <v>0</v>
      </c>
      <c r="L41" s="984">
        <f>DataBase!L119</f>
        <v>0</v>
      </c>
      <c r="M41" s="984">
        <f>DataBase!M119</f>
        <v>0</v>
      </c>
      <c r="N41" s="984">
        <f>DataBase!N119</f>
        <v>0</v>
      </c>
      <c r="O41" s="142">
        <f t="shared" si="8"/>
        <v>0</v>
      </c>
      <c r="P41" s="141">
        <f t="shared" si="6"/>
        <v>0</v>
      </c>
      <c r="Q41" s="142">
        <f t="shared" si="7"/>
        <v>0</v>
      </c>
    </row>
    <row r="42" spans="1:29" x14ac:dyDescent="0.2">
      <c r="A42" s="157" t="s">
        <v>1032</v>
      </c>
      <c r="B42" s="790"/>
      <c r="C42" s="984">
        <f>DataBase!C153</f>
        <v>0</v>
      </c>
      <c r="D42" s="984">
        <f>DataBase!D153</f>
        <v>0</v>
      </c>
      <c r="E42" s="984">
        <f>DataBase!E153</f>
        <v>0</v>
      </c>
      <c r="F42" s="984">
        <f>DataBase!F153</f>
        <v>0</v>
      </c>
      <c r="G42" s="984">
        <f>DataBase!G153</f>
        <v>0</v>
      </c>
      <c r="H42" s="984">
        <f>DataBase!H153</f>
        <v>0</v>
      </c>
      <c r="I42" s="984">
        <f>DataBase!I153</f>
        <v>0</v>
      </c>
      <c r="J42" s="984">
        <f>DataBase!J153</f>
        <v>0</v>
      </c>
      <c r="K42" s="984">
        <f>DataBase!K153</f>
        <v>0</v>
      </c>
      <c r="L42" s="984">
        <f>DataBase!L153</f>
        <v>0</v>
      </c>
      <c r="M42" s="984">
        <f>DataBase!M153</f>
        <v>0</v>
      </c>
      <c r="N42" s="984">
        <f>DataBase!N153</f>
        <v>0</v>
      </c>
      <c r="O42" s="142">
        <f t="shared" si="8"/>
        <v>0</v>
      </c>
      <c r="P42" s="141">
        <f t="shared" si="6"/>
        <v>0</v>
      </c>
      <c r="Q42" s="142">
        <f t="shared" si="7"/>
        <v>0</v>
      </c>
    </row>
    <row r="43" spans="1:29" x14ac:dyDescent="0.2">
      <c r="A43" s="857" t="s">
        <v>35</v>
      </c>
      <c r="B43" s="790"/>
      <c r="C43" s="856">
        <v>0</v>
      </c>
      <c r="D43" s="856">
        <v>0</v>
      </c>
      <c r="E43" s="856">
        <v>0</v>
      </c>
      <c r="F43" s="856">
        <v>0</v>
      </c>
      <c r="G43" s="856">
        <v>0</v>
      </c>
      <c r="H43" s="856">
        <v>0</v>
      </c>
      <c r="I43" s="856">
        <v>0</v>
      </c>
      <c r="J43" s="856">
        <v>0</v>
      </c>
      <c r="K43" s="856">
        <v>0</v>
      </c>
      <c r="L43" s="856">
        <v>0</v>
      </c>
      <c r="M43" s="856">
        <v>0</v>
      </c>
      <c r="N43" s="856">
        <v>0</v>
      </c>
      <c r="O43" s="142">
        <f t="shared" si="8"/>
        <v>0</v>
      </c>
      <c r="P43" s="141">
        <f t="shared" si="6"/>
        <v>0</v>
      </c>
      <c r="Q43" s="142">
        <f t="shared" si="7"/>
        <v>0</v>
      </c>
    </row>
    <row r="44" spans="1:29" x14ac:dyDescent="0.2">
      <c r="A44" s="146" t="s">
        <v>622</v>
      </c>
      <c r="C44" s="261">
        <v>0</v>
      </c>
      <c r="D44" s="261">
        <v>0</v>
      </c>
      <c r="E44" s="261">
        <v>0</v>
      </c>
      <c r="F44" s="261">
        <v>0</v>
      </c>
      <c r="G44" s="261">
        <v>0</v>
      </c>
      <c r="H44" s="261">
        <v>0</v>
      </c>
      <c r="I44" s="261">
        <v>0</v>
      </c>
      <c r="J44" s="261">
        <v>0</v>
      </c>
      <c r="K44" s="261">
        <v>0</v>
      </c>
      <c r="L44" s="261">
        <v>0</v>
      </c>
      <c r="M44" s="261">
        <v>0</v>
      </c>
      <c r="N44" s="261">
        <v>0</v>
      </c>
      <c r="O44" s="143">
        <f t="shared" si="5"/>
        <v>0</v>
      </c>
      <c r="P44" s="261">
        <f t="shared" si="6"/>
        <v>0</v>
      </c>
      <c r="Q44" s="143">
        <f t="shared" si="7"/>
        <v>0</v>
      </c>
      <c r="R44" s="148"/>
      <c r="S44" s="148"/>
    </row>
    <row r="45" spans="1:29" ht="3.95" customHeight="1" x14ac:dyDescent="0.2">
      <c r="A45" s="531"/>
      <c r="B45" s="791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P45" s="144"/>
    </row>
    <row r="46" spans="1:29" x14ac:dyDescent="0.2">
      <c r="A46" s="385" t="s">
        <v>913</v>
      </c>
      <c r="B46" s="789"/>
      <c r="C46" s="145">
        <f t="shared" ref="C46:P46" si="9">SUM(C27:C44)</f>
        <v>99</v>
      </c>
      <c r="D46" s="145">
        <f t="shared" si="9"/>
        <v>170</v>
      </c>
      <c r="E46" s="145">
        <f t="shared" si="9"/>
        <v>138</v>
      </c>
      <c r="F46" s="145">
        <f t="shared" si="9"/>
        <v>262</v>
      </c>
      <c r="G46" s="145">
        <f t="shared" si="9"/>
        <v>401</v>
      </c>
      <c r="H46" s="145">
        <f t="shared" si="9"/>
        <v>476</v>
      </c>
      <c r="I46" s="145">
        <f t="shared" si="9"/>
        <v>494</v>
      </c>
      <c r="J46" s="145">
        <f t="shared" si="9"/>
        <v>491</v>
      </c>
      <c r="K46" s="145">
        <f t="shared" si="9"/>
        <v>467</v>
      </c>
      <c r="L46" s="145">
        <f t="shared" si="9"/>
        <v>443</v>
      </c>
      <c r="M46" s="145">
        <f t="shared" si="9"/>
        <v>492</v>
      </c>
      <c r="N46" s="145">
        <f t="shared" si="9"/>
        <v>491</v>
      </c>
      <c r="O46" s="145">
        <f t="shared" si="9"/>
        <v>4424</v>
      </c>
      <c r="P46" s="145">
        <f t="shared" si="9"/>
        <v>269</v>
      </c>
      <c r="Q46" s="145">
        <f>SUM(Q27:Q44)</f>
        <v>4155</v>
      </c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</row>
    <row r="47" spans="1:29" ht="12.75" customHeight="1" x14ac:dyDescent="0.2">
      <c r="A47" s="144"/>
      <c r="B47" s="791"/>
    </row>
    <row r="48" spans="1:29" x14ac:dyDescent="0.2">
      <c r="A48" s="385" t="s">
        <v>914</v>
      </c>
      <c r="B48" s="789"/>
      <c r="C48" s="145">
        <f t="shared" ref="C48:Q48" si="10">(C10+C24+C46)</f>
        <v>99</v>
      </c>
      <c r="D48" s="145">
        <f t="shared" si="10"/>
        <v>170</v>
      </c>
      <c r="E48" s="145">
        <f t="shared" si="10"/>
        <v>138</v>
      </c>
      <c r="F48" s="145">
        <f t="shared" si="10"/>
        <v>262</v>
      </c>
      <c r="G48" s="145">
        <f t="shared" si="10"/>
        <v>401</v>
      </c>
      <c r="H48" s="145">
        <f t="shared" si="10"/>
        <v>476</v>
      </c>
      <c r="I48" s="145">
        <f t="shared" si="10"/>
        <v>494</v>
      </c>
      <c r="J48" s="145">
        <f t="shared" si="10"/>
        <v>491</v>
      </c>
      <c r="K48" s="145">
        <f t="shared" si="10"/>
        <v>467</v>
      </c>
      <c r="L48" s="145">
        <f t="shared" si="10"/>
        <v>443</v>
      </c>
      <c r="M48" s="145">
        <f t="shared" si="10"/>
        <v>492</v>
      </c>
      <c r="N48" s="145">
        <f t="shared" si="10"/>
        <v>491</v>
      </c>
      <c r="O48" s="145">
        <f t="shared" si="10"/>
        <v>4424</v>
      </c>
      <c r="P48" s="145">
        <f t="shared" si="10"/>
        <v>269</v>
      </c>
      <c r="Q48" s="145">
        <f t="shared" si="10"/>
        <v>4155</v>
      </c>
      <c r="R48" s="149"/>
      <c r="S48" s="139"/>
    </row>
    <row r="49" spans="1:1" ht="12.75" customHeight="1" x14ac:dyDescent="0.2">
      <c r="A49" s="388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65</vt:i4>
      </vt:variant>
    </vt:vector>
  </HeadingPairs>
  <TitlesOfParts>
    <vt:vector size="78" baseType="lpstr">
      <vt:lpstr>DataBase</vt:lpstr>
      <vt:lpstr>Sales&amp;Liq-COS</vt:lpstr>
      <vt:lpstr>Transport-OtherRev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IntDeduct!\0</vt:lpstr>
      <vt:lpstr>RegAmort!\0</vt:lpstr>
      <vt:lpstr>Trackers!\0</vt:lpstr>
      <vt:lpstr>DeferredTax!\P</vt:lpstr>
      <vt:lpstr>IncomeState!\P</vt:lpstr>
      <vt:lpstr>IntDeduct!\P</vt:lpstr>
      <vt:lpstr>RegAmort!\P</vt:lpstr>
      <vt:lpstr>Source!\P</vt:lpstr>
      <vt:lpstr>'TC&amp;S'!\P</vt:lpstr>
      <vt:lpstr>Trackers!\P</vt:lpstr>
      <vt:lpstr>EXP</vt:lpstr>
      <vt:lpstr>O_M</vt:lpstr>
      <vt:lpstr>PAGE_1</vt:lpstr>
      <vt:lpstr>PAGE_ONE</vt:lpstr>
      <vt:lpstr>DeferredTax!PAGE1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'Transport-OtherRev'!Print_Area</vt:lpstr>
      <vt:lpstr>Source!Print_Area_MI</vt:lpstr>
      <vt:lpstr>DataBase!Print_Titles</vt:lpstr>
      <vt:lpstr>PRINT1</vt:lpstr>
      <vt:lpstr>PRT.1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Jan Havlíček</cp:lastModifiedBy>
  <cp:lastPrinted>2001-10-25T19:42:39Z</cp:lastPrinted>
  <dcterms:created xsi:type="dcterms:W3CDTF">1999-02-24T21:47:29Z</dcterms:created>
  <dcterms:modified xsi:type="dcterms:W3CDTF">2023-09-20T00:50:34Z</dcterms:modified>
</cp:coreProperties>
</file>