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C0957C-EE51-4B84-B0EF-472A4614EC17}" xr6:coauthVersionLast="47" xr6:coauthVersionMax="47" xr10:uidLastSave="{00000000-0000-0000-0000-000000000000}"/>
  <bookViews>
    <workbookView xWindow="-120" yWindow="-120" windowWidth="38640" windowHeight="15720" tabRatio="894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OtherInc!$1:$3858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OtherInc!$A$1:$Q$48</definedName>
    <definedName name="PRINT">'Fuel-Depr-OtherTax'!$A$1:$Q$52</definedName>
    <definedName name="_xlnm.Print_Area" localSheetId="0">DataBase!$A$4:$Y$534</definedName>
    <definedName name="_xlnm.Print_Area" localSheetId="10">DeferredTax!$M$87:$AF$160</definedName>
    <definedName name="_xlnm.Print_Area" localSheetId="7">'Fuel-Depr-OtherTax'!$A$1:$Q$52</definedName>
    <definedName name="_xlnm.Print_Area" localSheetId="11">IncomeState!$A$154:$Q$212</definedName>
    <definedName name="_xlnm.Print_Area" localSheetId="9">IntDeduct!$A$1:$Q$61</definedName>
    <definedName name="_xlnm.Print_Area" localSheetId="3">'O&amp;M'!$A$1:$Q$54</definedName>
    <definedName name="_xlnm.Print_Area" localSheetId="8">OtherInc!$A$1:$Q$48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I15" i="20"/>
  <c r="J15" i="20"/>
  <c r="K15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D30" i="20"/>
  <c r="F30" i="20"/>
  <c r="G30" i="20"/>
  <c r="J30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I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O95" i="20"/>
  <c r="U95" i="20"/>
  <c r="V95" i="20"/>
  <c r="W95" i="20"/>
  <c r="X95" i="20"/>
  <c r="Y95" i="20"/>
  <c r="K97" i="20"/>
  <c r="O97" i="20"/>
  <c r="U97" i="20"/>
  <c r="V97" i="20"/>
  <c r="W97" i="20"/>
  <c r="X97" i="20"/>
  <c r="Y97" i="20"/>
  <c r="D98" i="20"/>
  <c r="G98" i="20"/>
  <c r="H98" i="20"/>
  <c r="J98" i="20"/>
  <c r="K98" i="20"/>
  <c r="L98" i="20"/>
  <c r="M98" i="20"/>
  <c r="N98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I116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C156" i="20"/>
  <c r="D156" i="20"/>
  <c r="E156" i="20"/>
  <c r="F156" i="20"/>
  <c r="G156" i="20"/>
  <c r="H156" i="20"/>
  <c r="I156" i="20"/>
  <c r="J156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J185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U201" i="20"/>
  <c r="V201" i="20"/>
  <c r="W201" i="20"/>
  <c r="X201" i="20"/>
  <c r="Y201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O208" i="20"/>
  <c r="U208" i="20"/>
  <c r="V208" i="20"/>
  <c r="W208" i="20"/>
  <c r="X208" i="20"/>
  <c r="Y208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U224" i="20"/>
  <c r="V224" i="20"/>
  <c r="W224" i="20"/>
  <c r="X224" i="20"/>
  <c r="Y224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U232" i="20"/>
  <c r="V232" i="20"/>
  <c r="W232" i="20"/>
  <c r="X232" i="20"/>
  <c r="Y232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U238" i="20"/>
  <c r="V238" i="20"/>
  <c r="W238" i="20"/>
  <c r="X238" i="20"/>
  <c r="Y238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C267" i="20"/>
  <c r="D267" i="20"/>
  <c r="E267" i="20"/>
  <c r="F267" i="20"/>
  <c r="G267" i="20"/>
  <c r="H267" i="20"/>
  <c r="I267" i="20"/>
  <c r="J267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8" i="20"/>
  <c r="D468" i="20"/>
  <c r="E468" i="20"/>
  <c r="F468" i="20"/>
  <c r="G468" i="20"/>
  <c r="H468" i="20"/>
  <c r="I468" i="20"/>
  <c r="J468" i="20"/>
  <c r="K468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C506" i="20"/>
  <c r="D506" i="20"/>
  <c r="E506" i="20"/>
  <c r="F506" i="20"/>
  <c r="G506" i="20"/>
  <c r="H506" i="20"/>
  <c r="I506" i="20"/>
  <c r="J506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Y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I23" i="12"/>
  <c r="J23" i="12"/>
  <c r="K23" i="12"/>
  <c r="L23" i="12"/>
  <c r="M23" i="12"/>
  <c r="N23" i="12"/>
  <c r="O23" i="12"/>
  <c r="P23" i="12"/>
  <c r="Q23" i="12"/>
  <c r="C24" i="12"/>
  <c r="D24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N42" i="11"/>
  <c r="O42" i="11"/>
  <c r="P42" i="11"/>
  <c r="Q42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<sst xmlns="http://schemas.openxmlformats.org/spreadsheetml/2006/main" count="2200" uniqueCount="1083">
  <si>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</si>
  <si>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</si>
  <si>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</si>
  <si>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</si>
  <si>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</si>
  <si>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</si>
  <si>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</si>
  <si>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</si>
  <si>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</si>
  <si>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</si>
  <si>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</si>
  <si>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</si>
  <si>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</si>
  <si>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</si>
  <si>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</si>
  <si>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</si>
  <si>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</si>
  <si>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</si>
  <si>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</si>
  <si>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</si>
  <si>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</si>
  <si>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</si>
  <si>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</si>
  <si>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</si>
  <si>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</si>
  <si>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</si>
  <si>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</si>
  <si>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</si>
  <si>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</si>
  <si>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</si>
  <si>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</si>
  <si>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</si>
  <si>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</si>
  <si>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</si>
  <si>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</si>
  <si>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</si>
  <si>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</si>
  <si>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</si>
  <si>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</si>
  <si>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</si>
  <si>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</si>
  <si>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</si>
  <si>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</si>
  <si>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</si>
  <si>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</si>
  <si>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</si>
  <si>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</si>
  <si>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</si>
  <si>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</si>
  <si>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</si>
  <si>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</si>
  <si>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</si>
  <si>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</si>
  <si>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</si>
  <si>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</si>
  <si>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</si>
  <si>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</si>
  <si>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</si>
  <si>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</si>
  <si>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</si>
  <si>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</si>
  <si>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</si>
  <si>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</si>
  <si>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</si>
  <si>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</si>
  <si>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</si>
  <si>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</si>
  <si>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</si>
  <si>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</si>
  <si>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</si>
  <si>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</si>
  <si>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</si>
  <si>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</si>
  <si>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</si>
  <si>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</si>
  <si>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</si>
  <si>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</si>
  <si>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</si>
  <si>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</si>
  <si>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</si>
  <si>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</si>
  <si>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</si>
  <si>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</si>
  <si>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</si>
  <si>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</si>
  <si>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</si>
  <si>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</si>
  <si>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</si>
  <si>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</si>
  <si>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</si>
  <si>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</si>
  <si>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</si>
  <si>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</si>
  <si>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</si>
  <si>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</si>
  <si>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</si>
  <si>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</si>
  <si>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</si>
  <si>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</si>
  <si>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</si>
  <si>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</si>
  <si>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</si>
  <si>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</si>
  <si>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</si>
  <si>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</si>
  <si>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</si>
  <si>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</si>
  <si>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</si>
  <si>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</si>
  <si>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</si>
  <si>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</si>
  <si>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</si>
  <si>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</si>
  <si>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</si>
  <si>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</si>
  <si>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</si>
  <si>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</si>
  <si>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</si>
  <si>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</si>
  <si>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</si>
  <si>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</si>
  <si>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</si>
  <si>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</si>
  <si>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</si>
  <si>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</si>
  <si>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</si>
  <si>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</si>
  <si>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</si>
  <si>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</si>
  <si>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</si>
  <si>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</si>
  <si>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</si>
  <si>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</si>
  <si>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</si>
  <si>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</si>
  <si>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</si>
  <si>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</si>
  <si>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</si>
  <si>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</si>
  <si>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</si>
  <si>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</si>
  <si>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</si>
  <si>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</si>
  <si>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</si>
  <si>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</si>
  <si>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</si>
  <si>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</si>
  <si>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</si>
  <si>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</si>
  <si>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</si>
  <si>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</si>
  <si>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</si>
  <si>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</si>
  <si>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</si>
  <si>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</si>
  <si>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</si>
  <si>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</si>
  <si>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</si>
  <si>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</si>
  <si>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</si>
  <si>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</si>
  <si>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</si>
  <si>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</si>
  <si>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</si>
  <si>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</si>
  <si>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</si>
  <si>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</si>
  <si>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</si>
  <si>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</si>
  <si>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</si>
  <si>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</si>
  <si>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</si>
  <si>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</si>
  <si>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</si>
  <si>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</si>
  <si>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</si>
  <si>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</si>
  <si>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</si>
  <si>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</si>
  <si>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</si>
  <si>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</si>
  <si>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</si>
  <si>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</si>
  <si>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</si>
  <si>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</si>
  <si>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</si>
  <si>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</si>
  <si>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</si>
  <si>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</si>
  <si>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</si>
  <si>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</si>
  <si>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</si>
  <si>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</si>
  <si>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</si>
  <si>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</si>
  <si>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</si>
  <si>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</si>
  <si>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</si>
  <si>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</si>
  <si>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</si>
  <si>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</si>
  <si>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</si>
  <si>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</si>
  <si>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</si>
  <si>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</si>
  <si>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</si>
  <si>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</si>
  <si>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</si>
  <si>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</si>
  <si>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</si>
  <si>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</si>
  <si>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</si>
  <si>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</si>
  <si>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</si>
  <si>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</si>
  <si>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</si>
  <si>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</si>
  <si>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</si>
  <si>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</si>
  <si>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</si>
  <si>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</si>
  <si>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</si>
  <si>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Hedge Transferred to Sales (4/01) / Misc.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</si>
  <si>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</si>
  <si>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</si>
  <si>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</si>
  <si>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</si>
  <si>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</si>
  <si>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</si>
  <si>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</si>
  <si>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</si>
  <si>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</si>
  <si>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</si>
  <si>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</si>
  <si>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</si>
  <si>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</si>
  <si>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</si>
  <si>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</si>
  <si>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</si>
  <si>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</si>
  <si>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</si>
  <si>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</si>
  <si>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</si>
  <si>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</si>
  <si>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</si>
  <si>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</si>
  <si>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</si>
  <si>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</si>
  <si>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</si>
  <si>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</si>
  <si>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</si>
  <si>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</si>
  <si>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t>8/01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</si>
  <si>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</si>
  <si>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</si>
  <si>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</si>
  <si>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</si>
  <si>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</si>
  <si>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</si>
  <si>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</si>
  <si>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</si>
  <si>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</si>
  <si>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</si>
  <si>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</si>
  <si>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</si>
  <si>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</si>
  <si>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</si>
  <si>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</si>
  <si>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</si>
  <si>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</si>
  <si>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</si>
  <si>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</si>
  <si>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</si>
  <si>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 xml:space="preserve">     Total Income Taxes (Composite Rate - 38.88 %)</t>
  </si>
  <si>
    <t xml:space="preserve">   Payable Currently</t>
  </si>
  <si>
    <t>AUGUST</t>
  </si>
  <si>
    <t>3rd CE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</si>
  <si>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</si>
  <si>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</si>
  <si>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</si>
  <si>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</si>
  <si>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</si>
  <si>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</si>
  <si>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</si>
  <si>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</si>
  <si>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</si>
  <si>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</si>
  <si>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</si>
  <si>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</si>
  <si>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</si>
  <si>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</si>
  <si>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</si>
  <si>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</si>
  <si>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</si>
  <si>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</si>
  <si>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</si>
  <si>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</si>
  <si>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</si>
  <si>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</si>
  <si>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</si>
  <si>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</si>
  <si>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</si>
  <si>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</si>
  <si>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</si>
  <si>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</si>
  <si>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</si>
  <si>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</si>
  <si>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</si>
  <si>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</si>
  <si>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</si>
  <si>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</si>
  <si>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</si>
  <si>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</si>
  <si>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</si>
  <si>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</si>
  <si>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</si>
  <si>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</si>
  <si>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</si>
  <si>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</si>
  <si>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</si>
  <si>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</si>
  <si>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</si>
  <si>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</si>
  <si>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</si>
  <si>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</si>
  <si>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</si>
  <si>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</si>
  <si>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</si>
  <si>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</si>
  <si>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</si>
  <si>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</si>
  <si>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</si>
  <si>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</si>
  <si>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</si>
  <si>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</si>
  <si>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</si>
  <si>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</si>
  <si>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</si>
  <si>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</si>
  <si>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</si>
  <si>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</si>
  <si>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</si>
  <si>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</si>
  <si>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</si>
  <si>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</si>
  <si>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</si>
  <si>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</si>
  <si>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</si>
  <si>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</si>
  <si>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</si>
  <si>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</si>
  <si>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</si>
  <si>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</si>
  <si>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</si>
  <si>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</si>
  <si>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</si>
  <si>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</si>
  <si>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</si>
  <si>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</si>
  <si>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</si>
  <si>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</si>
  <si>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</si>
  <si>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</si>
  <si>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</si>
  <si>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</si>
  <si>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</si>
  <si>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</si>
  <si>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</si>
  <si>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</si>
  <si>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</si>
  <si>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</si>
  <si>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</si>
  <si>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</si>
  <si>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</si>
  <si>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</si>
  <si>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</si>
  <si>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</si>
  <si>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</si>
  <si>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</si>
  <si>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</si>
  <si>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</si>
  <si>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</si>
  <si>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</si>
  <si>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</si>
  <si>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</si>
  <si>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</si>
  <si>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</si>
  <si>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</si>
  <si>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</si>
  <si>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</si>
  <si>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</si>
  <si>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</si>
  <si>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</si>
  <si>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</si>
  <si>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</si>
  <si>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</si>
  <si>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</si>
  <si>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</si>
  <si>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</si>
  <si>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</si>
  <si>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</si>
  <si>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</si>
  <si>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</si>
  <si>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</si>
  <si>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</si>
  <si>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</si>
  <si>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</si>
  <si>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</si>
  <si>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</si>
  <si>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</si>
  <si>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</si>
  <si>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</si>
  <si>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</si>
  <si>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</si>
  <si>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</si>
  <si>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</si>
  <si>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</si>
  <si>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</si>
  <si>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</si>
  <si>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</si>
  <si>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</si>
  <si>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</si>
  <si>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</si>
  <si>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</si>
  <si>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</si>
  <si>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</si>
  <si>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   - Other Expenses - PCB and Enviromental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</si>
  <si>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</si>
  <si>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</si>
  <si>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</si>
  <si>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</si>
  <si>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</si>
  <si>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</si>
  <si>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</si>
  <si>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</si>
  <si>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</si>
  <si>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</si>
  <si>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</si>
  <si>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</si>
  <si>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</si>
  <si>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</si>
  <si>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</si>
  <si>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</si>
  <si>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</si>
  <si>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</si>
  <si>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</si>
  <si>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</si>
  <si>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</si>
  <si>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</si>
  <si>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</si>
  <si>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</si>
  <si>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</si>
  <si>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</si>
  <si>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</si>
  <si>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</si>
  <si>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</si>
  <si>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</si>
  <si>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</si>
  <si>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</si>
  <si>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</si>
  <si>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</si>
  <si>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</si>
  <si>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</si>
  <si>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</si>
  <si>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</si>
  <si>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</si>
  <si>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</si>
  <si>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</si>
  <si>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</si>
  <si>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</si>
  <si>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</si>
  <si>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</si>
  <si>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</si>
  <si>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</si>
  <si>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</si>
  <si>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</si>
  <si>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</si>
  <si>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</si>
  <si>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</si>
  <si>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</si>
  <si>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</si>
  <si>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</si>
  <si>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</si>
  <si>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</si>
  <si>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</si>
  <si>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</si>
  <si>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</si>
  <si>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</si>
  <si>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</si>
  <si>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</si>
  <si>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</si>
  <si>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</si>
  <si>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</si>
  <si>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</si>
  <si>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</si>
  <si>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</si>
  <si>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</si>
  <si>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</si>
  <si>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</si>
  <si>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</si>
  <si>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</si>
  <si>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</si>
  <si>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</si>
  <si>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</si>
  <si>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</si>
  <si>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</si>
  <si>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</si>
  <si>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</si>
  <si>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</si>
  <si>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</si>
  <si>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</si>
  <si>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</si>
  <si>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</si>
  <si>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</si>
  <si>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</si>
  <si>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</si>
  <si>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</si>
  <si>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</si>
  <si>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</si>
  <si>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</si>
  <si>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</si>
  <si>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</si>
  <si>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</si>
  <si>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</si>
  <si>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</si>
  <si>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</si>
  <si>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</si>
  <si>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</si>
  <si>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</si>
  <si>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</si>
  <si>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</si>
  <si>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</si>
  <si>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</si>
  <si>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</si>
  <si>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</si>
  <si>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</si>
  <si>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</si>
  <si>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</si>
  <si>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</si>
  <si>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</si>
  <si>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</si>
  <si>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</si>
  <si>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</si>
  <si>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</si>
  <si>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</si>
  <si>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</si>
  <si>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</si>
  <si>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</si>
  <si>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</si>
  <si>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</si>
  <si>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</si>
  <si>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</si>
  <si>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</si>
  <si>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>7/01</t>
  </si>
  <si>
    <t>2nd CE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</si>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</sst>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sz val="10"/>
      <color indexed="14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7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7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7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8" fillId="5" borderId="0" xfId="0" applyNumberFormat="1" applyFont="1" applyFill="1" applyAlignment="1">
      <alignment vertical="center"/>
    </xf>
    <xf numFmtId="37" fontId="48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37" fontId="46" fillId="0" borderId="0" xfId="3" applyNumberFormat="1" applyFont="1" applyProtection="1">
      <protection locked="0"/>
    </xf>
    <xf numFmtId="37" fontId="33" fillId="0" borderId="0" xfId="0" applyNumberFormat="1" applyFont="1"/>
    <xf numFmtId="37" fontId="33" fillId="0" borderId="0" xfId="14" applyNumberFormat="1" applyFont="1" applyBorder="1" applyProtection="1">
      <protection locked="0"/>
    </xf>
    <xf numFmtId="0" fontId="16" fillId="0" borderId="0" xfId="2" quotePrefix="1" applyFont="1" applyAlignment="1">
      <alignment horizontal="center"/>
    </xf>
    <xf numFmtId="37" fontId="49" fillId="0" borderId="0" xfId="2" applyNumberFormat="1" applyFont="1" applyProtection="1"/>
    <xf numFmtId="37" fontId="49" fillId="0" borderId="0" xfId="2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1314450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2B4FA5F-ADB2-C8A3-5262-1E4F57FE3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2</xdr:row>
          <xdr:rowOff>95250</xdr:rowOff>
        </xdr:from>
        <xdr:to>
          <xdr:col>1</xdr:col>
          <xdr:colOff>1647825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F3E9ABF-8A7E-6E57-1916-6B0F60B63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tabSelected="1" zoomScaleNormal="100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RowHeight="12.75" x14ac:dyDescent="0.2"/>
  <cols>
    <col min="1" max="1" width="45.7109375" style="878" customWidth="1"/>
    <col min="2" max="2" width="7.7109375" style="878" customWidth="1"/>
    <col min="3" max="14" width="8.7109375" style="878" customWidth="1"/>
    <col min="15" max="15" width="9.7109375" style="878" customWidth="1"/>
    <col min="16" max="17" width="2.7109375" style="878" customWidth="1"/>
    <col min="18" max="18" width="20.7109375" style="992" customWidth="1"/>
    <col min="19" max="20" width="2.7109375" style="992" customWidth="1"/>
    <col min="21" max="25" width="9.7109375" style="878" customWidth="1"/>
    <col min="26" max="26" width="15.7109375" style="878" customWidth="1"/>
    <col min="27" max="16384" width="9.140625" style="878"/>
  </cols>
  <sheetData>
    <row r="1" spans="1:25" x14ac:dyDescent="0.2">
      <c r="A1" s="549" t="str">
        <f ca="1">CELL("FILENAME")</f>
        <v>P:\Finance\2001CE\[TW3rdCEEM.XLS]DataBase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881"/>
      <c r="S1" s="880"/>
      <c r="T1" s="879"/>
    </row>
    <row r="2" spans="1:25" x14ac:dyDescent="0.2">
      <c r="A2" s="882" t="s">
        <v>339</v>
      </c>
      <c r="B2" s="883">
        <f ca="1">NOW()</f>
        <v>37154.402539930554</v>
      </c>
      <c r="C2" s="510" t="s">
        <v>302</v>
      </c>
      <c r="D2" s="510" t="s">
        <v>302</v>
      </c>
      <c r="E2" s="510" t="s">
        <v>302</v>
      </c>
      <c r="F2" s="874" t="s">
        <v>302</v>
      </c>
      <c r="G2" s="874" t="s">
        <v>302</v>
      </c>
      <c r="H2" s="874" t="s">
        <v>302</v>
      </c>
      <c r="I2" s="874" t="s">
        <v>302</v>
      </c>
      <c r="J2" s="874" t="s">
        <v>302</v>
      </c>
      <c r="K2" s="874" t="s">
        <v>276</v>
      </c>
      <c r="L2" s="874" t="s">
        <v>276</v>
      </c>
      <c r="M2" s="874" t="s">
        <v>276</v>
      </c>
      <c r="N2" s="874" t="s">
        <v>276</v>
      </c>
      <c r="O2" s="404" t="s">
        <v>138</v>
      </c>
      <c r="P2" s="884"/>
      <c r="Q2" s="885"/>
      <c r="R2" s="886" t="s">
        <v>340</v>
      </c>
      <c r="S2" s="885"/>
      <c r="T2" s="884"/>
      <c r="U2" s="887" t="s">
        <v>341</v>
      </c>
      <c r="V2" s="887"/>
      <c r="W2" s="887"/>
      <c r="X2" s="887"/>
      <c r="Y2" s="879" t="s">
        <v>138</v>
      </c>
    </row>
    <row r="3" spans="1:25" x14ac:dyDescent="0.2">
      <c r="A3" s="993" t="str">
        <f>+IncomeState!A3</f>
        <v>2001 CURRENT ESTIMATE</v>
      </c>
      <c r="B3" s="888">
        <f ca="1">NOW()</f>
        <v>37154.402539930554</v>
      </c>
      <c r="C3" s="300" t="s">
        <v>906</v>
      </c>
      <c r="D3" s="300" t="s">
        <v>907</v>
      </c>
      <c r="E3" s="300" t="s">
        <v>908</v>
      </c>
      <c r="F3" s="300" t="s">
        <v>909</v>
      </c>
      <c r="G3" s="300" t="s">
        <v>910</v>
      </c>
      <c r="H3" s="300" t="s">
        <v>911</v>
      </c>
      <c r="I3" s="300" t="s">
        <v>912</v>
      </c>
      <c r="J3" s="300" t="s">
        <v>913</v>
      </c>
      <c r="K3" s="300" t="s">
        <v>914</v>
      </c>
      <c r="L3" s="300" t="s">
        <v>915</v>
      </c>
      <c r="M3" s="300" t="s">
        <v>916</v>
      </c>
      <c r="N3" s="300" t="s">
        <v>917</v>
      </c>
      <c r="O3" s="889" t="s">
        <v>342</v>
      </c>
      <c r="P3" s="889"/>
      <c r="Q3" s="885"/>
      <c r="R3" s="890" t="s">
        <v>343</v>
      </c>
      <c r="S3" s="885"/>
      <c r="T3" s="889"/>
      <c r="U3" s="891" t="s">
        <v>140</v>
      </c>
      <c r="V3" s="891" t="s">
        <v>141</v>
      </c>
      <c r="W3" s="891" t="s">
        <v>142</v>
      </c>
      <c r="X3" s="891" t="s">
        <v>143</v>
      </c>
      <c r="Y3" s="889" t="s">
        <v>342</v>
      </c>
    </row>
    <row r="4" spans="1:25" x14ac:dyDescent="0.2">
      <c r="A4" s="554"/>
      <c r="B4" s="888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92"/>
      <c r="P4" s="892"/>
      <c r="Q4" s="885"/>
      <c r="R4" s="890"/>
      <c r="S4" s="885"/>
      <c r="T4" s="892"/>
      <c r="U4" s="891"/>
      <c r="V4" s="891"/>
      <c r="W4" s="891"/>
      <c r="X4" s="891"/>
      <c r="Y4" s="889"/>
    </row>
    <row r="5" spans="1:25" x14ac:dyDescent="0.2">
      <c r="A5" s="893" t="s">
        <v>344</v>
      </c>
      <c r="O5" s="894"/>
      <c r="P5" s="894"/>
      <c r="Q5" s="895"/>
      <c r="R5" s="878"/>
      <c r="S5" s="895"/>
      <c r="T5" s="894"/>
    </row>
    <row r="6" spans="1:25" x14ac:dyDescent="0.2">
      <c r="A6" s="896" t="s">
        <v>345</v>
      </c>
      <c r="O6" s="894"/>
      <c r="P6" s="894"/>
      <c r="Q6" s="895"/>
      <c r="R6" s="878"/>
      <c r="S6" s="895"/>
      <c r="T6" s="894"/>
    </row>
    <row r="7" spans="1:25" x14ac:dyDescent="0.2">
      <c r="A7" s="897" t="s">
        <v>220</v>
      </c>
      <c r="C7" s="536">
        <v>0</v>
      </c>
      <c r="D7" s="536">
        <v>0</v>
      </c>
      <c r="E7" s="536">
        <v>0</v>
      </c>
      <c r="F7" s="277">
        <v>3688</v>
      </c>
      <c r="G7" s="277">
        <v>2258</v>
      </c>
      <c r="H7" s="277">
        <v>3206</v>
      </c>
      <c r="I7" s="536">
        <v>3949</v>
      </c>
      <c r="J7" s="536">
        <v>3777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3" si="0">SUM(C7:N7)</f>
        <v>16878</v>
      </c>
      <c r="P7" s="279"/>
      <c r="Q7" s="898"/>
      <c r="R7" s="899" t="s">
        <v>346</v>
      </c>
      <c r="S7" s="898"/>
      <c r="T7" s="279"/>
      <c r="U7" s="900">
        <f t="shared" ref="U7:U30" si="1">C7+D7+E7</f>
        <v>0</v>
      </c>
      <c r="V7" s="900">
        <f t="shared" ref="V7:V30" si="2">F7+G7+H7</f>
        <v>9152</v>
      </c>
      <c r="W7" s="900">
        <f t="shared" ref="W7:W30" si="3">I7+J7+K7</f>
        <v>7726</v>
      </c>
      <c r="X7" s="900">
        <f t="shared" ref="X7:X30" si="4">L7+M7+N7</f>
        <v>0</v>
      </c>
      <c r="Y7" s="901">
        <f t="shared" ref="Y7:Y30" si="5">SUM(U7:X7)</f>
        <v>16878</v>
      </c>
    </row>
    <row r="8" spans="1:25" x14ac:dyDescent="0.2">
      <c r="A8" s="897" t="s">
        <v>218</v>
      </c>
      <c r="C8" s="536">
        <v>0</v>
      </c>
      <c r="D8" s="536">
        <v>0</v>
      </c>
      <c r="E8" s="536">
        <v>0</v>
      </c>
      <c r="F8" s="536">
        <v>-7815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-7815</v>
      </c>
      <c r="P8" s="279"/>
      <c r="Q8" s="898"/>
      <c r="R8" s="903" t="s">
        <v>346</v>
      </c>
      <c r="S8" s="898"/>
      <c r="T8" s="279"/>
      <c r="U8" s="900">
        <f t="shared" si="1"/>
        <v>0</v>
      </c>
      <c r="V8" s="900">
        <f t="shared" si="2"/>
        <v>-7815</v>
      </c>
      <c r="W8" s="900">
        <f t="shared" si="3"/>
        <v>0</v>
      </c>
      <c r="X8" s="900">
        <f t="shared" si="4"/>
        <v>0</v>
      </c>
      <c r="Y8" s="901">
        <f t="shared" si="5"/>
        <v>-7815</v>
      </c>
    </row>
    <row r="9" spans="1:25" x14ac:dyDescent="0.2">
      <c r="A9" s="897" t="s">
        <v>221</v>
      </c>
      <c r="C9" s="536">
        <v>0</v>
      </c>
      <c r="D9" s="536">
        <v>0</v>
      </c>
      <c r="E9" s="536">
        <v>0</v>
      </c>
      <c r="F9" s="877">
        <f>-2870+21741</f>
        <v>18871</v>
      </c>
      <c r="G9" s="877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898"/>
      <c r="R9" s="899" t="s">
        <v>348</v>
      </c>
      <c r="S9" s="898"/>
      <c r="T9" s="53"/>
      <c r="U9" s="900">
        <f t="shared" si="1"/>
        <v>0</v>
      </c>
      <c r="V9" s="900">
        <f t="shared" si="2"/>
        <v>18871</v>
      </c>
      <c r="W9" s="900">
        <f t="shared" si="3"/>
        <v>0</v>
      </c>
      <c r="X9" s="900">
        <f t="shared" si="4"/>
        <v>0</v>
      </c>
      <c r="Y9" s="901">
        <f t="shared" si="5"/>
        <v>18871</v>
      </c>
    </row>
    <row r="10" spans="1:25" x14ac:dyDescent="0.2">
      <c r="A10" s="902" t="s">
        <v>347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898"/>
      <c r="R10" s="903" t="s">
        <v>348</v>
      </c>
      <c r="S10" s="898"/>
      <c r="T10" s="279"/>
      <c r="U10" s="900">
        <f t="shared" si="1"/>
        <v>0</v>
      </c>
      <c r="V10" s="900">
        <f t="shared" si="2"/>
        <v>0</v>
      </c>
      <c r="W10" s="900">
        <f t="shared" si="3"/>
        <v>0</v>
      </c>
      <c r="X10" s="900">
        <f t="shared" si="4"/>
        <v>0</v>
      </c>
      <c r="Y10" s="901">
        <f t="shared" si="5"/>
        <v>0</v>
      </c>
    </row>
    <row r="11" spans="1:25" ht="6" customHeight="1" x14ac:dyDescent="0.2">
      <c r="A11" s="902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279"/>
      <c r="P11" s="279"/>
      <c r="Q11" s="898"/>
      <c r="R11" s="903"/>
      <c r="S11" s="898"/>
      <c r="T11" s="279"/>
      <c r="U11" s="900"/>
      <c r="V11" s="900"/>
      <c r="W11" s="900"/>
      <c r="X11" s="900"/>
      <c r="Y11" s="901"/>
    </row>
    <row r="12" spans="1:25" x14ac:dyDescent="0.2">
      <c r="A12" s="897" t="s">
        <v>349</v>
      </c>
      <c r="C12" s="536">
        <v>12612</v>
      </c>
      <c r="D12" s="536">
        <v>17085</v>
      </c>
      <c r="E12" s="536">
        <v>16820</v>
      </c>
      <c r="F12" s="536">
        <v>12196</v>
      </c>
      <c r="G12" s="536">
        <v>12651</v>
      </c>
      <c r="H12" s="536">
        <v>12455</v>
      </c>
      <c r="I12" s="536">
        <v>12812</v>
      </c>
      <c r="J12" s="536">
        <v>12471</v>
      </c>
      <c r="K12" s="536">
        <v>12054</v>
      </c>
      <c r="L12" s="536">
        <v>12202</v>
      </c>
      <c r="M12" s="536">
        <v>11290</v>
      </c>
      <c r="N12" s="536">
        <v>12066</v>
      </c>
      <c r="O12" s="900">
        <f t="shared" si="0"/>
        <v>156714</v>
      </c>
      <c r="P12" s="900"/>
      <c r="Q12" s="898"/>
      <c r="R12" s="904" t="s">
        <v>350</v>
      </c>
      <c r="S12" s="898"/>
      <c r="T12" s="900"/>
      <c r="U12" s="900">
        <f t="shared" si="1"/>
        <v>46517</v>
      </c>
      <c r="V12" s="900">
        <f t="shared" si="2"/>
        <v>37302</v>
      </c>
      <c r="W12" s="900">
        <f t="shared" si="3"/>
        <v>37337</v>
      </c>
      <c r="X12" s="900">
        <f t="shared" si="4"/>
        <v>35558</v>
      </c>
      <c r="Y12" s="901">
        <f t="shared" si="5"/>
        <v>156714</v>
      </c>
    </row>
    <row r="13" spans="1:25" x14ac:dyDescent="0.2">
      <c r="A13" s="897" t="s">
        <v>351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00">
        <f t="shared" si="0"/>
        <v>0</v>
      </c>
      <c r="P13" s="900"/>
      <c r="Q13" s="898"/>
      <c r="R13" s="905" t="s">
        <v>350</v>
      </c>
      <c r="S13" s="898"/>
      <c r="T13" s="900"/>
      <c r="U13" s="900">
        <f t="shared" si="1"/>
        <v>0</v>
      </c>
      <c r="V13" s="900">
        <f t="shared" si="2"/>
        <v>0</v>
      </c>
      <c r="W13" s="900">
        <f t="shared" si="3"/>
        <v>0</v>
      </c>
      <c r="X13" s="900">
        <f t="shared" si="4"/>
        <v>0</v>
      </c>
      <c r="Y13" s="901">
        <f t="shared" si="5"/>
        <v>0</v>
      </c>
    </row>
    <row r="14" spans="1:25" x14ac:dyDescent="0.2">
      <c r="A14" s="303" t="s">
        <v>352</v>
      </c>
      <c r="C14" s="536">
        <v>0</v>
      </c>
      <c r="D14" s="536">
        <v>0</v>
      </c>
      <c r="E14" s="536">
        <v>0</v>
      </c>
      <c r="F14" s="536">
        <v>0</v>
      </c>
      <c r="G14" s="536">
        <v>0</v>
      </c>
      <c r="H14" s="536">
        <v>0</v>
      </c>
      <c r="I14" s="536">
        <v>0</v>
      </c>
      <c r="J14" s="536">
        <v>0</v>
      </c>
      <c r="K14" s="536">
        <v>0</v>
      </c>
      <c r="L14" s="536">
        <v>0</v>
      </c>
      <c r="M14" s="536">
        <v>0</v>
      </c>
      <c r="N14" s="536">
        <v>0</v>
      </c>
      <c r="O14" s="900">
        <f t="shared" si="0"/>
        <v>0</v>
      </c>
      <c r="P14" s="900"/>
      <c r="Q14" s="898"/>
      <c r="R14" s="905" t="s">
        <v>350</v>
      </c>
      <c r="S14" s="898"/>
      <c r="T14" s="900"/>
      <c r="U14" s="900">
        <f t="shared" si="1"/>
        <v>0</v>
      </c>
      <c r="V14" s="900">
        <f t="shared" si="2"/>
        <v>0</v>
      </c>
      <c r="W14" s="900">
        <f t="shared" si="3"/>
        <v>0</v>
      </c>
      <c r="X14" s="900">
        <f t="shared" si="4"/>
        <v>0</v>
      </c>
      <c r="Y14" s="901">
        <f t="shared" si="5"/>
        <v>0</v>
      </c>
    </row>
    <row r="15" spans="1:25" x14ac:dyDescent="0.2">
      <c r="A15" s="897" t="s">
        <v>353</v>
      </c>
      <c r="C15" s="536">
        <v>1303</v>
      </c>
      <c r="D15" s="536">
        <v>1259</v>
      </c>
      <c r="E15" s="536">
        <v>1286</v>
      </c>
      <c r="F15" s="536">
        <v>2727</v>
      </c>
      <c r="G15" s="536">
        <v>3689</v>
      </c>
      <c r="H15" s="536">
        <v>2163</v>
      </c>
      <c r="I15" s="536">
        <f>1454+8</f>
        <v>1462</v>
      </c>
      <c r="J15" s="1013">
        <f>1378-244</f>
        <v>1134</v>
      </c>
      <c r="K15" s="1013">
        <f>1026</f>
        <v>1026</v>
      </c>
      <c r="L15" s="536">
        <v>1050</v>
      </c>
      <c r="M15" s="536">
        <v>1035</v>
      </c>
      <c r="N15" s="536">
        <v>1103</v>
      </c>
      <c r="O15" s="900">
        <f t="shared" si="0"/>
        <v>19237</v>
      </c>
      <c r="P15" s="900"/>
      <c r="Q15" s="898"/>
      <c r="R15" s="904" t="s">
        <v>350</v>
      </c>
      <c r="S15" s="898"/>
      <c r="T15" s="900"/>
      <c r="U15" s="900">
        <f t="shared" si="1"/>
        <v>3848</v>
      </c>
      <c r="V15" s="900">
        <f t="shared" si="2"/>
        <v>8579</v>
      </c>
      <c r="W15" s="900">
        <f t="shared" si="3"/>
        <v>3622</v>
      </c>
      <c r="X15" s="900">
        <f t="shared" si="4"/>
        <v>3188</v>
      </c>
      <c r="Y15" s="901">
        <f t="shared" si="5"/>
        <v>19237</v>
      </c>
    </row>
    <row r="16" spans="1:25" x14ac:dyDescent="0.2">
      <c r="A16" s="897" t="s">
        <v>351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00">
        <f t="shared" si="0"/>
        <v>0</v>
      </c>
      <c r="P16" s="900"/>
      <c r="Q16" s="898"/>
      <c r="R16" s="905" t="s">
        <v>350</v>
      </c>
      <c r="S16" s="898"/>
      <c r="T16" s="900"/>
      <c r="U16" s="900">
        <f t="shared" si="1"/>
        <v>0</v>
      </c>
      <c r="V16" s="900">
        <f t="shared" si="2"/>
        <v>0</v>
      </c>
      <c r="W16" s="900">
        <f t="shared" si="3"/>
        <v>0</v>
      </c>
      <c r="X16" s="900">
        <f t="shared" si="4"/>
        <v>0</v>
      </c>
      <c r="Y16" s="901">
        <f t="shared" si="5"/>
        <v>0</v>
      </c>
    </row>
    <row r="17" spans="1:25" x14ac:dyDescent="0.2">
      <c r="A17" s="303" t="s">
        <v>352</v>
      </c>
      <c r="C17" s="536">
        <v>0</v>
      </c>
      <c r="D17" s="536">
        <v>0</v>
      </c>
      <c r="E17" s="536">
        <v>0</v>
      </c>
      <c r="F17" s="536">
        <v>0</v>
      </c>
      <c r="G17" s="536">
        <v>0</v>
      </c>
      <c r="H17" s="536">
        <v>0</v>
      </c>
      <c r="I17" s="536">
        <v>0</v>
      </c>
      <c r="J17" s="536">
        <v>0</v>
      </c>
      <c r="K17" s="536">
        <v>0</v>
      </c>
      <c r="L17" s="536">
        <v>0</v>
      </c>
      <c r="M17" s="536">
        <v>0</v>
      </c>
      <c r="N17" s="536">
        <v>0</v>
      </c>
      <c r="O17" s="900">
        <f t="shared" si="0"/>
        <v>0</v>
      </c>
      <c r="P17" s="900"/>
      <c r="Q17" s="898"/>
      <c r="R17" s="905" t="s">
        <v>350</v>
      </c>
      <c r="S17" s="898"/>
      <c r="T17" s="900"/>
      <c r="U17" s="900">
        <f t="shared" si="1"/>
        <v>0</v>
      </c>
      <c r="V17" s="900">
        <f t="shared" si="2"/>
        <v>0</v>
      </c>
      <c r="W17" s="900">
        <f t="shared" si="3"/>
        <v>0</v>
      </c>
      <c r="X17" s="900">
        <f t="shared" si="4"/>
        <v>0</v>
      </c>
      <c r="Y17" s="901">
        <f t="shared" si="5"/>
        <v>0</v>
      </c>
    </row>
    <row r="18" spans="1:25" x14ac:dyDescent="0.2">
      <c r="A18" s="897" t="s">
        <v>212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98"/>
      <c r="R18" s="904" t="s">
        <v>350</v>
      </c>
      <c r="S18" s="898"/>
      <c r="T18" s="292"/>
      <c r="U18" s="900">
        <f t="shared" si="1"/>
        <v>0</v>
      </c>
      <c r="V18" s="900">
        <f t="shared" si="2"/>
        <v>0</v>
      </c>
      <c r="W18" s="900">
        <f t="shared" si="3"/>
        <v>0</v>
      </c>
      <c r="X18" s="900">
        <f t="shared" si="4"/>
        <v>0</v>
      </c>
      <c r="Y18" s="901">
        <f t="shared" si="5"/>
        <v>0</v>
      </c>
    </row>
    <row r="19" spans="1:25" x14ac:dyDescent="0.2">
      <c r="A19" s="897" t="s">
        <v>453</v>
      </c>
      <c r="C19" s="293">
        <v>0</v>
      </c>
      <c r="D19" s="293">
        <v>0</v>
      </c>
      <c r="E19" s="293">
        <v>-9342</v>
      </c>
      <c r="F19" s="293">
        <v>-367</v>
      </c>
      <c r="G19" s="293">
        <v>0</v>
      </c>
      <c r="H19" s="293">
        <v>-325</v>
      </c>
      <c r="I19" s="293">
        <v>-8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2">
        <f t="shared" si="0"/>
        <v>-10042</v>
      </c>
      <c r="P19" s="292"/>
      <c r="Q19" s="898"/>
      <c r="R19" s="905" t="s">
        <v>350</v>
      </c>
      <c r="S19" s="898"/>
      <c r="T19" s="292"/>
      <c r="U19" s="900">
        <f t="shared" si="1"/>
        <v>-9342</v>
      </c>
      <c r="V19" s="900">
        <f t="shared" si="2"/>
        <v>-692</v>
      </c>
      <c r="W19" s="900" t="e">
        <f>I19+#REF!+K19</f>
        <v>#REF!</v>
      </c>
      <c r="X19" s="900">
        <f t="shared" si="4"/>
        <v>0</v>
      </c>
      <c r="Y19" s="901" t="e">
        <f t="shared" si="5"/>
        <v>#REF!</v>
      </c>
    </row>
    <row r="20" spans="1:25" x14ac:dyDescent="0.2">
      <c r="A20" s="897" t="s">
        <v>454</v>
      </c>
      <c r="C20" s="293">
        <v>0</v>
      </c>
      <c r="D20" s="293">
        <v>0</v>
      </c>
      <c r="E20" s="293">
        <v>-2198</v>
      </c>
      <c r="F20" s="293">
        <v>-48</v>
      </c>
      <c r="G20" s="293">
        <v>0</v>
      </c>
      <c r="H20" s="293">
        <v>0</v>
      </c>
      <c r="I20" s="293">
        <v>0</v>
      </c>
      <c r="J20" s="536">
        <v>-244</v>
      </c>
      <c r="K20" s="293">
        <v>244</v>
      </c>
      <c r="L20" s="293">
        <v>0</v>
      </c>
      <c r="M20" s="293">
        <v>0</v>
      </c>
      <c r="N20" s="293">
        <v>-161</v>
      </c>
      <c r="O20" s="292">
        <f t="shared" si="0"/>
        <v>-2407</v>
      </c>
      <c r="P20" s="292"/>
      <c r="Q20" s="898"/>
      <c r="R20" s="905" t="s">
        <v>350</v>
      </c>
      <c r="S20" s="898"/>
      <c r="T20" s="292"/>
      <c r="U20" s="900">
        <f t="shared" si="1"/>
        <v>-2198</v>
      </c>
      <c r="V20" s="900">
        <f t="shared" si="2"/>
        <v>-48</v>
      </c>
      <c r="W20" s="900">
        <f>I20+J19+K20</f>
        <v>244</v>
      </c>
      <c r="X20" s="900">
        <f t="shared" si="4"/>
        <v>-161</v>
      </c>
      <c r="Y20" s="901">
        <f t="shared" si="5"/>
        <v>-2163</v>
      </c>
    </row>
    <row r="21" spans="1:25" x14ac:dyDescent="0.2">
      <c r="A21" s="897" t="s">
        <v>354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898"/>
      <c r="R21" s="905" t="s">
        <v>350</v>
      </c>
      <c r="S21" s="898"/>
      <c r="T21" s="541"/>
      <c r="U21" s="900">
        <f t="shared" si="1"/>
        <v>0</v>
      </c>
      <c r="V21" s="900">
        <f t="shared" si="2"/>
        <v>0</v>
      </c>
      <c r="W21" s="900">
        <f t="shared" si="3"/>
        <v>0</v>
      </c>
      <c r="X21" s="900">
        <f t="shared" si="4"/>
        <v>0</v>
      </c>
      <c r="Y21" s="901">
        <f t="shared" si="5"/>
        <v>0</v>
      </c>
    </row>
    <row r="22" spans="1:25" x14ac:dyDescent="0.2">
      <c r="A22" s="897" t="s">
        <v>355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898"/>
      <c r="R22" s="905" t="s">
        <v>350</v>
      </c>
      <c r="S22" s="898"/>
      <c r="T22" s="541"/>
      <c r="U22" s="900">
        <f t="shared" si="1"/>
        <v>0</v>
      </c>
      <c r="V22" s="900">
        <f t="shared" si="2"/>
        <v>0</v>
      </c>
      <c r="W22" s="900">
        <f t="shared" si="3"/>
        <v>0</v>
      </c>
      <c r="X22" s="900">
        <f t="shared" si="4"/>
        <v>0</v>
      </c>
      <c r="Y22" s="901">
        <f t="shared" si="5"/>
        <v>0</v>
      </c>
    </row>
    <row r="23" spans="1:25" x14ac:dyDescent="0.2">
      <c r="A23" s="897" t="s">
        <v>356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898"/>
      <c r="R23" s="905" t="s">
        <v>350</v>
      </c>
      <c r="S23" s="898"/>
      <c r="T23" s="541"/>
      <c r="U23" s="900">
        <f t="shared" si="1"/>
        <v>0</v>
      </c>
      <c r="V23" s="900">
        <f t="shared" si="2"/>
        <v>0</v>
      </c>
      <c r="W23" s="900">
        <f t="shared" si="3"/>
        <v>0</v>
      </c>
      <c r="X23" s="900">
        <f t="shared" si="4"/>
        <v>0</v>
      </c>
      <c r="Y23" s="901">
        <f t="shared" si="5"/>
        <v>0</v>
      </c>
    </row>
    <row r="24" spans="1:25" x14ac:dyDescent="0.2">
      <c r="A24" s="897" t="s">
        <v>455</v>
      </c>
      <c r="C24" s="689">
        <v>-12</v>
      </c>
      <c r="D24" s="689">
        <v>-13</v>
      </c>
      <c r="E24" s="689">
        <v>-12</v>
      </c>
      <c r="F24" s="689">
        <v>-13</v>
      </c>
      <c r="G24" s="689">
        <v>-12</v>
      </c>
      <c r="H24" s="689">
        <v>-13</v>
      </c>
      <c r="I24" s="689">
        <v>-13</v>
      </c>
      <c r="J24" s="689">
        <v>-12</v>
      </c>
      <c r="K24" s="689">
        <v>-13</v>
      </c>
      <c r="L24" s="689">
        <v>-12</v>
      </c>
      <c r="M24" s="689">
        <v>-13</v>
      </c>
      <c r="N24" s="689">
        <v>-12</v>
      </c>
      <c r="O24" s="292">
        <f t="shared" si="0"/>
        <v>-150</v>
      </c>
      <c r="P24" s="292"/>
      <c r="Q24" s="898"/>
      <c r="R24" s="904" t="s">
        <v>350</v>
      </c>
      <c r="S24" s="898"/>
      <c r="T24" s="292"/>
      <c r="U24" s="900">
        <f t="shared" si="1"/>
        <v>-37</v>
      </c>
      <c r="V24" s="900">
        <f t="shared" si="2"/>
        <v>-38</v>
      </c>
      <c r="W24" s="900">
        <f t="shared" si="3"/>
        <v>-38</v>
      </c>
      <c r="X24" s="900">
        <f t="shared" si="4"/>
        <v>-37</v>
      </c>
      <c r="Y24" s="901">
        <f t="shared" si="5"/>
        <v>-150</v>
      </c>
    </row>
    <row r="25" spans="1:25" x14ac:dyDescent="0.2">
      <c r="A25" s="897" t="s">
        <v>456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898"/>
      <c r="R25" s="905" t="s">
        <v>350</v>
      </c>
      <c r="S25" s="898"/>
      <c r="T25" s="541"/>
      <c r="U25" s="900">
        <f t="shared" si="1"/>
        <v>-50</v>
      </c>
      <c r="V25" s="900">
        <f t="shared" si="2"/>
        <v>-45</v>
      </c>
      <c r="W25" s="900">
        <f t="shared" si="3"/>
        <v>-45</v>
      </c>
      <c r="X25" s="900">
        <f t="shared" si="4"/>
        <v>-45</v>
      </c>
      <c r="Y25" s="901">
        <f t="shared" si="5"/>
        <v>-185</v>
      </c>
    </row>
    <row r="26" spans="1:25" x14ac:dyDescent="0.2">
      <c r="A26" s="897" t="s">
        <v>357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-142</f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-142</v>
      </c>
      <c r="P26" s="292"/>
      <c r="Q26" s="898"/>
      <c r="R26" s="905" t="s">
        <v>350</v>
      </c>
      <c r="S26" s="898"/>
      <c r="T26" s="292"/>
      <c r="U26" s="900">
        <f t="shared" si="1"/>
        <v>0</v>
      </c>
      <c r="V26" s="900">
        <f t="shared" si="2"/>
        <v>0</v>
      </c>
      <c r="W26" s="900">
        <f t="shared" si="3"/>
        <v>-142</v>
      </c>
      <c r="X26" s="900">
        <f t="shared" si="4"/>
        <v>0</v>
      </c>
      <c r="Y26" s="901">
        <f t="shared" si="5"/>
        <v>-142</v>
      </c>
    </row>
    <row r="27" spans="1:25" x14ac:dyDescent="0.2">
      <c r="A27" s="897" t="s">
        <v>458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244</v>
      </c>
      <c r="K27" s="293">
        <v>-244</v>
      </c>
      <c r="L27" s="293">
        <v>0</v>
      </c>
      <c r="M27" s="293">
        <v>0</v>
      </c>
      <c r="N27" s="293">
        <v>161</v>
      </c>
      <c r="O27" s="541">
        <f t="shared" si="0"/>
        <v>2407</v>
      </c>
      <c r="P27" s="541"/>
      <c r="Q27" s="898"/>
      <c r="R27" s="905" t="s">
        <v>350</v>
      </c>
      <c r="S27" s="898"/>
      <c r="T27" s="541"/>
      <c r="U27" s="900">
        <f t="shared" si="1"/>
        <v>2198</v>
      </c>
      <c r="V27" s="900">
        <f t="shared" si="2"/>
        <v>48</v>
      </c>
      <c r="W27" s="900">
        <f t="shared" si="3"/>
        <v>0</v>
      </c>
      <c r="X27" s="900">
        <f t="shared" si="4"/>
        <v>161</v>
      </c>
      <c r="Y27" s="901">
        <f t="shared" si="5"/>
        <v>2407</v>
      </c>
    </row>
    <row r="28" spans="1:25" x14ac:dyDescent="0.2">
      <c r="A28" s="897" t="s">
        <v>358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41">
        <f t="shared" si="0"/>
        <v>0</v>
      </c>
      <c r="P28" s="541"/>
      <c r="Q28" s="898"/>
      <c r="R28" s="905" t="s">
        <v>350</v>
      </c>
      <c r="S28" s="898"/>
      <c r="T28" s="541"/>
      <c r="U28" s="900">
        <f t="shared" si="1"/>
        <v>0</v>
      </c>
      <c r="V28" s="900">
        <f t="shared" si="2"/>
        <v>0</v>
      </c>
      <c r="W28" s="900">
        <f t="shared" si="3"/>
        <v>0</v>
      </c>
      <c r="X28" s="900">
        <f t="shared" si="4"/>
        <v>0</v>
      </c>
      <c r="Y28" s="901">
        <f t="shared" si="5"/>
        <v>0</v>
      </c>
    </row>
    <row r="29" spans="1:25" ht="6" customHeight="1" x14ac:dyDescent="0.2">
      <c r="A29" s="897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41"/>
      <c r="P29" s="541"/>
      <c r="Q29" s="898"/>
      <c r="R29" s="905"/>
      <c r="S29" s="898"/>
      <c r="T29" s="541"/>
      <c r="U29" s="900"/>
      <c r="V29" s="900"/>
      <c r="W29" s="900"/>
      <c r="X29" s="900"/>
      <c r="Y29" s="901"/>
    </row>
    <row r="30" spans="1:25" x14ac:dyDescent="0.2">
      <c r="A30" s="897" t="s">
        <v>360</v>
      </c>
      <c r="C30" s="128">
        <v>4940</v>
      </c>
      <c r="D30" s="862">
        <f>3633+1</f>
        <v>3634</v>
      </c>
      <c r="E30" s="128">
        <v>3808</v>
      </c>
      <c r="F30" s="862">
        <f>3274-21741</f>
        <v>-18467</v>
      </c>
      <c r="G30" s="862">
        <f>408-21742+21741</f>
        <v>407</v>
      </c>
      <c r="H30" s="128">
        <v>-379</v>
      </c>
      <c r="I30" s="128">
        <v>-1188</v>
      </c>
      <c r="J30" s="1011">
        <f>-506-248</f>
        <v>-754</v>
      </c>
      <c r="K30" s="128">
        <v>3100</v>
      </c>
      <c r="L30" s="128">
        <v>2818</v>
      </c>
      <c r="M30" s="128">
        <v>2744</v>
      </c>
      <c r="N30" s="128">
        <v>2679</v>
      </c>
      <c r="O30" s="129">
        <f t="shared" si="0"/>
        <v>3342</v>
      </c>
      <c r="P30" s="129"/>
      <c r="Q30" s="898"/>
      <c r="R30" s="899" t="s">
        <v>361</v>
      </c>
      <c r="S30" s="898"/>
      <c r="T30" s="129"/>
      <c r="U30" s="900">
        <f t="shared" si="1"/>
        <v>12382</v>
      </c>
      <c r="V30" s="900">
        <f t="shared" si="2"/>
        <v>-18439</v>
      </c>
      <c r="W30" s="900">
        <f t="shared" si="3"/>
        <v>1158</v>
      </c>
      <c r="X30" s="900">
        <f t="shared" si="4"/>
        <v>8241</v>
      </c>
      <c r="Y30" s="901">
        <f t="shared" si="5"/>
        <v>3342</v>
      </c>
    </row>
    <row r="31" spans="1:25" x14ac:dyDescent="0.2">
      <c r="A31" s="897" t="s">
        <v>362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98"/>
      <c r="R31" s="903" t="s">
        <v>361</v>
      </c>
      <c r="S31" s="898"/>
      <c r="T31" s="129"/>
      <c r="U31" s="900">
        <f>C31+D31+E31</f>
        <v>0</v>
      </c>
      <c r="V31" s="900">
        <f>F31+G31+H31</f>
        <v>0</v>
      </c>
      <c r="W31" s="900">
        <f>I31+J31+K31</f>
        <v>0</v>
      </c>
      <c r="X31" s="900">
        <f>L31+M31+N31</f>
        <v>0</v>
      </c>
      <c r="Y31" s="901">
        <f>SUM(U31:X31)</f>
        <v>0</v>
      </c>
    </row>
    <row r="32" spans="1:25" x14ac:dyDescent="0.2">
      <c r="A32" s="897" t="s">
        <v>217</v>
      </c>
      <c r="C32" s="910">
        <v>0</v>
      </c>
      <c r="D32" s="910">
        <v>0</v>
      </c>
      <c r="E32" s="910">
        <v>0</v>
      </c>
      <c r="F32" s="910">
        <v>7815</v>
      </c>
      <c r="G32" s="910">
        <v>0</v>
      </c>
      <c r="H32" s="910">
        <v>0</v>
      </c>
      <c r="I32" s="910">
        <v>0</v>
      </c>
      <c r="J32" s="910">
        <v>0</v>
      </c>
      <c r="K32" s="910">
        <v>0</v>
      </c>
      <c r="L32" s="910">
        <v>0</v>
      </c>
      <c r="M32" s="910">
        <v>0</v>
      </c>
      <c r="N32" s="910">
        <v>0</v>
      </c>
      <c r="O32" s="129">
        <f t="shared" si="0"/>
        <v>7815</v>
      </c>
      <c r="P32" s="129"/>
      <c r="Q32" s="898"/>
      <c r="R32" s="903" t="s">
        <v>361</v>
      </c>
      <c r="S32" s="898"/>
      <c r="T32" s="129"/>
      <c r="U32" s="900">
        <f>C32+D32+E32</f>
        <v>0</v>
      </c>
      <c r="V32" s="900">
        <f>F32+G32+H32</f>
        <v>7815</v>
      </c>
      <c r="W32" s="900">
        <f>I32+J32+K32</f>
        <v>0</v>
      </c>
      <c r="X32" s="900">
        <f>L32+M32+N32</f>
        <v>0</v>
      </c>
      <c r="Y32" s="901">
        <f>SUM(U32:X32)</f>
        <v>7815</v>
      </c>
    </row>
    <row r="33" spans="1:25" x14ac:dyDescent="0.2">
      <c r="A33" s="897" t="s">
        <v>358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98"/>
      <c r="R33" s="903" t="s">
        <v>361</v>
      </c>
      <c r="S33" s="898"/>
      <c r="T33" s="129"/>
      <c r="U33" s="900">
        <f>C33+D33+E33</f>
        <v>0</v>
      </c>
      <c r="V33" s="900">
        <f>F33+G33+H33</f>
        <v>0</v>
      </c>
      <c r="W33" s="900">
        <f>I33+J33+K33</f>
        <v>0</v>
      </c>
      <c r="X33" s="900">
        <f>L33+M33+N33</f>
        <v>0</v>
      </c>
      <c r="Y33" s="901">
        <f>SUM(U33:X33)</f>
        <v>0</v>
      </c>
    </row>
    <row r="34" spans="1:25" ht="6" customHeight="1" x14ac:dyDescent="0.2">
      <c r="A34" s="897"/>
      <c r="C34" s="901"/>
      <c r="D34" s="901"/>
      <c r="E34" s="901"/>
      <c r="F34" s="901"/>
      <c r="G34" s="901"/>
      <c r="H34" s="901"/>
      <c r="I34" s="901"/>
      <c r="J34" s="901"/>
      <c r="K34" s="901"/>
      <c r="L34" s="901"/>
      <c r="M34" s="901"/>
      <c r="N34" s="901"/>
      <c r="O34" s="900"/>
      <c r="P34" s="900"/>
      <c r="Q34" s="898"/>
      <c r="R34" s="903"/>
      <c r="S34" s="898"/>
      <c r="T34" s="900"/>
      <c r="U34" s="900"/>
      <c r="V34" s="900"/>
      <c r="W34" s="900"/>
      <c r="X34" s="900"/>
      <c r="Y34" s="901"/>
    </row>
    <row r="35" spans="1:25" x14ac:dyDescent="0.2">
      <c r="A35" s="897" t="s">
        <v>223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9">
        <f t="shared" ref="O35:O40" si="6">SUM(C35:N35)</f>
        <v>0</v>
      </c>
      <c r="P35" s="619"/>
      <c r="Q35" s="898"/>
      <c r="R35" s="904" t="s">
        <v>365</v>
      </c>
      <c r="S35" s="898"/>
      <c r="T35" s="619"/>
      <c r="U35" s="900">
        <f t="shared" ref="U35:U40" si="7">C35+D35+E35</f>
        <v>0</v>
      </c>
      <c r="V35" s="900">
        <f t="shared" ref="V35:V40" si="8">F35+G35+H35</f>
        <v>0</v>
      </c>
      <c r="W35" s="900">
        <f t="shared" ref="W35:W40" si="9">I35+J35+K35</f>
        <v>0</v>
      </c>
      <c r="X35" s="900">
        <f t="shared" ref="X35:X40" si="10">L35+M35+N35</f>
        <v>0</v>
      </c>
      <c r="Y35" s="901">
        <f t="shared" ref="Y35:Y40" si="11">SUM(U35:X35)</f>
        <v>0</v>
      </c>
    </row>
    <row r="36" spans="1:25" x14ac:dyDescent="0.2">
      <c r="A36" s="897" t="s">
        <v>224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9">
        <f t="shared" si="6"/>
        <v>0</v>
      </c>
      <c r="P36" s="619"/>
      <c r="Q36" s="898"/>
      <c r="R36" s="904" t="s">
        <v>365</v>
      </c>
      <c r="S36" s="898"/>
      <c r="T36" s="619"/>
      <c r="U36" s="900">
        <f t="shared" si="7"/>
        <v>0</v>
      </c>
      <c r="V36" s="900">
        <f t="shared" si="8"/>
        <v>0</v>
      </c>
      <c r="W36" s="900">
        <f t="shared" si="9"/>
        <v>0</v>
      </c>
      <c r="X36" s="900">
        <f t="shared" si="10"/>
        <v>0</v>
      </c>
      <c r="Y36" s="901">
        <f t="shared" si="11"/>
        <v>0</v>
      </c>
    </row>
    <row r="37" spans="1:25" x14ac:dyDescent="0.2">
      <c r="A37" s="897" t="s">
        <v>366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9">
        <f t="shared" si="6"/>
        <v>0</v>
      </c>
      <c r="P37" s="619"/>
      <c r="Q37" s="898"/>
      <c r="R37" s="905" t="s">
        <v>365</v>
      </c>
      <c r="S37" s="898"/>
      <c r="T37" s="619"/>
      <c r="U37" s="900">
        <f t="shared" si="7"/>
        <v>0</v>
      </c>
      <c r="V37" s="900">
        <f t="shared" si="8"/>
        <v>0</v>
      </c>
      <c r="W37" s="900">
        <f t="shared" si="9"/>
        <v>0</v>
      </c>
      <c r="X37" s="900">
        <f t="shared" si="10"/>
        <v>0</v>
      </c>
      <c r="Y37" s="901">
        <f t="shared" si="11"/>
        <v>0</v>
      </c>
    </row>
    <row r="38" spans="1:25" x14ac:dyDescent="0.2">
      <c r="A38" s="897" t="s">
        <v>367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9">
        <f t="shared" si="6"/>
        <v>0</v>
      </c>
      <c r="P38" s="619"/>
      <c r="Q38" s="898"/>
      <c r="R38" s="905" t="s">
        <v>365</v>
      </c>
      <c r="S38" s="898"/>
      <c r="T38" s="619"/>
      <c r="U38" s="900">
        <f t="shared" si="7"/>
        <v>0</v>
      </c>
      <c r="V38" s="900">
        <f t="shared" si="8"/>
        <v>0</v>
      </c>
      <c r="W38" s="900">
        <f t="shared" si="9"/>
        <v>0</v>
      </c>
      <c r="X38" s="900">
        <f t="shared" si="10"/>
        <v>0</v>
      </c>
      <c r="Y38" s="901">
        <f t="shared" si="11"/>
        <v>0</v>
      </c>
    </row>
    <row r="39" spans="1:25" x14ac:dyDescent="0.2">
      <c r="A39" s="897" t="s">
        <v>358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11">
        <f t="shared" si="6"/>
        <v>0</v>
      </c>
      <c r="P39" s="611"/>
      <c r="Q39" s="898"/>
      <c r="R39" s="905" t="s">
        <v>365</v>
      </c>
      <c r="S39" s="898"/>
      <c r="T39" s="611"/>
      <c r="U39" s="900">
        <f t="shared" si="7"/>
        <v>0</v>
      </c>
      <c r="V39" s="900">
        <f t="shared" si="8"/>
        <v>0</v>
      </c>
      <c r="W39" s="900">
        <f t="shared" si="9"/>
        <v>0</v>
      </c>
      <c r="X39" s="900">
        <f t="shared" si="10"/>
        <v>0</v>
      </c>
      <c r="Y39" s="901">
        <f t="shared" si="11"/>
        <v>0</v>
      </c>
    </row>
    <row r="40" spans="1:25" x14ac:dyDescent="0.2">
      <c r="A40" s="897" t="s">
        <v>359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11">
        <f t="shared" si="6"/>
        <v>0</v>
      </c>
      <c r="P40" s="611"/>
      <c r="Q40" s="898"/>
      <c r="R40" s="905" t="s">
        <v>365</v>
      </c>
      <c r="S40" s="898"/>
      <c r="T40" s="611"/>
      <c r="U40" s="900">
        <f t="shared" si="7"/>
        <v>0</v>
      </c>
      <c r="V40" s="900">
        <f t="shared" si="8"/>
        <v>0</v>
      </c>
      <c r="W40" s="900">
        <f t="shared" si="9"/>
        <v>0</v>
      </c>
      <c r="X40" s="900">
        <f t="shared" si="10"/>
        <v>0</v>
      </c>
      <c r="Y40" s="901">
        <f t="shared" si="11"/>
        <v>0</v>
      </c>
    </row>
    <row r="41" spans="1:25" ht="6" customHeight="1" x14ac:dyDescent="0.2">
      <c r="A41" s="897"/>
      <c r="C41" s="901"/>
      <c r="D41" s="901"/>
      <c r="E41" s="901"/>
      <c r="F41" s="901"/>
      <c r="G41" s="901"/>
      <c r="H41" s="901"/>
      <c r="I41" s="901"/>
      <c r="J41" s="901"/>
      <c r="K41" s="901"/>
      <c r="L41" s="901"/>
      <c r="M41" s="901"/>
      <c r="N41" s="901"/>
      <c r="O41" s="900"/>
      <c r="P41" s="900"/>
      <c r="Q41" s="898"/>
      <c r="R41" s="904"/>
      <c r="S41" s="898"/>
      <c r="T41" s="900"/>
      <c r="U41" s="900"/>
      <c r="V41" s="900"/>
      <c r="W41" s="900"/>
      <c r="X41" s="900"/>
      <c r="Y41" s="901"/>
    </row>
    <row r="42" spans="1:25" x14ac:dyDescent="0.2">
      <c r="A42" s="897" t="s">
        <v>370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9">
        <f t="shared" ref="O42:O49" si="12">SUM(C42:N42)</f>
        <v>0</v>
      </c>
      <c r="P42" s="619"/>
      <c r="Q42" s="898"/>
      <c r="R42" s="905" t="s">
        <v>365</v>
      </c>
      <c r="S42" s="898"/>
      <c r="T42" s="619"/>
      <c r="U42" s="900">
        <f t="shared" ref="U42:U49" si="13">C42+D42+E42</f>
        <v>0</v>
      </c>
      <c r="V42" s="900">
        <f t="shared" ref="V42:V49" si="14">F42+G42+H42</f>
        <v>0</v>
      </c>
      <c r="W42" s="900">
        <f t="shared" ref="W42:W49" si="15">I42+J42+K42</f>
        <v>0</v>
      </c>
      <c r="X42" s="900">
        <f t="shared" ref="X42:X49" si="16">L42+M42+N42</f>
        <v>0</v>
      </c>
      <c r="Y42" s="901">
        <f t="shared" ref="Y42:Y49" si="17">SUM(U42:X42)</f>
        <v>0</v>
      </c>
    </row>
    <row r="43" spans="1:25" x14ac:dyDescent="0.2">
      <c r="A43" s="897" t="s">
        <v>371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9">
        <f t="shared" si="12"/>
        <v>0</v>
      </c>
      <c r="P43" s="619"/>
      <c r="Q43" s="898"/>
      <c r="R43" s="905" t="s">
        <v>365</v>
      </c>
      <c r="S43" s="898"/>
      <c r="T43" s="619"/>
      <c r="U43" s="900">
        <f t="shared" si="13"/>
        <v>0</v>
      </c>
      <c r="V43" s="900">
        <f t="shared" si="14"/>
        <v>0</v>
      </c>
      <c r="W43" s="900">
        <f t="shared" si="15"/>
        <v>0</v>
      </c>
      <c r="X43" s="900">
        <f t="shared" si="16"/>
        <v>0</v>
      </c>
      <c r="Y43" s="901">
        <f t="shared" si="17"/>
        <v>0</v>
      </c>
    </row>
    <row r="44" spans="1:25" ht="12.75" customHeight="1" x14ac:dyDescent="0.2">
      <c r="A44" s="897" t="s">
        <v>460</v>
      </c>
      <c r="C44" s="612">
        <v>23</v>
      </c>
      <c r="D44" s="612">
        <v>24</v>
      </c>
      <c r="E44" s="612">
        <v>25</v>
      </c>
      <c r="F44" s="612">
        <v>23</v>
      </c>
      <c r="G44" s="612">
        <v>24</v>
      </c>
      <c r="H44" s="612">
        <v>24</v>
      </c>
      <c r="I44" s="612">
        <v>23</v>
      </c>
      <c r="J44" s="612">
        <v>24</v>
      </c>
      <c r="K44" s="612">
        <v>23</v>
      </c>
      <c r="L44" s="612">
        <v>23</v>
      </c>
      <c r="M44" s="612">
        <v>23</v>
      </c>
      <c r="N44" s="612">
        <v>23</v>
      </c>
      <c r="O44" s="619">
        <f t="shared" si="12"/>
        <v>282</v>
      </c>
      <c r="P44" s="619"/>
      <c r="Q44" s="898"/>
      <c r="R44" s="905" t="s">
        <v>365</v>
      </c>
      <c r="S44" s="898"/>
      <c r="T44" s="619"/>
      <c r="U44" s="900">
        <f t="shared" si="13"/>
        <v>72</v>
      </c>
      <c r="V44" s="900">
        <f t="shared" si="14"/>
        <v>71</v>
      </c>
      <c r="W44" s="900">
        <f t="shared" si="15"/>
        <v>70</v>
      </c>
      <c r="X44" s="900">
        <f t="shared" si="16"/>
        <v>69</v>
      </c>
      <c r="Y44" s="901">
        <f t="shared" si="17"/>
        <v>282</v>
      </c>
    </row>
    <row r="45" spans="1:25" x14ac:dyDescent="0.2">
      <c r="A45" s="897" t="s">
        <v>461</v>
      </c>
      <c r="C45" s="612">
        <v>0</v>
      </c>
      <c r="D45" s="612">
        <v>0</v>
      </c>
      <c r="E45" s="612">
        <v>0</v>
      </c>
      <c r="F45" s="612">
        <v>0</v>
      </c>
      <c r="G45" s="612">
        <v>54</v>
      </c>
      <c r="H45" s="612">
        <v>0</v>
      </c>
      <c r="I45" s="612">
        <v>0</v>
      </c>
      <c r="J45" s="612">
        <v>0</v>
      </c>
      <c r="K45" s="612">
        <v>0</v>
      </c>
      <c r="L45" s="612">
        <v>0</v>
      </c>
      <c r="M45" s="612">
        <v>0</v>
      </c>
      <c r="N45" s="612">
        <v>0</v>
      </c>
      <c r="O45" s="619">
        <f t="shared" si="12"/>
        <v>54</v>
      </c>
      <c r="P45" s="619"/>
      <c r="Q45" s="898"/>
      <c r="R45" s="905" t="s">
        <v>365</v>
      </c>
      <c r="S45" s="898"/>
      <c r="T45" s="619"/>
      <c r="U45" s="900">
        <f t="shared" si="13"/>
        <v>0</v>
      </c>
      <c r="V45" s="900">
        <f t="shared" si="14"/>
        <v>54</v>
      </c>
      <c r="W45" s="900">
        <f t="shared" si="15"/>
        <v>0</v>
      </c>
      <c r="X45" s="900">
        <f t="shared" si="16"/>
        <v>0</v>
      </c>
      <c r="Y45" s="901">
        <f t="shared" si="17"/>
        <v>54</v>
      </c>
    </row>
    <row r="46" spans="1:25" x14ac:dyDescent="0.2">
      <c r="A46" s="897" t="s">
        <v>358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11">
        <f t="shared" si="12"/>
        <v>0</v>
      </c>
      <c r="P46" s="611"/>
      <c r="Q46" s="898"/>
      <c r="R46" s="905" t="s">
        <v>365</v>
      </c>
      <c r="S46" s="898"/>
      <c r="T46" s="611"/>
      <c r="U46" s="900">
        <f t="shared" si="13"/>
        <v>0</v>
      </c>
      <c r="V46" s="900">
        <f t="shared" si="14"/>
        <v>0</v>
      </c>
      <c r="W46" s="900">
        <f t="shared" si="15"/>
        <v>0</v>
      </c>
      <c r="X46" s="900">
        <f t="shared" si="16"/>
        <v>0</v>
      </c>
      <c r="Y46" s="901">
        <f t="shared" si="17"/>
        <v>0</v>
      </c>
    </row>
    <row r="47" spans="1:25" x14ac:dyDescent="0.2">
      <c r="A47" s="897" t="s">
        <v>359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11">
        <f t="shared" si="12"/>
        <v>0</v>
      </c>
      <c r="P47" s="611"/>
      <c r="Q47" s="898"/>
      <c r="R47" s="905" t="s">
        <v>365</v>
      </c>
      <c r="S47" s="898"/>
      <c r="T47" s="611"/>
      <c r="U47" s="900">
        <f t="shared" si="13"/>
        <v>0</v>
      </c>
      <c r="V47" s="900">
        <f t="shared" si="14"/>
        <v>0</v>
      </c>
      <c r="W47" s="900">
        <f t="shared" si="15"/>
        <v>0</v>
      </c>
      <c r="X47" s="900">
        <f t="shared" si="16"/>
        <v>0</v>
      </c>
      <c r="Y47" s="901">
        <f t="shared" si="17"/>
        <v>0</v>
      </c>
    </row>
    <row r="48" spans="1:25" x14ac:dyDescent="0.2">
      <c r="A48" s="897" t="s">
        <v>372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11">
        <f t="shared" si="12"/>
        <v>0</v>
      </c>
      <c r="P48" s="611"/>
      <c r="Q48" s="898"/>
      <c r="R48" s="905" t="s">
        <v>365</v>
      </c>
      <c r="S48" s="898"/>
      <c r="T48" s="611"/>
      <c r="U48" s="900">
        <f t="shared" si="13"/>
        <v>0</v>
      </c>
      <c r="V48" s="900">
        <f t="shared" si="14"/>
        <v>0</v>
      </c>
      <c r="W48" s="900">
        <f t="shared" si="15"/>
        <v>0</v>
      </c>
      <c r="X48" s="900">
        <f t="shared" si="16"/>
        <v>0</v>
      </c>
      <c r="Y48" s="901">
        <f t="shared" si="17"/>
        <v>0</v>
      </c>
    </row>
    <row r="49" spans="1:25" x14ac:dyDescent="0.2">
      <c r="A49" s="897" t="s">
        <v>459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  <c r="O49" s="611">
        <f t="shared" si="12"/>
        <v>0</v>
      </c>
      <c r="P49" s="611"/>
      <c r="Q49" s="898"/>
      <c r="R49" s="905" t="s">
        <v>365</v>
      </c>
      <c r="S49" s="898"/>
      <c r="T49" s="611"/>
      <c r="U49" s="900">
        <f t="shared" si="13"/>
        <v>0</v>
      </c>
      <c r="V49" s="900">
        <f t="shared" si="14"/>
        <v>0</v>
      </c>
      <c r="W49" s="900">
        <f t="shared" si="15"/>
        <v>0</v>
      </c>
      <c r="X49" s="900">
        <f t="shared" si="16"/>
        <v>0</v>
      </c>
      <c r="Y49" s="901">
        <f t="shared" si="17"/>
        <v>0</v>
      </c>
    </row>
    <row r="50" spans="1:25" ht="6" customHeight="1" x14ac:dyDescent="0.2">
      <c r="A50" s="897"/>
      <c r="C50" s="901"/>
      <c r="D50" s="901"/>
      <c r="E50" s="901"/>
      <c r="F50" s="901"/>
      <c r="G50" s="901"/>
      <c r="H50" s="901"/>
      <c r="I50" s="901"/>
      <c r="J50" s="901"/>
      <c r="K50" s="901"/>
      <c r="L50" s="901"/>
      <c r="M50" s="901"/>
      <c r="N50" s="901"/>
      <c r="O50" s="611"/>
      <c r="P50" s="611"/>
      <c r="Q50" s="898"/>
      <c r="R50" s="905"/>
      <c r="S50" s="898"/>
      <c r="T50" s="611"/>
      <c r="U50" s="900"/>
      <c r="V50" s="900"/>
      <c r="W50" s="900"/>
      <c r="X50" s="900"/>
      <c r="Y50" s="901"/>
    </row>
    <row r="51" spans="1:25" x14ac:dyDescent="0.2">
      <c r="A51" s="897" t="s">
        <v>373</v>
      </c>
      <c r="C51" s="141">
        <v>128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f>4-8</f>
        <v>-4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124</v>
      </c>
      <c r="P51" s="142"/>
      <c r="Q51" s="898"/>
      <c r="R51" s="904" t="s">
        <v>374</v>
      </c>
      <c r="S51" s="898"/>
      <c r="T51" s="142"/>
      <c r="U51" s="900">
        <f>C51+D51+E51</f>
        <v>128</v>
      </c>
      <c r="V51" s="900">
        <f>F51+G51+H51</f>
        <v>0</v>
      </c>
      <c r="W51" s="900">
        <f>I51+J51+K51</f>
        <v>-4</v>
      </c>
      <c r="X51" s="900">
        <f>L51+M51+N51</f>
        <v>0</v>
      </c>
      <c r="Y51" s="901">
        <f>SUM(U51:X51)</f>
        <v>124</v>
      </c>
    </row>
    <row r="52" spans="1:25" x14ac:dyDescent="0.2">
      <c r="A52" s="897" t="s">
        <v>375</v>
      </c>
      <c r="C52" s="910">
        <v>0</v>
      </c>
      <c r="D52" s="910">
        <v>0</v>
      </c>
      <c r="E52" s="910">
        <v>0</v>
      </c>
      <c r="F52" s="910">
        <v>0</v>
      </c>
      <c r="G52" s="910">
        <v>0</v>
      </c>
      <c r="H52" s="910">
        <v>0</v>
      </c>
      <c r="I52" s="910">
        <v>0</v>
      </c>
      <c r="J52" s="910">
        <v>0</v>
      </c>
      <c r="K52" s="910">
        <v>0</v>
      </c>
      <c r="L52" s="910">
        <v>0</v>
      </c>
      <c r="M52" s="910">
        <v>0</v>
      </c>
      <c r="N52" s="910">
        <v>0</v>
      </c>
      <c r="O52" s="900">
        <f>C52+D52+E52+F52+G52+H52+I52+J52+K52+L52+M52+N52</f>
        <v>0</v>
      </c>
      <c r="P52" s="900"/>
      <c r="Q52" s="898"/>
      <c r="R52" s="904" t="s">
        <v>374</v>
      </c>
      <c r="S52" s="898"/>
      <c r="T52" s="900"/>
      <c r="U52" s="900">
        <f>C52+D52+E52</f>
        <v>0</v>
      </c>
      <c r="V52" s="900">
        <f>F52+G52+H52</f>
        <v>0</v>
      </c>
      <c r="W52" s="900">
        <f>I52+J52+K52</f>
        <v>0</v>
      </c>
      <c r="X52" s="900">
        <f>L52+M52+N52</f>
        <v>0</v>
      </c>
      <c r="Y52" s="901">
        <f>SUM(F52:W52)</f>
        <v>0</v>
      </c>
    </row>
    <row r="53" spans="1:25" x14ac:dyDescent="0.2">
      <c r="A53" s="897" t="s">
        <v>228</v>
      </c>
      <c r="C53" s="910">
        <v>0</v>
      </c>
      <c r="D53" s="910">
        <v>0</v>
      </c>
      <c r="E53" s="910">
        <v>0</v>
      </c>
      <c r="F53" s="910">
        <v>0</v>
      </c>
      <c r="G53" s="910">
        <v>0</v>
      </c>
      <c r="H53" s="910">
        <v>0</v>
      </c>
      <c r="I53" s="910">
        <v>0</v>
      </c>
      <c r="J53" s="910">
        <v>0</v>
      </c>
      <c r="K53" s="910">
        <v>0</v>
      </c>
      <c r="L53" s="910">
        <v>0</v>
      </c>
      <c r="M53" s="910">
        <v>0</v>
      </c>
      <c r="N53" s="910">
        <v>0</v>
      </c>
      <c r="O53" s="900">
        <f>C53+D53+E53+F53+G53+H53+I53+J53+K53+L53+M53+N53</f>
        <v>0</v>
      </c>
      <c r="P53" s="900"/>
      <c r="Q53" s="898"/>
      <c r="R53" s="905" t="s">
        <v>374</v>
      </c>
      <c r="S53" s="898"/>
      <c r="T53" s="900"/>
      <c r="U53" s="900">
        <f>C53+D53+E53</f>
        <v>0</v>
      </c>
      <c r="V53" s="900">
        <f>F53+G53+H53</f>
        <v>0</v>
      </c>
      <c r="W53" s="900">
        <f>I53+J53+K53</f>
        <v>0</v>
      </c>
      <c r="X53" s="900">
        <f>L53+M53+N53</f>
        <v>0</v>
      </c>
      <c r="Y53" s="901">
        <f>SUM(F53:W53)</f>
        <v>0</v>
      </c>
    </row>
    <row r="54" spans="1:25" ht="6" customHeight="1" x14ac:dyDescent="0.2">
      <c r="A54" s="897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900"/>
      <c r="P54" s="900"/>
      <c r="Q54" s="898"/>
      <c r="R54" s="905"/>
      <c r="S54" s="898"/>
      <c r="T54" s="900"/>
      <c r="U54" s="900"/>
      <c r="V54" s="900"/>
      <c r="W54" s="900"/>
      <c r="X54" s="900"/>
      <c r="Y54" s="901"/>
    </row>
    <row r="55" spans="1:25" s="913" customFormat="1" ht="12.75" customHeight="1" x14ac:dyDescent="0.2">
      <c r="A55" s="912" t="s">
        <v>376</v>
      </c>
      <c r="C55" s="914">
        <f t="shared" ref="C55:O55" si="18">SUM(C7:C53)</f>
        <v>18977</v>
      </c>
      <c r="D55" s="915">
        <f t="shared" si="18"/>
        <v>21972</v>
      </c>
      <c r="E55" s="915">
        <f t="shared" si="18"/>
        <v>12569</v>
      </c>
      <c r="F55" s="915">
        <f t="shared" si="18"/>
        <v>18642</v>
      </c>
      <c r="G55" s="915">
        <f t="shared" si="18"/>
        <v>19056</v>
      </c>
      <c r="H55" s="915">
        <f t="shared" si="18"/>
        <v>17117</v>
      </c>
      <c r="I55" s="915">
        <f t="shared" si="18"/>
        <v>16876</v>
      </c>
      <c r="J55" s="915">
        <f t="shared" si="18"/>
        <v>16625</v>
      </c>
      <c r="K55" s="915">
        <f t="shared" si="18"/>
        <v>16175</v>
      </c>
      <c r="L55" s="915">
        <f t="shared" si="18"/>
        <v>16066</v>
      </c>
      <c r="M55" s="915">
        <f t="shared" si="18"/>
        <v>15064</v>
      </c>
      <c r="N55" s="915">
        <f t="shared" si="18"/>
        <v>15844</v>
      </c>
      <c r="O55" s="916">
        <f t="shared" si="18"/>
        <v>204983</v>
      </c>
      <c r="P55" s="917"/>
      <c r="Q55" s="918"/>
      <c r="R55" s="919"/>
      <c r="S55" s="918"/>
      <c r="T55" s="917"/>
      <c r="U55" s="914">
        <f>SUM(U7:U53)</f>
        <v>53518</v>
      </c>
      <c r="V55" s="915">
        <f>SUM(V7:V53)</f>
        <v>54815</v>
      </c>
      <c r="W55" s="915" t="e">
        <f>SUM(W7:W53)</f>
        <v>#REF!</v>
      </c>
      <c r="X55" s="915">
        <f>SUM(X7:X53)</f>
        <v>46974</v>
      </c>
      <c r="Y55" s="916" t="e">
        <f>SUM(Y7:Y53)</f>
        <v>#REF!</v>
      </c>
    </row>
    <row r="56" spans="1:25" s="913" customFormat="1" ht="12.75" customHeight="1" x14ac:dyDescent="0.2">
      <c r="A56" s="912"/>
      <c r="C56" s="917"/>
      <c r="D56" s="917"/>
      <c r="E56" s="917"/>
      <c r="F56" s="917"/>
      <c r="G56" s="917"/>
      <c r="H56" s="917"/>
      <c r="I56" s="917"/>
      <c r="J56" s="917"/>
      <c r="K56" s="917"/>
      <c r="L56" s="917"/>
      <c r="M56" s="917"/>
      <c r="N56" s="917"/>
      <c r="O56" s="917"/>
      <c r="P56" s="917"/>
      <c r="Q56" s="918"/>
      <c r="R56" s="919"/>
      <c r="S56" s="918"/>
      <c r="T56" s="917"/>
      <c r="U56" s="917"/>
      <c r="V56" s="917"/>
      <c r="W56" s="917"/>
      <c r="X56" s="917"/>
      <c r="Y56" s="917"/>
    </row>
    <row r="57" spans="1:25" s="913" customFormat="1" ht="12.75" customHeight="1" x14ac:dyDescent="0.2">
      <c r="A57" s="912"/>
      <c r="C57" s="917"/>
      <c r="D57" s="917"/>
      <c r="E57" s="917"/>
      <c r="F57" s="917"/>
      <c r="G57" s="917"/>
      <c r="H57" s="917"/>
      <c r="I57" s="917"/>
      <c r="J57" s="917"/>
      <c r="K57" s="917"/>
      <c r="L57" s="917"/>
      <c r="M57" s="917"/>
      <c r="N57" s="917"/>
      <c r="O57" s="917"/>
      <c r="P57" s="917"/>
      <c r="Q57" s="918"/>
      <c r="R57" s="919"/>
      <c r="S57" s="918"/>
      <c r="T57" s="917"/>
      <c r="U57" s="917"/>
      <c r="V57" s="917"/>
      <c r="W57" s="917"/>
      <c r="X57" s="917"/>
      <c r="Y57" s="917"/>
    </row>
    <row r="58" spans="1:25" x14ac:dyDescent="0.2">
      <c r="A58" s="896" t="s">
        <v>377</v>
      </c>
      <c r="C58" s="901"/>
      <c r="D58" s="901"/>
      <c r="E58" s="901"/>
      <c r="F58" s="901"/>
      <c r="G58" s="901"/>
      <c r="H58" s="901"/>
      <c r="I58" s="901"/>
      <c r="J58" s="901"/>
      <c r="K58" s="901"/>
      <c r="L58" s="901"/>
      <c r="M58" s="901"/>
      <c r="N58" s="901"/>
      <c r="O58" s="900"/>
      <c r="P58" s="900"/>
      <c r="Q58" s="898"/>
      <c r="R58" s="901"/>
      <c r="S58" s="898"/>
      <c r="T58" s="900"/>
      <c r="U58" s="900"/>
      <c r="V58" s="900"/>
      <c r="W58" s="900"/>
      <c r="X58" s="900"/>
      <c r="Y58" s="901"/>
    </row>
    <row r="59" spans="1:25" x14ac:dyDescent="0.2">
      <c r="A59" s="897" t="s">
        <v>382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293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98"/>
      <c r="R59" s="899" t="s">
        <v>379</v>
      </c>
      <c r="S59" s="898"/>
      <c r="T59" s="118"/>
      <c r="U59" s="900">
        <f>C59+D59+E59</f>
        <v>-30</v>
      </c>
      <c r="V59" s="900">
        <f>F59+G59+H59</f>
        <v>-30</v>
      </c>
      <c r="W59" s="900">
        <f>I59+J59+K59</f>
        <v>-30</v>
      </c>
      <c r="X59" s="900">
        <f>L59+M59+N59</f>
        <v>-30</v>
      </c>
      <c r="Y59" s="901">
        <f>SUM(U59:X59)</f>
        <v>-120</v>
      </c>
    </row>
    <row r="60" spans="1:25" x14ac:dyDescent="0.2">
      <c r="A60" s="897" t="s">
        <v>381</v>
      </c>
      <c r="C60" s="293">
        <v>-97</v>
      </c>
      <c r="D60" s="293">
        <v>-97</v>
      </c>
      <c r="E60" s="293">
        <v>-678</v>
      </c>
      <c r="F60" s="293">
        <v>0</v>
      </c>
      <c r="G60" s="293">
        <v>0</v>
      </c>
      <c r="H60" s="293">
        <v>0</v>
      </c>
      <c r="I60" s="293">
        <v>0</v>
      </c>
      <c r="J60" s="293">
        <v>0</v>
      </c>
      <c r="K60" s="293">
        <v>0</v>
      </c>
      <c r="L60" s="293">
        <v>-109</v>
      </c>
      <c r="M60" s="293">
        <v>-109</v>
      </c>
      <c r="N60" s="293">
        <v>-109</v>
      </c>
      <c r="O60" s="118">
        <f t="shared" ref="O60:O77" si="19">SUM(C60:N60)</f>
        <v>-1199</v>
      </c>
      <c r="P60" s="118"/>
      <c r="Q60" s="898"/>
      <c r="R60" s="903" t="s">
        <v>379</v>
      </c>
      <c r="S60" s="898"/>
      <c r="T60" s="118"/>
      <c r="U60" s="900">
        <f t="shared" ref="U60:U77" si="20">C60+D60+E60</f>
        <v>-872</v>
      </c>
      <c r="V60" s="900">
        <f t="shared" ref="V60:V77" si="21">F60+G60+H60</f>
        <v>0</v>
      </c>
      <c r="W60" s="900">
        <f t="shared" ref="W60:W77" si="22">I60+J60+K60</f>
        <v>0</v>
      </c>
      <c r="X60" s="900">
        <f t="shared" ref="X60:X77" si="23">L60+M60+N60</f>
        <v>-327</v>
      </c>
      <c r="Y60" s="901">
        <f t="shared" ref="Y60:Y77" si="24">SUM(U60:X60)</f>
        <v>-1199</v>
      </c>
    </row>
    <row r="61" spans="1:25" x14ac:dyDescent="0.2">
      <c r="A61" s="897" t="s">
        <v>378</v>
      </c>
      <c r="C61" s="533">
        <v>-238</v>
      </c>
      <c r="D61" s="533">
        <v>-175</v>
      </c>
      <c r="E61" s="533">
        <v>-195</v>
      </c>
      <c r="F61" s="533">
        <v>-176</v>
      </c>
      <c r="G61" s="533">
        <v>-169</v>
      </c>
      <c r="H61" s="533">
        <v>-150</v>
      </c>
      <c r="I61" s="533">
        <v>-157</v>
      </c>
      <c r="J61" s="533">
        <v>-162</v>
      </c>
      <c r="K61" s="533">
        <v>-228</v>
      </c>
      <c r="L61" s="533">
        <v>-243</v>
      </c>
      <c r="M61" s="533">
        <v>-239</v>
      </c>
      <c r="N61" s="533">
        <v>-267</v>
      </c>
      <c r="O61" s="118">
        <f>SUM(C61:N61)</f>
        <v>-2399</v>
      </c>
      <c r="P61" s="118"/>
      <c r="Q61" s="898"/>
      <c r="R61" s="899" t="s">
        <v>379</v>
      </c>
      <c r="S61" s="898"/>
      <c r="T61" s="118"/>
      <c r="U61" s="900">
        <f>C61+D61+E61</f>
        <v>-608</v>
      </c>
      <c r="V61" s="900">
        <f>F61+G61+H61</f>
        <v>-495</v>
      </c>
      <c r="W61" s="900">
        <f>I61+J61+K61</f>
        <v>-547</v>
      </c>
      <c r="X61" s="900">
        <f>L61+M61+N61</f>
        <v>-749</v>
      </c>
      <c r="Y61" s="901">
        <f>SUM(U61:X61)</f>
        <v>-2399</v>
      </c>
    </row>
    <row r="62" spans="1:25" x14ac:dyDescent="0.2">
      <c r="A62" s="897" t="s">
        <v>380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98"/>
      <c r="R62" s="903" t="s">
        <v>379</v>
      </c>
      <c r="S62" s="898"/>
      <c r="T62" s="118"/>
      <c r="U62" s="900">
        <f>C62+D62+E62</f>
        <v>0</v>
      </c>
      <c r="V62" s="900">
        <f>F62+G62+H62</f>
        <v>0</v>
      </c>
      <c r="W62" s="900">
        <f>I62+J62+K62</f>
        <v>0</v>
      </c>
      <c r="X62" s="900">
        <f>L62+M62+N62</f>
        <v>0</v>
      </c>
      <c r="Y62" s="901">
        <f>SUM(U62:X62)</f>
        <v>0</v>
      </c>
    </row>
    <row r="63" spans="1:25" x14ac:dyDescent="0.2">
      <c r="A63" s="897" t="s">
        <v>229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293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98"/>
      <c r="R63" s="899" t="s">
        <v>379</v>
      </c>
      <c r="S63" s="898"/>
      <c r="T63" s="118"/>
      <c r="U63" s="900">
        <f>C63+D63+E63</f>
        <v>-322</v>
      </c>
      <c r="V63" s="900">
        <f>F63+G63+H63</f>
        <v>-321</v>
      </c>
      <c r="W63" s="900">
        <f>I63+J63+K63</f>
        <v>-321</v>
      </c>
      <c r="X63" s="900">
        <f>L63+M63+N63</f>
        <v>-321</v>
      </c>
      <c r="Y63" s="901">
        <f>SUM(U63:X63)</f>
        <v>-1285</v>
      </c>
    </row>
    <row r="64" spans="1:25" x14ac:dyDescent="0.2">
      <c r="A64" s="897" t="s">
        <v>230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19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98"/>
      <c r="R64" s="903" t="s">
        <v>379</v>
      </c>
      <c r="S64" s="898"/>
      <c r="T64" s="118"/>
      <c r="U64" s="900">
        <f>C64+D64+E64</f>
        <v>-12</v>
      </c>
      <c r="V64" s="900">
        <f>F64+G64+H64</f>
        <v>-12</v>
      </c>
      <c r="W64" s="900">
        <f>I64+J64+K64</f>
        <v>-12</v>
      </c>
      <c r="X64" s="900">
        <f>L64+M64+N64</f>
        <v>-12</v>
      </c>
      <c r="Y64" s="901">
        <f>SUM(U64:X64)</f>
        <v>-48</v>
      </c>
    </row>
    <row r="65" spans="1:25" x14ac:dyDescent="0.2">
      <c r="A65" s="897" t="s">
        <v>464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293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19"/>
        <v>-361</v>
      </c>
      <c r="P65" s="118"/>
      <c r="Q65" s="898"/>
      <c r="R65" s="899" t="s">
        <v>379</v>
      </c>
      <c r="S65" s="898"/>
      <c r="T65" s="118"/>
      <c r="U65" s="900">
        <f t="shared" si="20"/>
        <v>-91</v>
      </c>
      <c r="V65" s="900">
        <f t="shared" si="21"/>
        <v>-90</v>
      </c>
      <c r="W65" s="900">
        <f t="shared" si="22"/>
        <v>-90</v>
      </c>
      <c r="X65" s="900">
        <f t="shared" si="23"/>
        <v>-90</v>
      </c>
      <c r="Y65" s="901">
        <f t="shared" si="24"/>
        <v>-361</v>
      </c>
    </row>
    <row r="66" spans="1:25" x14ac:dyDescent="0.2">
      <c r="A66" s="897" t="s">
        <v>465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293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19"/>
        <v>-508</v>
      </c>
      <c r="P66" s="118"/>
      <c r="Q66" s="898"/>
      <c r="R66" s="903" t="s">
        <v>379</v>
      </c>
      <c r="S66" s="898"/>
      <c r="T66" s="118"/>
      <c r="U66" s="900">
        <f t="shared" si="20"/>
        <v>-126</v>
      </c>
      <c r="V66" s="900">
        <f t="shared" si="21"/>
        <v>-126</v>
      </c>
      <c r="W66" s="900">
        <f t="shared" si="22"/>
        <v>-127</v>
      </c>
      <c r="X66" s="900">
        <f t="shared" si="23"/>
        <v>-129</v>
      </c>
      <c r="Y66" s="901">
        <f t="shared" si="24"/>
        <v>-508</v>
      </c>
    </row>
    <row r="67" spans="1:25" x14ac:dyDescent="0.2">
      <c r="A67" s="897" t="s">
        <v>466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293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19"/>
        <v>-122</v>
      </c>
      <c r="P67" s="118"/>
      <c r="Q67" s="898"/>
      <c r="R67" s="903" t="s">
        <v>379</v>
      </c>
      <c r="S67" s="898"/>
      <c r="T67" s="118"/>
      <c r="U67" s="900">
        <f t="shared" si="20"/>
        <v>-30</v>
      </c>
      <c r="V67" s="900">
        <f t="shared" si="21"/>
        <v>-30</v>
      </c>
      <c r="W67" s="900">
        <f t="shared" si="22"/>
        <v>-31</v>
      </c>
      <c r="X67" s="900">
        <f t="shared" si="23"/>
        <v>-31</v>
      </c>
      <c r="Y67" s="901">
        <f t="shared" si="24"/>
        <v>-122</v>
      </c>
    </row>
    <row r="68" spans="1:25" x14ac:dyDescent="0.2">
      <c r="A68" s="897" t="s">
        <v>467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293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19"/>
        <v>-375</v>
      </c>
      <c r="P68" s="118"/>
      <c r="Q68" s="898"/>
      <c r="R68" s="903" t="s">
        <v>379</v>
      </c>
      <c r="S68" s="898"/>
      <c r="T68" s="118"/>
      <c r="U68" s="900">
        <f t="shared" si="20"/>
        <v>-93</v>
      </c>
      <c r="V68" s="900">
        <f t="shared" si="21"/>
        <v>-93</v>
      </c>
      <c r="W68" s="900">
        <f t="shared" si="22"/>
        <v>-94</v>
      </c>
      <c r="X68" s="900">
        <f t="shared" si="23"/>
        <v>-95</v>
      </c>
      <c r="Y68" s="901">
        <f t="shared" si="24"/>
        <v>-375</v>
      </c>
    </row>
    <row r="69" spans="1:25" x14ac:dyDescent="0.2">
      <c r="A69" s="897" t="s">
        <v>468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293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19"/>
        <v>-539</v>
      </c>
      <c r="P69" s="118"/>
      <c r="Q69" s="898"/>
      <c r="R69" s="903" t="s">
        <v>379</v>
      </c>
      <c r="S69" s="898"/>
      <c r="T69" s="118"/>
      <c r="U69" s="900">
        <f t="shared" si="20"/>
        <v>-135</v>
      </c>
      <c r="V69" s="900">
        <f t="shared" si="21"/>
        <v>-135</v>
      </c>
      <c r="W69" s="900">
        <f t="shared" si="22"/>
        <v>-135</v>
      </c>
      <c r="X69" s="900">
        <f t="shared" si="23"/>
        <v>-134</v>
      </c>
      <c r="Y69" s="901">
        <f t="shared" si="24"/>
        <v>-539</v>
      </c>
    </row>
    <row r="70" spans="1:25" x14ac:dyDescent="0.2">
      <c r="A70" s="897" t="s">
        <v>469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293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19"/>
        <v>-634</v>
      </c>
      <c r="P70" s="118"/>
      <c r="Q70" s="898"/>
      <c r="R70" s="903" t="s">
        <v>379</v>
      </c>
      <c r="S70" s="898"/>
      <c r="T70" s="118"/>
      <c r="U70" s="900">
        <f t="shared" si="20"/>
        <v>-159</v>
      </c>
      <c r="V70" s="900">
        <f t="shared" si="21"/>
        <v>-159</v>
      </c>
      <c r="W70" s="900">
        <f t="shared" si="22"/>
        <v>-158</v>
      </c>
      <c r="X70" s="900">
        <f t="shared" si="23"/>
        <v>-158</v>
      </c>
      <c r="Y70" s="901">
        <f t="shared" si="24"/>
        <v>-634</v>
      </c>
    </row>
    <row r="71" spans="1:25" x14ac:dyDescent="0.2">
      <c r="A71" s="897" t="s">
        <v>470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293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19"/>
        <v>-130</v>
      </c>
      <c r="P71" s="118"/>
      <c r="Q71" s="898"/>
      <c r="R71" s="903" t="s">
        <v>379</v>
      </c>
      <c r="S71" s="898"/>
      <c r="T71" s="118"/>
      <c r="U71" s="900">
        <f t="shared" si="20"/>
        <v>-33</v>
      </c>
      <c r="V71" s="900">
        <f t="shared" si="21"/>
        <v>-33</v>
      </c>
      <c r="W71" s="900">
        <f t="shared" si="22"/>
        <v>-32</v>
      </c>
      <c r="X71" s="900">
        <f t="shared" si="23"/>
        <v>-32</v>
      </c>
      <c r="Y71" s="901">
        <f t="shared" si="24"/>
        <v>-130</v>
      </c>
    </row>
    <row r="72" spans="1:25" x14ac:dyDescent="0.2">
      <c r="A72" s="897" t="s">
        <v>471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293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19"/>
        <v>-84</v>
      </c>
      <c r="P72" s="118"/>
      <c r="Q72" s="898"/>
      <c r="R72" s="903" t="s">
        <v>379</v>
      </c>
      <c r="S72" s="898"/>
      <c r="T72" s="118"/>
      <c r="U72" s="900">
        <f t="shared" si="20"/>
        <v>-21</v>
      </c>
      <c r="V72" s="900">
        <f t="shared" si="21"/>
        <v>-21</v>
      </c>
      <c r="W72" s="900">
        <f t="shared" si="22"/>
        <v>-21</v>
      </c>
      <c r="X72" s="900">
        <f t="shared" si="23"/>
        <v>-21</v>
      </c>
      <c r="Y72" s="901">
        <f t="shared" si="24"/>
        <v>-84</v>
      </c>
    </row>
    <row r="73" spans="1:25" x14ac:dyDescent="0.2">
      <c r="A73" s="897" t="s">
        <v>472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293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98"/>
      <c r="R73" s="903" t="s">
        <v>379</v>
      </c>
      <c r="S73" s="898"/>
      <c r="T73" s="118"/>
      <c r="U73" s="900">
        <f>C73+D73+E73</f>
        <v>-21</v>
      </c>
      <c r="V73" s="900">
        <f>F73+G73+H73</f>
        <v>-21</v>
      </c>
      <c r="W73" s="900">
        <f>I73+J73+K73</f>
        <v>-22</v>
      </c>
      <c r="X73" s="900">
        <f>L73+M73+N73</f>
        <v>-23</v>
      </c>
      <c r="Y73" s="901">
        <f>SUM(U73:X73)</f>
        <v>-87</v>
      </c>
    </row>
    <row r="74" spans="1:25" x14ac:dyDescent="0.2">
      <c r="A74" s="897" t="s">
        <v>473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293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98"/>
      <c r="R74" s="903" t="s">
        <v>379</v>
      </c>
      <c r="S74" s="898"/>
      <c r="T74" s="118"/>
      <c r="U74" s="900">
        <f>C74+D74+E74</f>
        <v>-114</v>
      </c>
      <c r="V74" s="900">
        <f>F74+G74+H74</f>
        <v>-114</v>
      </c>
      <c r="W74" s="900">
        <f>I74+J74+K74</f>
        <v>-114</v>
      </c>
      <c r="X74" s="900">
        <f>L74+M74+N74</f>
        <v>-113</v>
      </c>
      <c r="Y74" s="901">
        <f>SUM(U74:X74)</f>
        <v>-455</v>
      </c>
    </row>
    <row r="75" spans="1:25" x14ac:dyDescent="0.2">
      <c r="A75" s="897" t="s">
        <v>383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19"/>
        <v>0</v>
      </c>
      <c r="P75" s="118"/>
      <c r="Q75" s="898"/>
      <c r="R75" s="899" t="s">
        <v>379</v>
      </c>
      <c r="S75" s="898"/>
      <c r="T75" s="118"/>
      <c r="U75" s="900">
        <f t="shared" si="20"/>
        <v>0</v>
      </c>
      <c r="V75" s="900">
        <f t="shared" si="21"/>
        <v>0</v>
      </c>
      <c r="W75" s="900">
        <f t="shared" si="22"/>
        <v>0</v>
      </c>
      <c r="X75" s="900">
        <f t="shared" si="23"/>
        <v>0</v>
      </c>
      <c r="Y75" s="901">
        <f t="shared" si="24"/>
        <v>0</v>
      </c>
    </row>
    <row r="76" spans="1:25" x14ac:dyDescent="0.2">
      <c r="A76" s="897" t="s">
        <v>358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19"/>
        <v>0</v>
      </c>
      <c r="P76" s="118"/>
      <c r="Q76" s="898"/>
      <c r="R76" s="903" t="s">
        <v>379</v>
      </c>
      <c r="S76" s="898"/>
      <c r="T76" s="118"/>
      <c r="U76" s="900">
        <f t="shared" si="20"/>
        <v>0</v>
      </c>
      <c r="V76" s="900">
        <f t="shared" si="21"/>
        <v>0</v>
      </c>
      <c r="W76" s="900">
        <f t="shared" si="22"/>
        <v>0</v>
      </c>
      <c r="X76" s="900">
        <f t="shared" si="23"/>
        <v>0</v>
      </c>
      <c r="Y76" s="901">
        <f t="shared" si="24"/>
        <v>0</v>
      </c>
    </row>
    <row r="77" spans="1:25" x14ac:dyDescent="0.2">
      <c r="A77" s="897" t="s">
        <v>359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301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19"/>
        <v>0</v>
      </c>
      <c r="P77" s="118"/>
      <c r="Q77" s="898"/>
      <c r="R77" s="903" t="s">
        <v>379</v>
      </c>
      <c r="S77" s="898"/>
      <c r="T77" s="118"/>
      <c r="U77" s="907">
        <f t="shared" si="20"/>
        <v>0</v>
      </c>
      <c r="V77" s="907">
        <f t="shared" si="21"/>
        <v>0</v>
      </c>
      <c r="W77" s="907">
        <f t="shared" si="22"/>
        <v>0</v>
      </c>
      <c r="X77" s="907">
        <f t="shared" si="23"/>
        <v>0</v>
      </c>
      <c r="Y77" s="908">
        <f t="shared" si="24"/>
        <v>0</v>
      </c>
    </row>
    <row r="78" spans="1:25" x14ac:dyDescent="0.2">
      <c r="A78" s="897" t="s">
        <v>384</v>
      </c>
      <c r="C78" s="920">
        <f t="shared" ref="C78:O78" si="25">SUM(C59:C77)</f>
        <v>-730</v>
      </c>
      <c r="D78" s="920">
        <f t="shared" si="25"/>
        <v>-668</v>
      </c>
      <c r="E78" s="920">
        <f t="shared" si="25"/>
        <v>-1269</v>
      </c>
      <c r="F78" s="920">
        <f t="shared" si="25"/>
        <v>-571</v>
      </c>
      <c r="G78" s="920">
        <f t="shared" si="25"/>
        <v>-564</v>
      </c>
      <c r="H78" s="920">
        <f t="shared" si="25"/>
        <v>-545</v>
      </c>
      <c r="I78" s="920">
        <f t="shared" si="25"/>
        <v>-552</v>
      </c>
      <c r="J78" s="920">
        <f t="shared" si="25"/>
        <v>-559</v>
      </c>
      <c r="K78" s="920">
        <f t="shared" si="25"/>
        <v>-623</v>
      </c>
      <c r="L78" s="920">
        <f t="shared" si="25"/>
        <v>-750</v>
      </c>
      <c r="M78" s="920">
        <f t="shared" si="25"/>
        <v>-743</v>
      </c>
      <c r="N78" s="920">
        <f t="shared" si="25"/>
        <v>-772</v>
      </c>
      <c r="O78" s="920">
        <f t="shared" si="25"/>
        <v>-8346</v>
      </c>
      <c r="P78" s="118"/>
      <c r="Q78" s="898"/>
      <c r="R78" s="903"/>
      <c r="S78" s="898"/>
      <c r="T78" s="118"/>
      <c r="U78" s="920">
        <f>SUM(U59:U77)</f>
        <v>-2667</v>
      </c>
      <c r="V78" s="920">
        <f>SUM(V59:V77)</f>
        <v>-1680</v>
      </c>
      <c r="W78" s="920">
        <f>SUM(W59:W77)</f>
        <v>-1734</v>
      </c>
      <c r="X78" s="920">
        <f>SUM(X59:X77)</f>
        <v>-2265</v>
      </c>
      <c r="Y78" s="920">
        <f>SUM(Y59:Y77)</f>
        <v>-8346</v>
      </c>
    </row>
    <row r="79" spans="1:25" x14ac:dyDescent="0.2">
      <c r="A79" s="897"/>
      <c r="C79" s="920"/>
      <c r="D79" s="920"/>
      <c r="E79" s="920"/>
      <c r="F79" s="920"/>
      <c r="G79" s="920"/>
      <c r="H79" s="920"/>
      <c r="I79" s="920"/>
      <c r="J79" s="920"/>
      <c r="K79" s="920"/>
      <c r="L79" s="920"/>
      <c r="M79" s="920"/>
      <c r="N79" s="920"/>
      <c r="O79" s="920"/>
      <c r="P79" s="118"/>
      <c r="Q79" s="898"/>
      <c r="R79" s="903"/>
      <c r="S79" s="898"/>
      <c r="T79" s="118"/>
      <c r="U79" s="920"/>
      <c r="V79" s="920"/>
      <c r="W79" s="920"/>
      <c r="X79" s="920"/>
      <c r="Y79" s="920"/>
    </row>
    <row r="80" spans="1:25" x14ac:dyDescent="0.2">
      <c r="A80" s="897"/>
      <c r="C80" s="920"/>
      <c r="D80" s="920"/>
      <c r="E80" s="920"/>
      <c r="F80" s="920"/>
      <c r="G80" s="920"/>
      <c r="H80" s="920"/>
      <c r="I80" s="920"/>
      <c r="J80" s="920"/>
      <c r="K80" s="920"/>
      <c r="L80" s="920"/>
      <c r="M80" s="920"/>
      <c r="N80" s="920"/>
      <c r="O80" s="920"/>
      <c r="P80" s="118"/>
      <c r="Q80" s="898"/>
      <c r="R80" s="903"/>
      <c r="S80" s="898"/>
      <c r="T80" s="118"/>
      <c r="U80" s="920"/>
      <c r="V80" s="920"/>
      <c r="W80" s="920"/>
      <c r="X80" s="920"/>
      <c r="Y80" s="920"/>
    </row>
    <row r="81" spans="1:25" x14ac:dyDescent="0.2">
      <c r="A81" s="897"/>
      <c r="C81" s="920"/>
      <c r="D81" s="920"/>
      <c r="E81" s="920"/>
      <c r="F81" s="920"/>
      <c r="G81" s="920"/>
      <c r="H81" s="920"/>
      <c r="I81" s="920"/>
      <c r="J81" s="920"/>
      <c r="K81" s="920"/>
      <c r="L81" s="920"/>
      <c r="M81" s="920"/>
      <c r="N81" s="920"/>
      <c r="O81" s="920"/>
      <c r="P81" s="118"/>
      <c r="Q81" s="898"/>
      <c r="R81" s="903"/>
      <c r="S81" s="898"/>
      <c r="T81" s="118"/>
      <c r="U81" s="920"/>
      <c r="V81" s="920"/>
      <c r="W81" s="920"/>
      <c r="X81" s="920"/>
      <c r="Y81" s="920"/>
    </row>
    <row r="82" spans="1:25" x14ac:dyDescent="0.2">
      <c r="A82" s="897" t="s">
        <v>232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9">
        <f t="shared" ref="O82:O92" si="26">SUM(C82:N82)</f>
        <v>0</v>
      </c>
      <c r="P82" s="359"/>
      <c r="Q82" s="898"/>
      <c r="R82" s="904" t="s">
        <v>364</v>
      </c>
      <c r="S82" s="898"/>
      <c r="T82" s="359"/>
      <c r="U82" s="900">
        <f t="shared" ref="U82:U92" si="27">C82+D82+E82</f>
        <v>0</v>
      </c>
      <c r="V82" s="900">
        <f t="shared" ref="V82:V92" si="28">F82+G82+H82</f>
        <v>0</v>
      </c>
      <c r="W82" s="900">
        <f t="shared" ref="W82:W92" si="29">I82+J82+K82</f>
        <v>0</v>
      </c>
      <c r="X82" s="900">
        <f t="shared" ref="X82:X92" si="30">L82+M82+N82</f>
        <v>0</v>
      </c>
      <c r="Y82" s="901">
        <f t="shared" ref="Y82:Y92" si="31">SUM(U82:X82)</f>
        <v>0</v>
      </c>
    </row>
    <row r="83" spans="1:25" x14ac:dyDescent="0.2">
      <c r="A83" s="897" t="s">
        <v>359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9">
        <f t="shared" si="26"/>
        <v>0</v>
      </c>
      <c r="P83" s="359"/>
      <c r="Q83" s="898"/>
      <c r="R83" s="905" t="s">
        <v>364</v>
      </c>
      <c r="S83" s="898"/>
      <c r="T83" s="359"/>
      <c r="U83" s="900">
        <f t="shared" si="27"/>
        <v>0</v>
      </c>
      <c r="V83" s="900">
        <f t="shared" si="28"/>
        <v>0</v>
      </c>
      <c r="W83" s="900">
        <f t="shared" si="29"/>
        <v>0</v>
      </c>
      <c r="X83" s="900">
        <f t="shared" si="30"/>
        <v>0</v>
      </c>
      <c r="Y83" s="901">
        <f t="shared" si="31"/>
        <v>0</v>
      </c>
    </row>
    <row r="84" spans="1:25" x14ac:dyDescent="0.2">
      <c r="A84" s="897" t="s">
        <v>369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9">
        <f t="shared" si="26"/>
        <v>0</v>
      </c>
      <c r="P84" s="359"/>
      <c r="Q84" s="898"/>
      <c r="R84" s="905" t="s">
        <v>364</v>
      </c>
      <c r="S84" s="898"/>
      <c r="T84" s="359"/>
      <c r="U84" s="900">
        <f t="shared" si="27"/>
        <v>0</v>
      </c>
      <c r="V84" s="900">
        <f t="shared" si="28"/>
        <v>0</v>
      </c>
      <c r="W84" s="900">
        <f t="shared" si="29"/>
        <v>0</v>
      </c>
      <c r="X84" s="900">
        <f t="shared" si="30"/>
        <v>0</v>
      </c>
      <c r="Y84" s="901">
        <f t="shared" si="31"/>
        <v>0</v>
      </c>
    </row>
    <row r="85" spans="1:25" ht="6" customHeight="1" x14ac:dyDescent="0.2">
      <c r="A85" s="897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9"/>
      <c r="P85" s="359"/>
      <c r="Q85" s="898"/>
      <c r="R85" s="905"/>
      <c r="S85" s="898"/>
      <c r="T85" s="359"/>
      <c r="U85" s="900"/>
      <c r="V85" s="900"/>
      <c r="W85" s="900"/>
      <c r="X85" s="900"/>
      <c r="Y85" s="901"/>
    </row>
    <row r="86" spans="1:25" ht="12.75" customHeight="1" x14ac:dyDescent="0.2">
      <c r="A86" s="897" t="s">
        <v>385</v>
      </c>
      <c r="C86" s="702">
        <v>-157</v>
      </c>
      <c r="D86" s="702">
        <v>-168</v>
      </c>
      <c r="E86" s="702">
        <f>-326</f>
        <v>-326</v>
      </c>
      <c r="F86" s="702">
        <v>-212</v>
      </c>
      <c r="G86" s="702">
        <v>-157</v>
      </c>
      <c r="H86" s="702">
        <v>-228</v>
      </c>
      <c r="I86" s="702">
        <v>-30</v>
      </c>
      <c r="J86" s="702">
        <v>-109</v>
      </c>
      <c r="K86" s="702">
        <v>-160</v>
      </c>
      <c r="L86" s="702">
        <v>-153</v>
      </c>
      <c r="M86" s="702">
        <v>-152</v>
      </c>
      <c r="N86" s="702">
        <v>-153</v>
      </c>
      <c r="O86" s="693">
        <f t="shared" si="26"/>
        <v>-2005</v>
      </c>
      <c r="P86" s="693"/>
      <c r="Q86" s="898"/>
      <c r="R86" s="904" t="s">
        <v>386</v>
      </c>
      <c r="S86" s="898"/>
      <c r="T86" s="693"/>
      <c r="U86" s="900">
        <f t="shared" si="27"/>
        <v>-651</v>
      </c>
      <c r="V86" s="900">
        <f t="shared" si="28"/>
        <v>-597</v>
      </c>
      <c r="W86" s="900">
        <f t="shared" si="29"/>
        <v>-299</v>
      </c>
      <c r="X86" s="900">
        <f t="shared" si="30"/>
        <v>-458</v>
      </c>
      <c r="Y86" s="901">
        <f t="shared" si="31"/>
        <v>-2005</v>
      </c>
    </row>
    <row r="87" spans="1:25" x14ac:dyDescent="0.2">
      <c r="A87" s="897" t="s">
        <v>387</v>
      </c>
      <c r="C87" s="910">
        <v>0</v>
      </c>
      <c r="D87" s="910">
        <v>0</v>
      </c>
      <c r="E87" s="910">
        <v>0</v>
      </c>
      <c r="F87" s="910">
        <v>0</v>
      </c>
      <c r="G87" s="910">
        <v>0</v>
      </c>
      <c r="H87" s="910">
        <v>0</v>
      </c>
      <c r="I87" s="910">
        <v>0</v>
      </c>
      <c r="J87" s="910">
        <v>0</v>
      </c>
      <c r="K87" s="910">
        <v>0</v>
      </c>
      <c r="L87" s="910">
        <v>0</v>
      </c>
      <c r="M87" s="910">
        <v>0</v>
      </c>
      <c r="N87" s="910">
        <v>0</v>
      </c>
      <c r="O87" s="693">
        <f t="shared" si="26"/>
        <v>0</v>
      </c>
      <c r="P87" s="693"/>
      <c r="Q87" s="898"/>
      <c r="R87" s="904" t="s">
        <v>386</v>
      </c>
      <c r="S87" s="898"/>
      <c r="T87" s="693"/>
      <c r="U87" s="900">
        <f t="shared" si="27"/>
        <v>0</v>
      </c>
      <c r="V87" s="900">
        <f t="shared" si="28"/>
        <v>0</v>
      </c>
      <c r="W87" s="900">
        <f t="shared" si="29"/>
        <v>0</v>
      </c>
      <c r="X87" s="900">
        <f t="shared" si="30"/>
        <v>0</v>
      </c>
      <c r="Y87" s="901">
        <f t="shared" si="31"/>
        <v>0</v>
      </c>
    </row>
    <row r="88" spans="1:25" x14ac:dyDescent="0.2">
      <c r="A88" s="897" t="s">
        <v>388</v>
      </c>
      <c r="C88" s="910">
        <v>0</v>
      </c>
      <c r="D88" s="910">
        <v>0</v>
      </c>
      <c r="E88" s="910">
        <v>0</v>
      </c>
      <c r="F88" s="910">
        <v>0</v>
      </c>
      <c r="G88" s="910">
        <v>0</v>
      </c>
      <c r="H88" s="910">
        <v>0</v>
      </c>
      <c r="I88" s="910">
        <v>0</v>
      </c>
      <c r="J88" s="910">
        <v>0</v>
      </c>
      <c r="K88" s="910">
        <v>0</v>
      </c>
      <c r="L88" s="910">
        <v>0</v>
      </c>
      <c r="M88" s="910">
        <v>0</v>
      </c>
      <c r="N88" s="910">
        <v>0</v>
      </c>
      <c r="O88" s="693">
        <f t="shared" si="26"/>
        <v>0</v>
      </c>
      <c r="P88" s="693"/>
      <c r="Q88" s="898"/>
      <c r="R88" s="904" t="s">
        <v>386</v>
      </c>
      <c r="S88" s="898"/>
      <c r="T88" s="693"/>
      <c r="U88" s="900">
        <f t="shared" si="27"/>
        <v>0</v>
      </c>
      <c r="V88" s="900">
        <f t="shared" si="28"/>
        <v>0</v>
      </c>
      <c r="W88" s="900">
        <f t="shared" si="29"/>
        <v>0</v>
      </c>
      <c r="X88" s="900">
        <f t="shared" si="30"/>
        <v>0</v>
      </c>
      <c r="Y88" s="901">
        <f t="shared" si="31"/>
        <v>0</v>
      </c>
    </row>
    <row r="89" spans="1:25" x14ac:dyDescent="0.2">
      <c r="A89" s="897" t="s">
        <v>389</v>
      </c>
      <c r="C89" s="910">
        <v>0</v>
      </c>
      <c r="D89" s="910">
        <v>0</v>
      </c>
      <c r="E89" s="910">
        <v>0</v>
      </c>
      <c r="F89" s="910">
        <v>-100</v>
      </c>
      <c r="G89" s="910">
        <v>0</v>
      </c>
      <c r="H89" s="910">
        <v>0</v>
      </c>
      <c r="I89" s="910">
        <v>0</v>
      </c>
      <c r="J89" s="910">
        <v>0</v>
      </c>
      <c r="K89" s="910">
        <v>0</v>
      </c>
      <c r="L89" s="910">
        <v>0</v>
      </c>
      <c r="M89" s="910">
        <v>0</v>
      </c>
      <c r="N89" s="910">
        <v>-60</v>
      </c>
      <c r="O89" s="693">
        <f t="shared" si="26"/>
        <v>-160</v>
      </c>
      <c r="P89" s="693"/>
      <c r="Q89" s="898"/>
      <c r="R89" s="904" t="s">
        <v>386</v>
      </c>
      <c r="S89" s="898"/>
      <c r="T89" s="693"/>
      <c r="U89" s="900">
        <f t="shared" si="27"/>
        <v>0</v>
      </c>
      <c r="V89" s="900">
        <f t="shared" si="28"/>
        <v>-100</v>
      </c>
      <c r="W89" s="900">
        <f t="shared" si="29"/>
        <v>0</v>
      </c>
      <c r="X89" s="900">
        <f t="shared" si="30"/>
        <v>-60</v>
      </c>
      <c r="Y89" s="901">
        <f t="shared" si="31"/>
        <v>-160</v>
      </c>
    </row>
    <row r="90" spans="1:25" x14ac:dyDescent="0.2">
      <c r="A90" s="897" t="s">
        <v>390</v>
      </c>
      <c r="C90" s="910">
        <v>0</v>
      </c>
      <c r="D90" s="910">
        <v>0</v>
      </c>
      <c r="E90" s="910">
        <v>0</v>
      </c>
      <c r="F90" s="910">
        <v>0</v>
      </c>
      <c r="G90" s="910">
        <v>0</v>
      </c>
      <c r="H90" s="910">
        <v>0</v>
      </c>
      <c r="I90" s="910">
        <v>0</v>
      </c>
      <c r="J90" s="910">
        <v>0</v>
      </c>
      <c r="K90" s="910">
        <v>0</v>
      </c>
      <c r="L90" s="910">
        <v>0</v>
      </c>
      <c r="M90" s="910">
        <v>0</v>
      </c>
      <c r="N90" s="910">
        <v>0</v>
      </c>
      <c r="O90" s="693">
        <f t="shared" si="26"/>
        <v>0</v>
      </c>
      <c r="P90" s="693"/>
      <c r="Q90" s="898"/>
      <c r="R90" s="904" t="s">
        <v>386</v>
      </c>
      <c r="S90" s="898"/>
      <c r="T90" s="693"/>
      <c r="U90" s="900">
        <f t="shared" si="27"/>
        <v>0</v>
      </c>
      <c r="V90" s="900">
        <f t="shared" si="28"/>
        <v>0</v>
      </c>
      <c r="W90" s="900">
        <f t="shared" si="29"/>
        <v>0</v>
      </c>
      <c r="X90" s="900">
        <f t="shared" si="30"/>
        <v>0</v>
      </c>
      <c r="Y90" s="901">
        <f t="shared" si="31"/>
        <v>0</v>
      </c>
    </row>
    <row r="91" spans="1:25" x14ac:dyDescent="0.2">
      <c r="A91" s="897" t="s">
        <v>391</v>
      </c>
      <c r="C91" s="910">
        <v>0</v>
      </c>
      <c r="D91" s="910">
        <v>0</v>
      </c>
      <c r="E91" s="910">
        <v>0</v>
      </c>
      <c r="F91" s="910">
        <v>0</v>
      </c>
      <c r="G91" s="910">
        <v>0</v>
      </c>
      <c r="H91" s="910">
        <v>0</v>
      </c>
      <c r="I91" s="910">
        <v>0</v>
      </c>
      <c r="J91" s="910">
        <v>0</v>
      </c>
      <c r="K91" s="910">
        <v>-7</v>
      </c>
      <c r="L91" s="910">
        <v>-7</v>
      </c>
      <c r="M91" s="910">
        <v>-7</v>
      </c>
      <c r="N91" s="910">
        <v>-7</v>
      </c>
      <c r="O91" s="693">
        <f t="shared" si="26"/>
        <v>-28</v>
      </c>
      <c r="P91" s="693"/>
      <c r="Q91" s="898"/>
      <c r="R91" s="904" t="s">
        <v>386</v>
      </c>
      <c r="S91" s="898"/>
      <c r="T91" s="693"/>
      <c r="U91" s="900">
        <f t="shared" si="27"/>
        <v>0</v>
      </c>
      <c r="V91" s="900">
        <f t="shared" si="28"/>
        <v>0</v>
      </c>
      <c r="W91" s="900">
        <f t="shared" si="29"/>
        <v>-7</v>
      </c>
      <c r="X91" s="900">
        <f t="shared" si="30"/>
        <v>-21</v>
      </c>
      <c r="Y91" s="901">
        <f t="shared" si="31"/>
        <v>-28</v>
      </c>
    </row>
    <row r="92" spans="1:25" x14ac:dyDescent="0.2">
      <c r="A92" s="897" t="s">
        <v>392</v>
      </c>
      <c r="C92" s="922">
        <v>0</v>
      </c>
      <c r="D92" s="922">
        <v>0</v>
      </c>
      <c r="E92" s="922">
        <v>0</v>
      </c>
      <c r="F92" s="922">
        <v>0</v>
      </c>
      <c r="G92" s="922">
        <v>0</v>
      </c>
      <c r="H92" s="922">
        <v>0</v>
      </c>
      <c r="I92" s="922">
        <v>0</v>
      </c>
      <c r="J92" s="922">
        <v>0</v>
      </c>
      <c r="K92" s="922">
        <v>0</v>
      </c>
      <c r="L92" s="922">
        <v>0</v>
      </c>
      <c r="M92" s="922">
        <v>0</v>
      </c>
      <c r="N92" s="922">
        <v>-400</v>
      </c>
      <c r="O92" s="695">
        <f t="shared" si="26"/>
        <v>-400</v>
      </c>
      <c r="P92" s="693"/>
      <c r="Q92" s="898"/>
      <c r="R92" s="904" t="s">
        <v>386</v>
      </c>
      <c r="S92" s="898"/>
      <c r="T92" s="693"/>
      <c r="U92" s="907">
        <f t="shared" si="27"/>
        <v>0</v>
      </c>
      <c r="V92" s="907">
        <f t="shared" si="28"/>
        <v>0</v>
      </c>
      <c r="W92" s="907">
        <f t="shared" si="29"/>
        <v>0</v>
      </c>
      <c r="X92" s="907">
        <f t="shared" si="30"/>
        <v>-400</v>
      </c>
      <c r="Y92" s="908">
        <f t="shared" si="31"/>
        <v>-400</v>
      </c>
    </row>
    <row r="93" spans="1:25" x14ac:dyDescent="0.2">
      <c r="A93" s="897" t="s">
        <v>393</v>
      </c>
      <c r="C93" s="908">
        <f t="shared" ref="C93:O93" si="32">SUM(C86:C92)</f>
        <v>-157</v>
      </c>
      <c r="D93" s="908">
        <f t="shared" si="32"/>
        <v>-168</v>
      </c>
      <c r="E93" s="908">
        <f t="shared" si="32"/>
        <v>-326</v>
      </c>
      <c r="F93" s="908">
        <f t="shared" si="32"/>
        <v>-312</v>
      </c>
      <c r="G93" s="908">
        <f t="shared" si="32"/>
        <v>-157</v>
      </c>
      <c r="H93" s="908">
        <f t="shared" si="32"/>
        <v>-228</v>
      </c>
      <c r="I93" s="908">
        <f t="shared" si="32"/>
        <v>-30</v>
      </c>
      <c r="J93" s="908">
        <f t="shared" si="32"/>
        <v>-109</v>
      </c>
      <c r="K93" s="908">
        <f t="shared" si="32"/>
        <v>-167</v>
      </c>
      <c r="L93" s="908">
        <f t="shared" si="32"/>
        <v>-160</v>
      </c>
      <c r="M93" s="908">
        <f t="shared" si="32"/>
        <v>-159</v>
      </c>
      <c r="N93" s="908">
        <f t="shared" si="32"/>
        <v>-620</v>
      </c>
      <c r="O93" s="908">
        <f t="shared" si="32"/>
        <v>-2593</v>
      </c>
      <c r="P93" s="693"/>
      <c r="Q93" s="898"/>
      <c r="R93" s="904"/>
      <c r="S93" s="898"/>
      <c r="T93" s="693"/>
      <c r="U93" s="908">
        <f>SUM(U86:U92)</f>
        <v>-651</v>
      </c>
      <c r="V93" s="908">
        <f>SUM(V86:V92)</f>
        <v>-697</v>
      </c>
      <c r="W93" s="908">
        <f>SUM(W86:W92)</f>
        <v>-306</v>
      </c>
      <c r="X93" s="908">
        <f>SUM(X86:X92)</f>
        <v>-939</v>
      </c>
      <c r="Y93" s="908">
        <f>SUM(Y86:Y92)</f>
        <v>-2593</v>
      </c>
    </row>
    <row r="94" spans="1:25" ht="6" customHeight="1" x14ac:dyDescent="0.2">
      <c r="A94" s="897"/>
      <c r="C94" s="910"/>
      <c r="D94" s="910"/>
      <c r="E94" s="910"/>
      <c r="F94" s="910"/>
      <c r="G94" s="910"/>
      <c r="H94" s="910"/>
      <c r="I94" s="921"/>
      <c r="J94" s="921"/>
      <c r="K94" s="921"/>
      <c r="L94" s="921"/>
      <c r="M94" s="921"/>
      <c r="N94" s="921"/>
      <c r="O94" s="693"/>
      <c r="P94" s="693"/>
      <c r="Q94" s="898"/>
      <c r="R94" s="904"/>
      <c r="S94" s="898"/>
      <c r="T94" s="693"/>
      <c r="U94" s="900"/>
      <c r="V94" s="900"/>
      <c r="W94" s="900"/>
      <c r="X94" s="900"/>
      <c r="Y94" s="901"/>
    </row>
    <row r="95" spans="1:25" x14ac:dyDescent="0.2">
      <c r="A95" s="897" t="s">
        <v>54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9">
        <f t="shared" ref="O95:O102" si="33">SUM(C95:N95)</f>
        <v>0</v>
      </c>
      <c r="P95" s="129"/>
      <c r="Q95" s="898"/>
      <c r="R95" s="903" t="s">
        <v>394</v>
      </c>
      <c r="S95" s="898"/>
      <c r="T95" s="129"/>
      <c r="U95" s="900">
        <f t="shared" ref="U95:U102" si="34">C95+D95+E95</f>
        <v>0</v>
      </c>
      <c r="V95" s="900">
        <f t="shared" ref="V95:V102" si="35">F95+G95+H95</f>
        <v>0</v>
      </c>
      <c r="W95" s="900">
        <f t="shared" ref="W95:W102" si="36">I95+J95+K95</f>
        <v>0</v>
      </c>
      <c r="X95" s="900">
        <f t="shared" ref="X95:X102" si="37">L95+M95+N95</f>
        <v>0</v>
      </c>
      <c r="Y95" s="901">
        <f t="shared" ref="Y95:Y102" si="38">SUM(U95:X95)</f>
        <v>0</v>
      </c>
    </row>
    <row r="96" spans="1:25" ht="6" customHeight="1" x14ac:dyDescent="0.2">
      <c r="A96" s="897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98"/>
      <c r="R96" s="903"/>
      <c r="S96" s="898"/>
      <c r="T96" s="129"/>
      <c r="U96" s="900"/>
      <c r="V96" s="900"/>
      <c r="W96" s="900"/>
      <c r="X96" s="900"/>
      <c r="Y96" s="901"/>
    </row>
    <row r="97" spans="1:25" s="913" customFormat="1" ht="12.75" customHeight="1" x14ac:dyDescent="0.2">
      <c r="A97" s="897" t="s">
        <v>474</v>
      </c>
      <c r="C97" s="128">
        <v>-52</v>
      </c>
      <c r="D97" s="128">
        <v>1032</v>
      </c>
      <c r="E97" s="128">
        <v>138</v>
      </c>
      <c r="F97" s="128">
        <v>-413</v>
      </c>
      <c r="G97" s="128">
        <v>-80</v>
      </c>
      <c r="H97" s="128">
        <v>760</v>
      </c>
      <c r="I97" s="128">
        <v>995</v>
      </c>
      <c r="J97" s="1011">
        <v>248</v>
      </c>
      <c r="K97" s="128">
        <f>-248+100</f>
        <v>-148</v>
      </c>
      <c r="L97" s="128">
        <v>-71</v>
      </c>
      <c r="M97" s="128">
        <v>81</v>
      </c>
      <c r="N97" s="128">
        <v>-103</v>
      </c>
      <c r="O97" s="129">
        <f t="shared" si="33"/>
        <v>2387</v>
      </c>
      <c r="P97" s="129"/>
      <c r="Q97" s="923"/>
      <c r="R97" s="924" t="s">
        <v>361</v>
      </c>
      <c r="S97" s="923"/>
      <c r="T97" s="129"/>
      <c r="U97" s="900">
        <f t="shared" si="34"/>
        <v>1118</v>
      </c>
      <c r="V97" s="900">
        <f t="shared" si="35"/>
        <v>267</v>
      </c>
      <c r="W97" s="900">
        <f t="shared" si="36"/>
        <v>1095</v>
      </c>
      <c r="X97" s="900">
        <f t="shared" si="37"/>
        <v>-93</v>
      </c>
      <c r="Y97" s="901">
        <f t="shared" si="38"/>
        <v>2387</v>
      </c>
    </row>
    <row r="98" spans="1:25" s="913" customFormat="1" ht="12.75" customHeight="1" x14ac:dyDescent="0.2">
      <c r="A98" s="897" t="s">
        <v>475</v>
      </c>
      <c r="C98" s="128">
        <v>0</v>
      </c>
      <c r="D98" s="128">
        <f>0</f>
        <v>0</v>
      </c>
      <c r="E98" s="128">
        <v>-1100</v>
      </c>
      <c r="F98" s="128">
        <v>402</v>
      </c>
      <c r="G98" s="128">
        <f>0</f>
        <v>0</v>
      </c>
      <c r="H98" s="862">
        <f>-763+10</f>
        <v>-753</v>
      </c>
      <c r="I98" s="128">
        <v>-1003</v>
      </c>
      <c r="J98" s="128">
        <f>0</f>
        <v>0</v>
      </c>
      <c r="K98" s="128">
        <f>0</f>
        <v>0</v>
      </c>
      <c r="L98" s="128">
        <f>0</f>
        <v>0</v>
      </c>
      <c r="M98" s="128">
        <f>0</f>
        <v>0</v>
      </c>
      <c r="N98" s="128">
        <f>0</f>
        <v>0</v>
      </c>
      <c r="O98" s="129">
        <f t="shared" si="33"/>
        <v>-2454</v>
      </c>
      <c r="P98" s="129"/>
      <c r="Q98" s="923"/>
      <c r="R98" s="924" t="s">
        <v>361</v>
      </c>
      <c r="S98" s="923"/>
      <c r="T98" s="129"/>
      <c r="U98" s="900">
        <f t="shared" si="34"/>
        <v>-1100</v>
      </c>
      <c r="V98" s="900">
        <f t="shared" si="35"/>
        <v>-351</v>
      </c>
      <c r="W98" s="900">
        <f t="shared" si="36"/>
        <v>-1003</v>
      </c>
      <c r="X98" s="900">
        <f t="shared" si="37"/>
        <v>0</v>
      </c>
      <c r="Y98" s="901">
        <f t="shared" si="38"/>
        <v>-2454</v>
      </c>
    </row>
    <row r="99" spans="1:25" s="913" customFormat="1" ht="12.75" customHeight="1" x14ac:dyDescent="0.2">
      <c r="A99" s="897" t="s">
        <v>476</v>
      </c>
      <c r="C99" s="870">
        <v>0</v>
      </c>
      <c r="D99" s="870">
        <v>0</v>
      </c>
      <c r="E99" s="870">
        <v>-950</v>
      </c>
      <c r="F99" s="870">
        <v>0</v>
      </c>
      <c r="G99" s="870">
        <v>0</v>
      </c>
      <c r="H99" s="870">
        <v>0</v>
      </c>
      <c r="I99" s="870">
        <v>0</v>
      </c>
      <c r="J99" s="870">
        <v>0</v>
      </c>
      <c r="K99" s="870">
        <v>0</v>
      </c>
      <c r="L99" s="870">
        <v>0</v>
      </c>
      <c r="M99" s="870">
        <v>0</v>
      </c>
      <c r="N99" s="870">
        <v>0</v>
      </c>
      <c r="O99" s="129">
        <f t="shared" si="33"/>
        <v>-950</v>
      </c>
      <c r="P99" s="129"/>
      <c r="Q99" s="923"/>
      <c r="R99" s="924" t="s">
        <v>361</v>
      </c>
      <c r="S99" s="923"/>
      <c r="T99" s="129"/>
      <c r="U99" s="900">
        <f t="shared" si="34"/>
        <v>-950</v>
      </c>
      <c r="V99" s="900">
        <f t="shared" si="35"/>
        <v>0</v>
      </c>
      <c r="W99" s="900">
        <f t="shared" si="36"/>
        <v>0</v>
      </c>
      <c r="X99" s="900">
        <f t="shared" si="37"/>
        <v>0</v>
      </c>
      <c r="Y99" s="901">
        <f t="shared" si="38"/>
        <v>-950</v>
      </c>
    </row>
    <row r="100" spans="1:25" s="913" customFormat="1" ht="12.75" customHeight="1" x14ac:dyDescent="0.2">
      <c r="A100" s="897" t="s">
        <v>395</v>
      </c>
      <c r="C100" s="870">
        <v>0</v>
      </c>
      <c r="D100" s="870">
        <v>0</v>
      </c>
      <c r="E100" s="870">
        <v>0</v>
      </c>
      <c r="F100" s="870">
        <v>0</v>
      </c>
      <c r="G100" s="870">
        <v>0</v>
      </c>
      <c r="H100" s="870">
        <v>0</v>
      </c>
      <c r="I100" s="870">
        <v>0</v>
      </c>
      <c r="J100" s="870">
        <v>0</v>
      </c>
      <c r="K100" s="870">
        <v>0</v>
      </c>
      <c r="L100" s="870">
        <v>0</v>
      </c>
      <c r="M100" s="870">
        <v>0</v>
      </c>
      <c r="N100" s="870">
        <v>0</v>
      </c>
      <c r="O100" s="129">
        <f t="shared" si="33"/>
        <v>0</v>
      </c>
      <c r="P100" s="129"/>
      <c r="Q100" s="923"/>
      <c r="R100" s="924" t="s">
        <v>361</v>
      </c>
      <c r="S100" s="923"/>
      <c r="T100" s="129"/>
      <c r="U100" s="900">
        <f t="shared" si="34"/>
        <v>0</v>
      </c>
      <c r="V100" s="900">
        <f t="shared" si="35"/>
        <v>0</v>
      </c>
      <c r="W100" s="900">
        <f t="shared" si="36"/>
        <v>0</v>
      </c>
      <c r="X100" s="900">
        <f t="shared" si="37"/>
        <v>0</v>
      </c>
      <c r="Y100" s="901">
        <f t="shared" si="38"/>
        <v>0</v>
      </c>
    </row>
    <row r="101" spans="1:25" s="913" customFormat="1" ht="6" customHeight="1" x14ac:dyDescent="0.2">
      <c r="A101" s="897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129"/>
      <c r="P101" s="129"/>
      <c r="Q101" s="923"/>
      <c r="R101" s="924"/>
      <c r="S101" s="923"/>
      <c r="T101" s="129"/>
      <c r="U101" s="900"/>
      <c r="V101" s="900"/>
      <c r="W101" s="900"/>
      <c r="X101" s="900"/>
      <c r="Y101" s="901"/>
    </row>
    <row r="102" spans="1:25" s="913" customFormat="1" ht="12.75" customHeight="1" x14ac:dyDescent="0.2">
      <c r="A102" s="897" t="s">
        <v>396</v>
      </c>
      <c r="B102" s="878"/>
      <c r="C102" s="128">
        <v>-14</v>
      </c>
      <c r="D102" s="128">
        <v>-28</v>
      </c>
      <c r="E102" s="128">
        <v>-6</v>
      </c>
      <c r="F102" s="128">
        <v>-6</v>
      </c>
      <c r="G102" s="128">
        <v>-6</v>
      </c>
      <c r="H102" s="128">
        <v>-6</v>
      </c>
      <c r="I102" s="128">
        <v>-5</v>
      </c>
      <c r="J102" s="128">
        <v>-4</v>
      </c>
      <c r="K102" s="128">
        <v>-6</v>
      </c>
      <c r="L102" s="128">
        <v>-5</v>
      </c>
      <c r="M102" s="128">
        <v>-4</v>
      </c>
      <c r="N102" s="128">
        <v>-5</v>
      </c>
      <c r="O102" s="129">
        <f t="shared" si="33"/>
        <v>-95</v>
      </c>
      <c r="P102" s="129"/>
      <c r="Q102" s="898"/>
      <c r="R102" s="899" t="s">
        <v>397</v>
      </c>
      <c r="S102" s="898"/>
      <c r="T102" s="129"/>
      <c r="U102" s="900">
        <f t="shared" si="34"/>
        <v>-48</v>
      </c>
      <c r="V102" s="900">
        <f t="shared" si="35"/>
        <v>-18</v>
      </c>
      <c r="W102" s="900">
        <f t="shared" si="36"/>
        <v>-15</v>
      </c>
      <c r="X102" s="900">
        <f t="shared" si="37"/>
        <v>-14</v>
      </c>
      <c r="Y102" s="901">
        <f t="shared" si="38"/>
        <v>-95</v>
      </c>
    </row>
    <row r="103" spans="1:25" s="913" customFormat="1" ht="6" customHeight="1" x14ac:dyDescent="0.2">
      <c r="A103" s="897"/>
      <c r="B103" s="87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98"/>
      <c r="R103" s="899"/>
      <c r="S103" s="898"/>
      <c r="T103" s="129"/>
      <c r="U103" s="900"/>
      <c r="V103" s="900"/>
      <c r="W103" s="900"/>
      <c r="X103" s="900"/>
      <c r="Y103" s="901"/>
    </row>
    <row r="104" spans="1:25" s="913" customFormat="1" ht="12.75" customHeight="1" x14ac:dyDescent="0.2">
      <c r="A104" s="896" t="s">
        <v>398</v>
      </c>
      <c r="C104" s="914">
        <f t="shared" ref="C104:O104" si="39">+C78+SUM(C82:C84)+C93+SUM(C95:C102)</f>
        <v>-953</v>
      </c>
      <c r="D104" s="915">
        <f t="shared" si="39"/>
        <v>168</v>
      </c>
      <c r="E104" s="915">
        <f t="shared" si="39"/>
        <v>-3513</v>
      </c>
      <c r="F104" s="915">
        <f t="shared" si="39"/>
        <v>-900</v>
      </c>
      <c r="G104" s="915">
        <f t="shared" si="39"/>
        <v>-807</v>
      </c>
      <c r="H104" s="915">
        <f t="shared" si="39"/>
        <v>-772</v>
      </c>
      <c r="I104" s="915">
        <f t="shared" si="39"/>
        <v>-595</v>
      </c>
      <c r="J104" s="915">
        <f t="shared" si="39"/>
        <v>-424</v>
      </c>
      <c r="K104" s="915">
        <f t="shared" si="39"/>
        <v>-944</v>
      </c>
      <c r="L104" s="915">
        <f t="shared" si="39"/>
        <v>-986</v>
      </c>
      <c r="M104" s="915">
        <f t="shared" si="39"/>
        <v>-825</v>
      </c>
      <c r="N104" s="915">
        <f t="shared" si="39"/>
        <v>-1500</v>
      </c>
      <c r="O104" s="916">
        <f t="shared" si="39"/>
        <v>-12051</v>
      </c>
      <c r="P104" s="917"/>
      <c r="Q104" s="918"/>
      <c r="R104" s="911"/>
      <c r="S104" s="918"/>
      <c r="T104" s="917"/>
      <c r="U104" s="914">
        <f>+U78+SUM(U82:U84)+U93+SUM(U95:U102)</f>
        <v>-4298</v>
      </c>
      <c r="V104" s="915">
        <f>+V78+SUM(V82:V84)+V93+SUM(V95:V102)</f>
        <v>-2479</v>
      </c>
      <c r="W104" s="915">
        <f>+W78+SUM(W82:W84)+W93+SUM(W95:W102)</f>
        <v>-1963</v>
      </c>
      <c r="X104" s="915">
        <f>+X78+SUM(X82:X84)+X93+SUM(X95:X102)</f>
        <v>-3311</v>
      </c>
      <c r="Y104" s="916">
        <f>+Y78+SUM(Y82:Y84)+Y93+SUM(Y95:Y102)</f>
        <v>-12051</v>
      </c>
    </row>
    <row r="105" spans="1:25" s="913" customFormat="1" ht="6" customHeight="1" x14ac:dyDescent="0.2">
      <c r="A105" s="912"/>
      <c r="C105" s="917"/>
      <c r="D105" s="917"/>
      <c r="E105" s="917"/>
      <c r="F105" s="917"/>
      <c r="G105" s="917"/>
      <c r="H105" s="917"/>
      <c r="I105" s="917"/>
      <c r="J105" s="917"/>
      <c r="K105" s="917"/>
      <c r="L105" s="917"/>
      <c r="M105" s="917"/>
      <c r="N105" s="917"/>
      <c r="O105" s="917"/>
      <c r="P105" s="917"/>
      <c r="Q105" s="918"/>
      <c r="R105" s="911"/>
      <c r="S105" s="918"/>
      <c r="T105" s="917"/>
      <c r="U105" s="925"/>
      <c r="V105" s="925"/>
      <c r="W105" s="925"/>
      <c r="X105" s="925"/>
      <c r="Y105" s="911"/>
    </row>
    <row r="106" spans="1:25" ht="12.75" customHeight="1" x14ac:dyDescent="0.2">
      <c r="A106" s="896" t="s">
        <v>399</v>
      </c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0"/>
      <c r="P106" s="900"/>
      <c r="Q106" s="898"/>
      <c r="R106" s="901"/>
      <c r="S106" s="898"/>
      <c r="T106" s="900"/>
      <c r="U106" s="900"/>
      <c r="V106" s="900"/>
      <c r="W106" s="900"/>
      <c r="X106" s="900"/>
      <c r="Y106" s="901"/>
    </row>
    <row r="107" spans="1:25" x14ac:dyDescent="0.2">
      <c r="A107" s="897" t="s">
        <v>220</v>
      </c>
      <c r="C107" s="277">
        <v>7173</v>
      </c>
      <c r="D107" s="277">
        <v>5582</v>
      </c>
      <c r="E107" s="277">
        <v>4818</v>
      </c>
      <c r="F107" s="910">
        <v>0</v>
      </c>
      <c r="G107" s="910">
        <v>0</v>
      </c>
      <c r="H107" s="910">
        <v>0</v>
      </c>
      <c r="I107" s="910">
        <v>0</v>
      </c>
      <c r="J107" s="910">
        <v>0</v>
      </c>
      <c r="K107" s="910">
        <v>0</v>
      </c>
      <c r="L107" s="910">
        <v>0</v>
      </c>
      <c r="M107" s="910">
        <v>0</v>
      </c>
      <c r="N107" s="910">
        <v>0</v>
      </c>
      <c r="O107" s="279">
        <f t="shared" ref="O107:O119" si="40">SUM(C107:N107)</f>
        <v>17573</v>
      </c>
      <c r="P107" s="279"/>
      <c r="Q107" s="898"/>
      <c r="R107" s="899" t="s">
        <v>346</v>
      </c>
      <c r="S107" s="898"/>
      <c r="T107" s="279"/>
      <c r="U107" s="900">
        <f t="shared" ref="U107:U119" si="41">C107+D107+E107</f>
        <v>17573</v>
      </c>
      <c r="V107" s="900">
        <f t="shared" ref="V107:V119" si="42">F107+G107+H107</f>
        <v>0</v>
      </c>
      <c r="W107" s="900">
        <f t="shared" ref="W107:W119" si="43">I107+J107+K107</f>
        <v>0</v>
      </c>
      <c r="X107" s="900">
        <f t="shared" ref="X107:X119" si="44">L107+M107+N107</f>
        <v>0</v>
      </c>
      <c r="Y107" s="901">
        <f t="shared" ref="Y107:Y119" si="45">SUM(U107:X107)</f>
        <v>17573</v>
      </c>
    </row>
    <row r="108" spans="1:25" x14ac:dyDescent="0.2">
      <c r="A108" s="897" t="s">
        <v>218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910">
        <v>0</v>
      </c>
      <c r="I108" s="910">
        <v>0</v>
      </c>
      <c r="J108" s="910">
        <v>0</v>
      </c>
      <c r="K108" s="910">
        <v>0</v>
      </c>
      <c r="L108" s="910">
        <v>0</v>
      </c>
      <c r="M108" s="910">
        <v>0</v>
      </c>
      <c r="N108" s="910">
        <v>0</v>
      </c>
      <c r="O108" s="279">
        <f t="shared" si="40"/>
        <v>0</v>
      </c>
      <c r="P108" s="279"/>
      <c r="Q108" s="898"/>
      <c r="R108" s="903" t="s">
        <v>346</v>
      </c>
      <c r="S108" s="898"/>
      <c r="T108" s="279"/>
      <c r="U108" s="900">
        <f t="shared" si="41"/>
        <v>0</v>
      </c>
      <c r="V108" s="900">
        <f t="shared" si="42"/>
        <v>0</v>
      </c>
      <c r="W108" s="900">
        <f t="shared" si="43"/>
        <v>0</v>
      </c>
      <c r="X108" s="900">
        <f t="shared" si="44"/>
        <v>0</v>
      </c>
      <c r="Y108" s="901">
        <f t="shared" si="45"/>
        <v>0</v>
      </c>
    </row>
    <row r="109" spans="1:25" x14ac:dyDescent="0.2">
      <c r="A109" s="897" t="s">
        <v>221</v>
      </c>
      <c r="C109" s="52">
        <v>-7411</v>
      </c>
      <c r="D109" s="52">
        <v>-6470</v>
      </c>
      <c r="E109" s="52">
        <v>-4990</v>
      </c>
      <c r="F109" s="910">
        <v>0</v>
      </c>
      <c r="G109" s="910">
        <v>0</v>
      </c>
      <c r="H109" s="910">
        <v>0</v>
      </c>
      <c r="I109" s="910">
        <v>0</v>
      </c>
      <c r="J109" s="910">
        <v>0</v>
      </c>
      <c r="K109" s="910">
        <v>0</v>
      </c>
      <c r="L109" s="910">
        <v>0</v>
      </c>
      <c r="M109" s="910">
        <v>0</v>
      </c>
      <c r="N109" s="910">
        <v>0</v>
      </c>
      <c r="O109" s="53">
        <f t="shared" si="40"/>
        <v>-18871</v>
      </c>
      <c r="P109" s="53"/>
      <c r="Q109" s="898"/>
      <c r="R109" s="899" t="s">
        <v>348</v>
      </c>
      <c r="S109" s="898"/>
      <c r="T109" s="53"/>
      <c r="U109" s="900">
        <f t="shared" si="41"/>
        <v>-18871</v>
      </c>
      <c r="V109" s="900">
        <f t="shared" si="42"/>
        <v>0</v>
      </c>
      <c r="W109" s="900">
        <f t="shared" si="43"/>
        <v>0</v>
      </c>
      <c r="X109" s="900">
        <f t="shared" si="44"/>
        <v>0</v>
      </c>
      <c r="Y109" s="901">
        <f t="shared" si="45"/>
        <v>-18871</v>
      </c>
    </row>
    <row r="110" spans="1:25" x14ac:dyDescent="0.2">
      <c r="A110" s="902" t="s">
        <v>347</v>
      </c>
      <c r="C110" s="158">
        <v>0</v>
      </c>
      <c r="D110" s="158">
        <v>0</v>
      </c>
      <c r="E110" s="158">
        <v>0</v>
      </c>
      <c r="F110" s="158">
        <v>0</v>
      </c>
      <c r="G110" s="910">
        <v>0</v>
      </c>
      <c r="H110" s="910">
        <v>0</v>
      </c>
      <c r="I110" s="910">
        <v>0</v>
      </c>
      <c r="J110" s="910">
        <v>0</v>
      </c>
      <c r="K110" s="910">
        <v>0</v>
      </c>
      <c r="L110" s="910">
        <v>0</v>
      </c>
      <c r="M110" s="910">
        <v>0</v>
      </c>
      <c r="N110" s="910">
        <v>0</v>
      </c>
      <c r="O110" s="279">
        <f t="shared" si="40"/>
        <v>0</v>
      </c>
      <c r="P110" s="279"/>
      <c r="Q110" s="898"/>
      <c r="R110" s="903" t="s">
        <v>348</v>
      </c>
      <c r="S110" s="898"/>
      <c r="T110" s="279"/>
      <c r="U110" s="900">
        <f t="shared" si="41"/>
        <v>0</v>
      </c>
      <c r="V110" s="900">
        <f t="shared" si="42"/>
        <v>0</v>
      </c>
      <c r="W110" s="900">
        <f t="shared" si="43"/>
        <v>0</v>
      </c>
      <c r="X110" s="900">
        <f t="shared" si="44"/>
        <v>0</v>
      </c>
      <c r="Y110" s="901">
        <f t="shared" si="45"/>
        <v>0</v>
      </c>
    </row>
    <row r="111" spans="1:25" ht="6" customHeight="1" x14ac:dyDescent="0.2">
      <c r="A111" s="902"/>
      <c r="C111" s="158"/>
      <c r="D111" s="158"/>
      <c r="E111" s="158"/>
      <c r="F111" s="158"/>
      <c r="G111" s="910"/>
      <c r="H111" s="910"/>
      <c r="I111" s="910"/>
      <c r="J111" s="910"/>
      <c r="K111" s="910"/>
      <c r="L111" s="910"/>
      <c r="M111" s="910"/>
      <c r="N111" s="910"/>
      <c r="O111" s="279"/>
      <c r="P111" s="279"/>
      <c r="Q111" s="898"/>
      <c r="R111" s="903"/>
      <c r="S111" s="898"/>
      <c r="T111" s="279"/>
      <c r="U111" s="900"/>
      <c r="V111" s="900"/>
      <c r="W111" s="900"/>
      <c r="X111" s="900"/>
      <c r="Y111" s="901"/>
    </row>
    <row r="112" spans="1:25" x14ac:dyDescent="0.2">
      <c r="A112" s="897" t="s">
        <v>479</v>
      </c>
      <c r="C112" s="158">
        <v>0</v>
      </c>
      <c r="D112" s="158">
        <v>0</v>
      </c>
      <c r="E112" s="158">
        <v>-106</v>
      </c>
      <c r="F112" s="158">
        <v>0</v>
      </c>
      <c r="G112" s="158">
        <v>0</v>
      </c>
      <c r="H112" s="158">
        <f>1796-1796</f>
        <v>0</v>
      </c>
      <c r="I112" s="158">
        <v>18</v>
      </c>
      <c r="J112" s="158">
        <f>1441+255-1696</f>
        <v>0</v>
      </c>
      <c r="K112" s="158">
        <f>1441+255-1696</f>
        <v>0</v>
      </c>
      <c r="L112" s="158">
        <v>0</v>
      </c>
      <c r="M112" s="544">
        <f>2000-2000</f>
        <v>0</v>
      </c>
      <c r="N112" s="544">
        <f>2000-2000</f>
        <v>0</v>
      </c>
      <c r="O112" s="142">
        <f t="shared" si="40"/>
        <v>-88</v>
      </c>
      <c r="P112" s="142"/>
      <c r="Q112" s="898"/>
      <c r="R112" s="904" t="s">
        <v>374</v>
      </c>
      <c r="S112" s="898"/>
      <c r="T112" s="142"/>
      <c r="U112" s="900">
        <f t="shared" si="41"/>
        <v>-106</v>
      </c>
      <c r="V112" s="900">
        <f t="shared" si="42"/>
        <v>0</v>
      </c>
      <c r="W112" s="900">
        <f t="shared" si="43"/>
        <v>18</v>
      </c>
      <c r="X112" s="900">
        <f t="shared" si="44"/>
        <v>0</v>
      </c>
      <c r="Y112" s="901">
        <f t="shared" si="45"/>
        <v>-88</v>
      </c>
    </row>
    <row r="113" spans="1:25" x14ac:dyDescent="0.2">
      <c r="A113" s="897" t="s">
        <v>480</v>
      </c>
      <c r="C113" s="910">
        <v>0</v>
      </c>
      <c r="D113" s="910">
        <v>0</v>
      </c>
      <c r="E113" s="910">
        <v>0</v>
      </c>
      <c r="F113" s="910">
        <v>0</v>
      </c>
      <c r="G113" s="910">
        <v>0</v>
      </c>
      <c r="H113" s="910">
        <v>0</v>
      </c>
      <c r="I113" s="910">
        <v>0</v>
      </c>
      <c r="J113" s="910">
        <v>0</v>
      </c>
      <c r="K113" s="910">
        <v>0</v>
      </c>
      <c r="L113" s="910">
        <v>0</v>
      </c>
      <c r="M113" s="910">
        <v>0</v>
      </c>
      <c r="N113" s="910">
        <v>0</v>
      </c>
      <c r="O113" s="142">
        <f t="shared" si="40"/>
        <v>0</v>
      </c>
      <c r="P113" s="142"/>
      <c r="Q113" s="898"/>
      <c r="R113" s="905" t="s">
        <v>374</v>
      </c>
      <c r="S113" s="898"/>
      <c r="T113" s="142"/>
      <c r="U113" s="900">
        <f t="shared" si="41"/>
        <v>0</v>
      </c>
      <c r="V113" s="900">
        <f t="shared" si="42"/>
        <v>0</v>
      </c>
      <c r="W113" s="900">
        <f t="shared" si="43"/>
        <v>0</v>
      </c>
      <c r="X113" s="900">
        <f t="shared" si="44"/>
        <v>0</v>
      </c>
      <c r="Y113" s="901">
        <f t="shared" si="45"/>
        <v>0</v>
      </c>
    </row>
    <row r="114" spans="1:25" x14ac:dyDescent="0.2">
      <c r="A114" s="897" t="s">
        <v>400</v>
      </c>
      <c r="C114" s="141">
        <v>0</v>
      </c>
      <c r="D114" s="141">
        <v>-85</v>
      </c>
      <c r="E114" s="141">
        <v>85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0"/>
        <v>0</v>
      </c>
      <c r="P114" s="142"/>
      <c r="Q114" s="898"/>
      <c r="R114" s="904" t="s">
        <v>374</v>
      </c>
      <c r="S114" s="898"/>
      <c r="T114" s="142"/>
      <c r="U114" s="900">
        <f t="shared" si="41"/>
        <v>0</v>
      </c>
      <c r="V114" s="900">
        <f t="shared" si="42"/>
        <v>0</v>
      </c>
      <c r="W114" s="900">
        <f t="shared" si="43"/>
        <v>0</v>
      </c>
      <c r="X114" s="900">
        <f t="shared" si="44"/>
        <v>0</v>
      </c>
      <c r="Y114" s="901">
        <f t="shared" si="45"/>
        <v>0</v>
      </c>
    </row>
    <row r="115" spans="1:25" x14ac:dyDescent="0.2">
      <c r="A115" s="897" t="s">
        <v>401</v>
      </c>
      <c r="C115" s="910">
        <v>0</v>
      </c>
      <c r="D115" s="910">
        <v>0</v>
      </c>
      <c r="E115" s="910">
        <v>0</v>
      </c>
      <c r="F115" s="910">
        <v>0</v>
      </c>
      <c r="G115" s="910">
        <v>0</v>
      </c>
      <c r="H115" s="910">
        <v>0</v>
      </c>
      <c r="I115" s="910">
        <v>0</v>
      </c>
      <c r="J115" s="910">
        <v>0</v>
      </c>
      <c r="K115" s="910">
        <v>0</v>
      </c>
      <c r="L115" s="910">
        <v>0</v>
      </c>
      <c r="M115" s="910">
        <v>0</v>
      </c>
      <c r="N115" s="910">
        <v>0</v>
      </c>
      <c r="O115" s="142">
        <f t="shared" si="40"/>
        <v>0</v>
      </c>
      <c r="P115" s="142"/>
      <c r="Q115" s="898"/>
      <c r="R115" s="904" t="s">
        <v>374</v>
      </c>
      <c r="S115" s="898"/>
      <c r="T115" s="142"/>
      <c r="U115" s="900">
        <f t="shared" si="41"/>
        <v>0</v>
      </c>
      <c r="V115" s="900">
        <f t="shared" si="42"/>
        <v>0</v>
      </c>
      <c r="W115" s="900">
        <f t="shared" si="43"/>
        <v>0</v>
      </c>
      <c r="X115" s="900">
        <f t="shared" si="44"/>
        <v>0</v>
      </c>
      <c r="Y115" s="901">
        <f t="shared" si="45"/>
        <v>0</v>
      </c>
    </row>
    <row r="116" spans="1:25" x14ac:dyDescent="0.2">
      <c r="A116" s="897" t="s">
        <v>79</v>
      </c>
      <c r="C116" s="141">
        <v>7</v>
      </c>
      <c r="D116" s="141">
        <v>-3</v>
      </c>
      <c r="E116" s="141">
        <v>1</v>
      </c>
      <c r="F116" s="141">
        <v>10</v>
      </c>
      <c r="G116" s="141">
        <v>2</v>
      </c>
      <c r="H116" s="141">
        <v>-1</v>
      </c>
      <c r="I116" s="141">
        <f>29-1-1</f>
        <v>27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0"/>
        <v>43</v>
      </c>
      <c r="P116" s="142"/>
      <c r="Q116" s="898"/>
      <c r="R116" s="904" t="s">
        <v>374</v>
      </c>
      <c r="S116" s="898"/>
      <c r="T116" s="142"/>
      <c r="U116" s="900">
        <f t="shared" si="41"/>
        <v>5</v>
      </c>
      <c r="V116" s="900">
        <f t="shared" si="42"/>
        <v>11</v>
      </c>
      <c r="W116" s="900">
        <f t="shared" si="43"/>
        <v>27</v>
      </c>
      <c r="X116" s="900">
        <f t="shared" si="44"/>
        <v>0</v>
      </c>
      <c r="Y116" s="901">
        <f t="shared" si="45"/>
        <v>43</v>
      </c>
    </row>
    <row r="117" spans="1:25" x14ac:dyDescent="0.2">
      <c r="A117" s="897" t="s">
        <v>402</v>
      </c>
      <c r="C117" s="910">
        <v>0</v>
      </c>
      <c r="D117" s="910">
        <v>0</v>
      </c>
      <c r="E117" s="910">
        <v>0</v>
      </c>
      <c r="F117" s="910">
        <v>0</v>
      </c>
      <c r="G117" s="910">
        <v>0</v>
      </c>
      <c r="H117" s="910">
        <v>0</v>
      </c>
      <c r="I117" s="910">
        <v>0</v>
      </c>
      <c r="J117" s="910">
        <v>0</v>
      </c>
      <c r="K117" s="910">
        <v>0</v>
      </c>
      <c r="L117" s="910">
        <v>0</v>
      </c>
      <c r="M117" s="910">
        <v>0</v>
      </c>
      <c r="N117" s="910">
        <v>0</v>
      </c>
      <c r="O117" s="142">
        <f t="shared" si="40"/>
        <v>0</v>
      </c>
      <c r="P117" s="142"/>
      <c r="Q117" s="927"/>
      <c r="R117" s="904" t="s">
        <v>374</v>
      </c>
      <c r="S117" s="927"/>
      <c r="T117" s="142"/>
      <c r="U117" s="900">
        <f t="shared" si="41"/>
        <v>0</v>
      </c>
      <c r="V117" s="900">
        <f t="shared" si="42"/>
        <v>0</v>
      </c>
      <c r="W117" s="900">
        <f t="shared" si="43"/>
        <v>0</v>
      </c>
      <c r="X117" s="900">
        <f t="shared" si="44"/>
        <v>0</v>
      </c>
      <c r="Y117" s="901">
        <f t="shared" si="45"/>
        <v>0</v>
      </c>
    </row>
    <row r="118" spans="1:25" x14ac:dyDescent="0.2">
      <c r="A118" s="897" t="s">
        <v>403</v>
      </c>
      <c r="C118" s="910">
        <v>0</v>
      </c>
      <c r="D118" s="910">
        <v>0</v>
      </c>
      <c r="E118" s="910">
        <v>0</v>
      </c>
      <c r="F118" s="910">
        <v>0</v>
      </c>
      <c r="G118" s="910">
        <v>0</v>
      </c>
      <c r="H118" s="910">
        <v>0</v>
      </c>
      <c r="I118" s="910">
        <v>0</v>
      </c>
      <c r="J118" s="910">
        <v>0</v>
      </c>
      <c r="K118" s="910">
        <v>0</v>
      </c>
      <c r="L118" s="910">
        <v>0</v>
      </c>
      <c r="M118" s="910">
        <v>0</v>
      </c>
      <c r="N118" s="910">
        <v>0</v>
      </c>
      <c r="O118" s="142">
        <f t="shared" si="40"/>
        <v>0</v>
      </c>
      <c r="P118" s="142"/>
      <c r="Q118" s="927"/>
      <c r="R118" s="905" t="s">
        <v>374</v>
      </c>
      <c r="S118" s="927"/>
      <c r="T118" s="142"/>
      <c r="U118" s="900">
        <f t="shared" si="41"/>
        <v>0</v>
      </c>
      <c r="V118" s="900">
        <f t="shared" si="42"/>
        <v>0</v>
      </c>
      <c r="W118" s="900">
        <f t="shared" si="43"/>
        <v>0</v>
      </c>
      <c r="X118" s="900">
        <f t="shared" si="44"/>
        <v>0</v>
      </c>
      <c r="Y118" s="901">
        <f t="shared" si="45"/>
        <v>0</v>
      </c>
    </row>
    <row r="119" spans="1:25" s="913" customFormat="1" ht="12.75" customHeight="1" x14ac:dyDescent="0.2">
      <c r="A119" s="897" t="s">
        <v>404</v>
      </c>
      <c r="C119" s="910">
        <v>0</v>
      </c>
      <c r="D119" s="910">
        <v>0</v>
      </c>
      <c r="E119" s="910">
        <v>0</v>
      </c>
      <c r="F119" s="910">
        <v>0</v>
      </c>
      <c r="G119" s="910">
        <v>0</v>
      </c>
      <c r="H119" s="910">
        <v>0</v>
      </c>
      <c r="I119" s="910">
        <v>0</v>
      </c>
      <c r="J119" s="910">
        <v>0</v>
      </c>
      <c r="K119" s="910">
        <v>0</v>
      </c>
      <c r="L119" s="910">
        <v>0</v>
      </c>
      <c r="M119" s="910">
        <v>0</v>
      </c>
      <c r="N119" s="910">
        <v>0</v>
      </c>
      <c r="O119" s="142">
        <f t="shared" si="40"/>
        <v>0</v>
      </c>
      <c r="P119" s="142"/>
      <c r="Q119" s="918"/>
      <c r="R119" s="904" t="s">
        <v>374</v>
      </c>
      <c r="S119" s="918"/>
      <c r="T119" s="142"/>
      <c r="U119" s="900">
        <f t="shared" si="41"/>
        <v>0</v>
      </c>
      <c r="V119" s="900">
        <f t="shared" si="42"/>
        <v>0</v>
      </c>
      <c r="W119" s="900">
        <f t="shared" si="43"/>
        <v>0</v>
      </c>
      <c r="X119" s="900">
        <f t="shared" si="44"/>
        <v>0</v>
      </c>
      <c r="Y119" s="901">
        <f t="shared" si="45"/>
        <v>0</v>
      </c>
    </row>
    <row r="120" spans="1:25" s="913" customFormat="1" ht="6" customHeight="1" x14ac:dyDescent="0.2">
      <c r="A120" s="928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917"/>
      <c r="P120" s="917"/>
      <c r="Q120" s="918"/>
      <c r="R120" s="929"/>
      <c r="S120" s="918"/>
      <c r="T120" s="917"/>
      <c r="U120" s="917"/>
      <c r="V120" s="917"/>
      <c r="W120" s="917"/>
      <c r="X120" s="917"/>
      <c r="Y120" s="919"/>
    </row>
    <row r="121" spans="1:25" s="913" customFormat="1" ht="12.75" customHeight="1" x14ac:dyDescent="0.2">
      <c r="A121" s="897" t="s">
        <v>405</v>
      </c>
      <c r="B121" s="878"/>
      <c r="C121" s="910">
        <v>0</v>
      </c>
      <c r="D121" s="910">
        <v>0</v>
      </c>
      <c r="E121" s="910">
        <v>0</v>
      </c>
      <c r="F121" s="910">
        <v>0</v>
      </c>
      <c r="G121" s="910">
        <v>0</v>
      </c>
      <c r="H121" s="910">
        <v>0</v>
      </c>
      <c r="I121" s="910">
        <v>0</v>
      </c>
      <c r="J121" s="910">
        <v>0</v>
      </c>
      <c r="K121" s="910">
        <v>0</v>
      </c>
      <c r="L121" s="910">
        <v>0</v>
      </c>
      <c r="M121" s="910">
        <v>0</v>
      </c>
      <c r="N121" s="910">
        <v>0</v>
      </c>
      <c r="O121" s="142">
        <f>SUM(C121:N121)</f>
        <v>0</v>
      </c>
      <c r="P121" s="142"/>
      <c r="Q121" s="898"/>
      <c r="R121" s="903" t="s">
        <v>406</v>
      </c>
      <c r="S121" s="898"/>
      <c r="T121" s="142"/>
      <c r="U121" s="900">
        <f>C121+D121+E121</f>
        <v>0</v>
      </c>
      <c r="V121" s="900">
        <f>F121+G121+H121</f>
        <v>0</v>
      </c>
      <c r="W121" s="900">
        <f>I121+J121+K121</f>
        <v>0</v>
      </c>
      <c r="X121" s="900">
        <f>L121+M121+N121</f>
        <v>0</v>
      </c>
      <c r="Y121" s="901">
        <f>SUM(U121:X121)</f>
        <v>0</v>
      </c>
    </row>
    <row r="122" spans="1:25" s="913" customFormat="1" ht="12.75" customHeight="1" x14ac:dyDescent="0.2">
      <c r="A122" s="902" t="s">
        <v>347</v>
      </c>
      <c r="B122" s="878"/>
      <c r="C122" s="910">
        <v>0</v>
      </c>
      <c r="D122" s="910">
        <v>0</v>
      </c>
      <c r="E122" s="910">
        <v>0</v>
      </c>
      <c r="F122" s="910">
        <v>0</v>
      </c>
      <c r="G122" s="910">
        <v>0</v>
      </c>
      <c r="H122" s="910">
        <v>0</v>
      </c>
      <c r="I122" s="910">
        <v>0</v>
      </c>
      <c r="J122" s="910">
        <v>0</v>
      </c>
      <c r="K122" s="910">
        <v>0</v>
      </c>
      <c r="L122" s="910">
        <v>0</v>
      </c>
      <c r="M122" s="910">
        <v>0</v>
      </c>
      <c r="N122" s="910">
        <v>0</v>
      </c>
      <c r="O122" s="142">
        <f>SUM(C122:N122)</f>
        <v>0</v>
      </c>
      <c r="P122" s="142"/>
      <c r="Q122" s="898"/>
      <c r="R122" s="903" t="s">
        <v>406</v>
      </c>
      <c r="S122" s="898"/>
      <c r="T122" s="142"/>
      <c r="U122" s="900">
        <f>C122+D122+E122</f>
        <v>0</v>
      </c>
      <c r="V122" s="900">
        <f>F122+G122+H122</f>
        <v>0</v>
      </c>
      <c r="W122" s="900">
        <f>I122+J122+K122</f>
        <v>0</v>
      </c>
      <c r="X122" s="900">
        <f>L122+M122+N122</f>
        <v>0</v>
      </c>
      <c r="Y122" s="901">
        <f>SUM(U122:X122)</f>
        <v>0</v>
      </c>
    </row>
    <row r="123" spans="1:25" s="913" customFormat="1" ht="12.75" customHeight="1" x14ac:dyDescent="0.2">
      <c r="A123" s="897" t="s">
        <v>407</v>
      </c>
      <c r="B123" s="878"/>
      <c r="C123" s="910">
        <v>0</v>
      </c>
      <c r="D123" s="910">
        <v>0</v>
      </c>
      <c r="E123" s="910">
        <v>0</v>
      </c>
      <c r="F123" s="910">
        <v>0</v>
      </c>
      <c r="G123" s="910">
        <v>0</v>
      </c>
      <c r="H123" s="910">
        <v>0</v>
      </c>
      <c r="I123" s="910">
        <v>0</v>
      </c>
      <c r="J123" s="910">
        <v>0</v>
      </c>
      <c r="K123" s="910">
        <v>0</v>
      </c>
      <c r="L123" s="910">
        <v>0</v>
      </c>
      <c r="M123" s="910">
        <v>0</v>
      </c>
      <c r="N123" s="910">
        <v>0</v>
      </c>
      <c r="O123" s="142">
        <f>SUM(C123:N123)</f>
        <v>0</v>
      </c>
      <c r="P123" s="142"/>
      <c r="Q123" s="898"/>
      <c r="R123" s="903" t="s">
        <v>406</v>
      </c>
      <c r="S123" s="898"/>
      <c r="T123" s="142"/>
      <c r="U123" s="900">
        <f>C123+D123+E123</f>
        <v>0</v>
      </c>
      <c r="V123" s="900">
        <f>F123+G123+H123</f>
        <v>0</v>
      </c>
      <c r="W123" s="900">
        <f>I123+J123+K123</f>
        <v>0</v>
      </c>
      <c r="X123" s="900">
        <f>L123+M123+N123</f>
        <v>0</v>
      </c>
      <c r="Y123" s="901">
        <f>SUM(U123:X123)</f>
        <v>0</v>
      </c>
    </row>
    <row r="124" spans="1:25" s="913" customFormat="1" ht="12.75" customHeight="1" x14ac:dyDescent="0.2">
      <c r="A124" s="897" t="s">
        <v>49</v>
      </c>
      <c r="B124" s="878"/>
      <c r="C124" s="910">
        <v>0</v>
      </c>
      <c r="D124" s="910">
        <v>0</v>
      </c>
      <c r="E124" s="910">
        <v>0</v>
      </c>
      <c r="F124" s="910">
        <v>0</v>
      </c>
      <c r="G124" s="910">
        <v>0</v>
      </c>
      <c r="H124" s="910">
        <v>0</v>
      </c>
      <c r="I124" s="910">
        <v>0</v>
      </c>
      <c r="J124" s="910">
        <v>0</v>
      </c>
      <c r="K124" s="910">
        <v>0</v>
      </c>
      <c r="L124" s="910">
        <v>0</v>
      </c>
      <c r="M124" s="910">
        <v>0</v>
      </c>
      <c r="N124" s="910">
        <v>0</v>
      </c>
      <c r="O124" s="142">
        <f>SUM(C124:N124)</f>
        <v>0</v>
      </c>
      <c r="P124" s="142"/>
      <c r="Q124" s="898"/>
      <c r="R124" s="903" t="s">
        <v>406</v>
      </c>
      <c r="S124" s="898"/>
      <c r="T124" s="142"/>
      <c r="U124" s="900">
        <f>C124+D124+E124</f>
        <v>0</v>
      </c>
      <c r="V124" s="900">
        <f>F124+G124+H124</f>
        <v>0</v>
      </c>
      <c r="W124" s="900">
        <f>I124+J124+K124</f>
        <v>0</v>
      </c>
      <c r="X124" s="900">
        <f>L124+M124+N124</f>
        <v>0</v>
      </c>
      <c r="Y124" s="901">
        <f>SUM(U124:X124)</f>
        <v>0</v>
      </c>
    </row>
    <row r="125" spans="1:25" s="913" customFormat="1" ht="6" customHeight="1" x14ac:dyDescent="0.2">
      <c r="A125" s="897"/>
      <c r="B125" s="878"/>
      <c r="C125" s="910"/>
      <c r="D125" s="910"/>
      <c r="E125" s="910"/>
      <c r="F125" s="910"/>
      <c r="G125" s="910"/>
      <c r="H125" s="910"/>
      <c r="I125" s="910"/>
      <c r="J125" s="910"/>
      <c r="K125" s="910"/>
      <c r="L125" s="910"/>
      <c r="M125" s="910"/>
      <c r="N125" s="910"/>
      <c r="O125" s="142"/>
      <c r="P125" s="142"/>
      <c r="Q125" s="898"/>
      <c r="R125" s="903"/>
      <c r="S125" s="898"/>
      <c r="T125" s="142"/>
      <c r="U125" s="900"/>
      <c r="V125" s="900"/>
      <c r="W125" s="900"/>
      <c r="X125" s="900"/>
      <c r="Y125" s="901"/>
    </row>
    <row r="126" spans="1:25" s="913" customFormat="1" ht="12.75" customHeight="1" x14ac:dyDescent="0.2">
      <c r="A126" s="930" t="s">
        <v>408</v>
      </c>
      <c r="C126" s="914">
        <f>SUM(C107:C124)</f>
        <v>-231</v>
      </c>
      <c r="D126" s="915">
        <f>SUM(D107:D124)</f>
        <v>-976</v>
      </c>
      <c r="E126" s="915">
        <f>SUM(E107:E124)</f>
        <v>-192</v>
      </c>
      <c r="F126" s="915">
        <f t="shared" ref="F126:N126" si="46">SUM(F107:F124)</f>
        <v>10</v>
      </c>
      <c r="G126" s="915">
        <f t="shared" si="46"/>
        <v>2</v>
      </c>
      <c r="H126" s="915">
        <f t="shared" si="46"/>
        <v>-1</v>
      </c>
      <c r="I126" s="915">
        <f t="shared" si="46"/>
        <v>45</v>
      </c>
      <c r="J126" s="915">
        <f t="shared" si="46"/>
        <v>0</v>
      </c>
      <c r="K126" s="915">
        <f t="shared" si="46"/>
        <v>0</v>
      </c>
      <c r="L126" s="915">
        <f t="shared" si="46"/>
        <v>0</v>
      </c>
      <c r="M126" s="915">
        <f t="shared" si="46"/>
        <v>0</v>
      </c>
      <c r="N126" s="915">
        <f t="shared" si="46"/>
        <v>0</v>
      </c>
      <c r="O126" s="916">
        <f>SUM(O107:O124)</f>
        <v>-1343</v>
      </c>
      <c r="P126" s="917"/>
      <c r="Q126" s="918"/>
      <c r="R126" s="911"/>
      <c r="S126" s="918"/>
      <c r="T126" s="917"/>
      <c r="U126" s="914">
        <f>SUM(U107:U124)</f>
        <v>-1399</v>
      </c>
      <c r="V126" s="915">
        <f>SUM(V107:V124)</f>
        <v>11</v>
      </c>
      <c r="W126" s="915">
        <f>SUM(W107:W124)</f>
        <v>45</v>
      </c>
      <c r="X126" s="915">
        <f>SUM(X107:X124)</f>
        <v>0</v>
      </c>
      <c r="Y126" s="916">
        <f>SUM(Y107:Y124)</f>
        <v>-1343</v>
      </c>
    </row>
    <row r="127" spans="1:25" s="913" customFormat="1" ht="12.75" customHeight="1" x14ac:dyDescent="0.2">
      <c r="A127" s="930"/>
      <c r="C127" s="911"/>
      <c r="D127" s="911"/>
      <c r="E127" s="911"/>
      <c r="F127" s="911"/>
      <c r="G127" s="911"/>
      <c r="H127" s="911"/>
      <c r="I127" s="911"/>
      <c r="J127" s="911"/>
      <c r="K127" s="911"/>
      <c r="L127" s="911"/>
      <c r="M127" s="911"/>
      <c r="N127" s="911"/>
      <c r="O127" s="925"/>
      <c r="P127" s="925"/>
      <c r="Q127" s="918"/>
      <c r="R127" s="911"/>
      <c r="S127" s="918"/>
      <c r="T127" s="925"/>
      <c r="U127" s="925"/>
      <c r="V127" s="925"/>
      <c r="W127" s="925"/>
      <c r="X127" s="925"/>
      <c r="Y127" s="911"/>
    </row>
    <row r="128" spans="1:25" s="913" customFormat="1" ht="12.75" customHeight="1" x14ac:dyDescent="0.2">
      <c r="A128" s="912" t="s">
        <v>481</v>
      </c>
      <c r="B128" s="931"/>
      <c r="C128" s="932">
        <f t="shared" ref="C128:O128" si="47">C55+C104+C126</f>
        <v>17793</v>
      </c>
      <c r="D128" s="933">
        <f t="shared" si="47"/>
        <v>21164</v>
      </c>
      <c r="E128" s="933">
        <f t="shared" si="47"/>
        <v>8864</v>
      </c>
      <c r="F128" s="933">
        <f t="shared" si="47"/>
        <v>17752</v>
      </c>
      <c r="G128" s="933">
        <f t="shared" si="47"/>
        <v>18251</v>
      </c>
      <c r="H128" s="933">
        <f t="shared" si="47"/>
        <v>16344</v>
      </c>
      <c r="I128" s="933">
        <f t="shared" si="47"/>
        <v>16326</v>
      </c>
      <c r="J128" s="933">
        <f t="shared" si="47"/>
        <v>16201</v>
      </c>
      <c r="K128" s="933">
        <f t="shared" si="47"/>
        <v>15231</v>
      </c>
      <c r="L128" s="933">
        <f t="shared" si="47"/>
        <v>15080</v>
      </c>
      <c r="M128" s="933">
        <f t="shared" si="47"/>
        <v>14239</v>
      </c>
      <c r="N128" s="933">
        <f t="shared" si="47"/>
        <v>14344</v>
      </c>
      <c r="O128" s="934">
        <f t="shared" si="47"/>
        <v>191589</v>
      </c>
      <c r="P128" s="935"/>
      <c r="Q128" s="936"/>
      <c r="R128" s="937"/>
      <c r="S128" s="936"/>
      <c r="T128" s="935"/>
      <c r="U128" s="932">
        <f>U55+U104+U126</f>
        <v>47821</v>
      </c>
      <c r="V128" s="933">
        <f>V55+V104+V126</f>
        <v>52347</v>
      </c>
      <c r="W128" s="933" t="e">
        <f>W55+W104+W126</f>
        <v>#REF!</v>
      </c>
      <c r="X128" s="933">
        <f>X55+X104+X126</f>
        <v>43663</v>
      </c>
      <c r="Y128" s="934" t="e">
        <f>Y55+Y104+Y126</f>
        <v>#REF!</v>
      </c>
    </row>
    <row r="129" spans="1:25" s="913" customFormat="1" ht="12.75" customHeight="1" x14ac:dyDescent="0.2">
      <c r="A129" s="897"/>
      <c r="B129" s="931"/>
      <c r="C129" s="919"/>
      <c r="D129" s="919"/>
      <c r="E129" s="919"/>
      <c r="F129" s="919"/>
      <c r="G129" s="919"/>
      <c r="H129" s="919"/>
      <c r="I129" s="919"/>
      <c r="J129" s="919"/>
      <c r="K129" s="919"/>
      <c r="L129" s="919"/>
      <c r="M129" s="919"/>
      <c r="N129" s="919"/>
      <c r="O129" s="142"/>
      <c r="P129" s="935"/>
      <c r="Q129" s="936"/>
      <c r="R129" s="937"/>
      <c r="S129" s="936"/>
      <c r="T129" s="935"/>
      <c r="U129" s="900"/>
      <c r="V129" s="900"/>
      <c r="W129" s="900"/>
      <c r="X129" s="900"/>
      <c r="Y129" s="901"/>
    </row>
    <row r="130" spans="1:25" s="913" customFormat="1" ht="12.75" customHeight="1" x14ac:dyDescent="0.2">
      <c r="A130" s="897"/>
      <c r="B130" s="931"/>
      <c r="C130" s="919"/>
      <c r="D130" s="919"/>
      <c r="E130" s="919"/>
      <c r="F130" s="919"/>
      <c r="G130" s="919"/>
      <c r="H130" s="919"/>
      <c r="I130" s="919"/>
      <c r="J130" s="919"/>
      <c r="K130" s="919"/>
      <c r="L130" s="919"/>
      <c r="M130" s="919"/>
      <c r="N130" s="919"/>
      <c r="O130" s="142"/>
      <c r="P130" s="935"/>
      <c r="Q130" s="936"/>
      <c r="R130" s="937"/>
      <c r="S130" s="936"/>
      <c r="T130" s="935"/>
      <c r="U130" s="900"/>
      <c r="V130" s="900"/>
      <c r="W130" s="900"/>
      <c r="X130" s="900"/>
      <c r="Y130" s="901"/>
    </row>
    <row r="131" spans="1:25" x14ac:dyDescent="0.2">
      <c r="A131" s="938"/>
      <c r="C131" s="901"/>
      <c r="D131" s="901"/>
      <c r="E131" s="901"/>
      <c r="F131" s="901"/>
      <c r="G131" s="901"/>
      <c r="H131" s="901"/>
      <c r="I131" s="901"/>
      <c r="J131" s="901"/>
      <c r="K131" s="901"/>
      <c r="L131" s="901"/>
      <c r="M131" s="901"/>
      <c r="N131" s="901"/>
      <c r="O131" s="900"/>
      <c r="P131" s="900"/>
      <c r="Q131" s="898"/>
      <c r="R131" s="901"/>
      <c r="S131" s="898"/>
      <c r="T131" s="900"/>
      <c r="U131" s="900"/>
      <c r="V131" s="900"/>
      <c r="W131" s="900"/>
      <c r="X131" s="900"/>
      <c r="Y131" s="901"/>
    </row>
    <row r="132" spans="1:25" x14ac:dyDescent="0.2">
      <c r="C132" s="901"/>
      <c r="D132" s="901"/>
      <c r="E132" s="901"/>
      <c r="F132" s="901"/>
      <c r="G132" s="901"/>
      <c r="H132" s="901"/>
      <c r="I132" s="901"/>
      <c r="J132" s="901"/>
      <c r="K132" s="901"/>
      <c r="L132" s="901"/>
      <c r="M132" s="901"/>
      <c r="N132" s="901"/>
      <c r="O132" s="900"/>
      <c r="P132" s="900"/>
      <c r="Q132" s="898"/>
      <c r="R132" s="901"/>
      <c r="S132" s="898"/>
      <c r="T132" s="900"/>
      <c r="U132" s="900"/>
      <c r="V132" s="900"/>
      <c r="W132" s="900"/>
      <c r="X132" s="900"/>
      <c r="Y132" s="901"/>
    </row>
    <row r="133" spans="1:25" x14ac:dyDescent="0.2">
      <c r="A133" s="893" t="s">
        <v>409</v>
      </c>
      <c r="C133" s="901"/>
      <c r="D133" s="901"/>
      <c r="E133" s="901"/>
      <c r="F133" s="901"/>
      <c r="G133" s="901"/>
      <c r="H133" s="901"/>
      <c r="I133" s="901"/>
      <c r="J133" s="901"/>
      <c r="K133" s="901"/>
      <c r="L133" s="901"/>
      <c r="M133" s="901"/>
      <c r="N133" s="901"/>
      <c r="O133" s="900"/>
      <c r="P133" s="900"/>
      <c r="Q133" s="898"/>
      <c r="R133" s="901"/>
      <c r="S133" s="898"/>
      <c r="T133" s="900"/>
      <c r="U133" s="900"/>
      <c r="V133" s="900"/>
      <c r="W133" s="900"/>
      <c r="X133" s="900"/>
      <c r="Y133" s="901"/>
    </row>
    <row r="134" spans="1:25" x14ac:dyDescent="0.2">
      <c r="A134" s="896" t="s">
        <v>410</v>
      </c>
      <c r="C134" s="939"/>
      <c r="D134" s="940"/>
      <c r="E134" s="940"/>
      <c r="F134" s="940"/>
      <c r="G134" s="940"/>
      <c r="H134" s="940"/>
      <c r="I134" s="940"/>
      <c r="J134" s="940"/>
      <c r="K134" s="940"/>
      <c r="L134" s="940"/>
      <c r="M134" s="940"/>
      <c r="N134" s="940"/>
      <c r="O134" s="941">
        <f>C134+D134+E134+F134+G134+H134+I134+J134+K134+L134+M134+N134</f>
        <v>0</v>
      </c>
      <c r="P134" s="900"/>
      <c r="Q134" s="898"/>
      <c r="R134" s="924" t="s">
        <v>374</v>
      </c>
      <c r="S134" s="898"/>
      <c r="T134" s="900"/>
      <c r="U134" s="939">
        <f>C134+D134+E134</f>
        <v>0</v>
      </c>
      <c r="V134" s="940">
        <f>F134+G134+H134</f>
        <v>0</v>
      </c>
      <c r="W134" s="940">
        <f>I134+J134+K134</f>
        <v>0</v>
      </c>
      <c r="X134" s="940">
        <f>L134+M134+N134</f>
        <v>0</v>
      </c>
      <c r="Y134" s="941">
        <f>SUM(U134:X134)</f>
        <v>0</v>
      </c>
    </row>
    <row r="135" spans="1:25" ht="6" customHeight="1" x14ac:dyDescent="0.2">
      <c r="A135" s="896"/>
      <c r="C135" s="901"/>
      <c r="D135" s="901"/>
      <c r="E135" s="901"/>
      <c r="F135" s="901"/>
      <c r="G135" s="901"/>
      <c r="H135" s="901"/>
      <c r="I135" s="901"/>
      <c r="J135" s="901"/>
      <c r="K135" s="901"/>
      <c r="L135" s="901"/>
      <c r="M135" s="901"/>
      <c r="N135" s="901"/>
      <c r="O135" s="900"/>
      <c r="P135" s="900"/>
      <c r="Q135" s="898"/>
      <c r="R135" s="942"/>
      <c r="S135" s="898"/>
      <c r="T135" s="900"/>
      <c r="U135" s="900"/>
      <c r="V135" s="900"/>
      <c r="W135" s="900"/>
      <c r="X135" s="900"/>
      <c r="Y135" s="901"/>
    </row>
    <row r="136" spans="1:25" x14ac:dyDescent="0.2">
      <c r="A136" s="896" t="s">
        <v>377</v>
      </c>
      <c r="C136" s="901"/>
      <c r="D136" s="901"/>
      <c r="E136" s="901"/>
      <c r="F136" s="901"/>
      <c r="G136" s="901"/>
      <c r="H136" s="901"/>
      <c r="I136" s="901"/>
      <c r="J136" s="901"/>
      <c r="K136" s="901"/>
      <c r="L136" s="901"/>
      <c r="M136" s="901"/>
      <c r="N136" s="901"/>
      <c r="O136" s="900"/>
      <c r="P136" s="900"/>
      <c r="Q136" s="898"/>
      <c r="R136" s="901"/>
      <c r="S136" s="898"/>
      <c r="T136" s="900"/>
      <c r="U136" s="900"/>
      <c r="V136" s="900"/>
      <c r="W136" s="900"/>
      <c r="X136" s="900"/>
      <c r="Y136" s="901"/>
    </row>
    <row r="137" spans="1:25" x14ac:dyDescent="0.2">
      <c r="A137" s="897" t="s">
        <v>385</v>
      </c>
      <c r="C137" s="910">
        <v>0</v>
      </c>
      <c r="D137" s="910">
        <v>0</v>
      </c>
      <c r="E137" s="910">
        <v>0</v>
      </c>
      <c r="F137" s="910">
        <v>0</v>
      </c>
      <c r="G137" s="910">
        <v>0</v>
      </c>
      <c r="H137" s="910">
        <v>0</v>
      </c>
      <c r="I137" s="910">
        <v>0</v>
      </c>
      <c r="J137" s="910">
        <v>0</v>
      </c>
      <c r="K137" s="910">
        <v>0</v>
      </c>
      <c r="L137" s="910">
        <v>0</v>
      </c>
      <c r="M137" s="910">
        <v>0</v>
      </c>
      <c r="N137" s="910">
        <v>0</v>
      </c>
      <c r="O137" s="693">
        <f>SUM(C137:N137)</f>
        <v>0</v>
      </c>
      <c r="P137" s="693"/>
      <c r="Q137" s="898"/>
      <c r="R137" s="904" t="s">
        <v>386</v>
      </c>
      <c r="S137" s="898"/>
      <c r="T137" s="693"/>
      <c r="U137" s="900">
        <f>C137+D137+E137</f>
        <v>0</v>
      </c>
      <c r="V137" s="900">
        <f>F137+G137+H137</f>
        <v>0</v>
      </c>
      <c r="W137" s="900">
        <f>I137+J137+K137</f>
        <v>0</v>
      </c>
      <c r="X137" s="900">
        <f>L137+M137+N137</f>
        <v>0</v>
      </c>
      <c r="Y137" s="901">
        <f>SUM(U137:X137)</f>
        <v>0</v>
      </c>
    </row>
    <row r="138" spans="1:25" x14ac:dyDescent="0.2">
      <c r="A138" s="897" t="s">
        <v>387</v>
      </c>
      <c r="C138" s="910">
        <v>0</v>
      </c>
      <c r="D138" s="910">
        <v>0</v>
      </c>
      <c r="E138" s="910">
        <v>0</v>
      </c>
      <c r="F138" s="910">
        <v>0</v>
      </c>
      <c r="G138" s="910">
        <v>0</v>
      </c>
      <c r="H138" s="910">
        <v>0</v>
      </c>
      <c r="I138" s="910">
        <v>0</v>
      </c>
      <c r="J138" s="910">
        <v>0</v>
      </c>
      <c r="K138" s="910">
        <v>0</v>
      </c>
      <c r="L138" s="910">
        <v>0</v>
      </c>
      <c r="M138" s="910">
        <v>0</v>
      </c>
      <c r="N138" s="910">
        <v>0</v>
      </c>
      <c r="O138" s="693">
        <f>SUM(C138:N138)</f>
        <v>0</v>
      </c>
      <c r="P138" s="693"/>
      <c r="Q138" s="898"/>
      <c r="R138" s="904" t="s">
        <v>386</v>
      </c>
      <c r="S138" s="898"/>
      <c r="T138" s="693"/>
      <c r="U138" s="900">
        <f>C138+D138+E138</f>
        <v>0</v>
      </c>
      <c r="V138" s="900">
        <f>F138+G138+H138</f>
        <v>0</v>
      </c>
      <c r="W138" s="900">
        <f>I138+J138+K138</f>
        <v>0</v>
      </c>
      <c r="X138" s="900">
        <f>L138+M138+N138</f>
        <v>0</v>
      </c>
      <c r="Y138" s="901">
        <f>SUM(U138:X138)</f>
        <v>0</v>
      </c>
    </row>
    <row r="139" spans="1:25" x14ac:dyDescent="0.2">
      <c r="A139" s="897" t="s">
        <v>411</v>
      </c>
      <c r="C139" s="702">
        <v>-119</v>
      </c>
      <c r="D139" s="702">
        <v>-131</v>
      </c>
      <c r="E139" s="702">
        <v>-141</v>
      </c>
      <c r="F139" s="702">
        <v>-132</v>
      </c>
      <c r="G139" s="702">
        <v>-130</v>
      </c>
      <c r="H139" s="702">
        <v>-125</v>
      </c>
      <c r="I139" s="702">
        <v>-133</v>
      </c>
      <c r="J139" s="702">
        <v>-123</v>
      </c>
      <c r="K139" s="702">
        <v>-190</v>
      </c>
      <c r="L139" s="702">
        <v>-140</v>
      </c>
      <c r="M139" s="702">
        <v>-200</v>
      </c>
      <c r="N139" s="702">
        <v>-160</v>
      </c>
      <c r="O139" s="693">
        <f>SUM(C139:N139)</f>
        <v>-1724</v>
      </c>
      <c r="P139" s="693"/>
      <c r="Q139" s="898"/>
      <c r="R139" s="904" t="s">
        <v>386</v>
      </c>
      <c r="S139" s="898"/>
      <c r="T139" s="693"/>
      <c r="U139" s="900">
        <f>C139+D139+E139</f>
        <v>-391</v>
      </c>
      <c r="V139" s="900">
        <f>F139+G139+H139</f>
        <v>-387</v>
      </c>
      <c r="W139" s="900">
        <f>I139+J139+K139</f>
        <v>-446</v>
      </c>
      <c r="X139" s="900">
        <f>L139+M139+N139</f>
        <v>-500</v>
      </c>
      <c r="Y139" s="901">
        <f>SUM(U139:X139)</f>
        <v>-1724</v>
      </c>
    </row>
    <row r="140" spans="1:25" x14ac:dyDescent="0.2">
      <c r="A140" s="897" t="s">
        <v>412</v>
      </c>
      <c r="C140" s="901"/>
      <c r="D140" s="901"/>
      <c r="E140" s="901"/>
      <c r="F140" s="901"/>
      <c r="G140" s="901"/>
      <c r="H140" s="901"/>
      <c r="I140" s="901"/>
      <c r="J140" s="901"/>
      <c r="K140" s="901"/>
      <c r="L140" s="901"/>
      <c r="M140" s="901"/>
      <c r="N140" s="901"/>
      <c r="O140" s="693">
        <f>SUM(C140:N140)</f>
        <v>0</v>
      </c>
      <c r="P140" s="693"/>
      <c r="Q140" s="898"/>
      <c r="R140" s="904" t="s">
        <v>386</v>
      </c>
      <c r="S140" s="898"/>
      <c r="T140" s="693"/>
      <c r="U140" s="900">
        <f>C140+D140+E140</f>
        <v>0</v>
      </c>
      <c r="V140" s="900">
        <f>F140+G140+H140</f>
        <v>0</v>
      </c>
      <c r="W140" s="900">
        <f>I140+J140+K140</f>
        <v>0</v>
      </c>
      <c r="X140" s="900">
        <f>L140+M140+N140</f>
        <v>0</v>
      </c>
      <c r="Y140" s="901">
        <f>SUM(U140:X140)</f>
        <v>0</v>
      </c>
    </row>
    <row r="141" spans="1:25" x14ac:dyDescent="0.2">
      <c r="A141" s="897" t="s">
        <v>413</v>
      </c>
      <c r="C141" s="943">
        <v>0</v>
      </c>
      <c r="D141" s="943">
        <v>0</v>
      </c>
      <c r="E141" s="943">
        <v>0</v>
      </c>
      <c r="F141" s="943">
        <v>0</v>
      </c>
      <c r="G141" s="943">
        <v>0</v>
      </c>
      <c r="H141" s="943">
        <v>0</v>
      </c>
      <c r="I141" s="943">
        <v>0</v>
      </c>
      <c r="J141" s="943">
        <v>0</v>
      </c>
      <c r="K141" s="943">
        <v>-6</v>
      </c>
      <c r="L141" s="943">
        <v>-6</v>
      </c>
      <c r="M141" s="943">
        <v>-6</v>
      </c>
      <c r="N141" s="943">
        <v>-9</v>
      </c>
      <c r="O141" s="695">
        <f>SUM(C141:N141)</f>
        <v>-27</v>
      </c>
      <c r="P141" s="693"/>
      <c r="Q141" s="898"/>
      <c r="R141" s="904" t="s">
        <v>386</v>
      </c>
      <c r="S141" s="898"/>
      <c r="T141" s="693"/>
      <c r="U141" s="907">
        <f>C141+D141+E141</f>
        <v>0</v>
      </c>
      <c r="V141" s="907">
        <f>F141+G141+H141</f>
        <v>0</v>
      </c>
      <c r="W141" s="907">
        <f>I141+J141+K141</f>
        <v>-6</v>
      </c>
      <c r="X141" s="907">
        <f>L141+M141+N141</f>
        <v>-21</v>
      </c>
      <c r="Y141" s="908">
        <f>SUM(U141:X141)</f>
        <v>-27</v>
      </c>
    </row>
    <row r="142" spans="1:25" x14ac:dyDescent="0.2">
      <c r="A142" s="897" t="s">
        <v>393</v>
      </c>
      <c r="C142" s="944">
        <f t="shared" ref="C142:O142" si="48">SUM(C137:C141)</f>
        <v>-119</v>
      </c>
      <c r="D142" s="944">
        <f t="shared" si="48"/>
        <v>-131</v>
      </c>
      <c r="E142" s="944">
        <f t="shared" si="48"/>
        <v>-141</v>
      </c>
      <c r="F142" s="944">
        <f t="shared" si="48"/>
        <v>-132</v>
      </c>
      <c r="G142" s="944">
        <f t="shared" si="48"/>
        <v>-130</v>
      </c>
      <c r="H142" s="944">
        <f t="shared" si="48"/>
        <v>-125</v>
      </c>
      <c r="I142" s="944">
        <f t="shared" si="48"/>
        <v>-133</v>
      </c>
      <c r="J142" s="944">
        <f t="shared" si="48"/>
        <v>-123</v>
      </c>
      <c r="K142" s="944">
        <f t="shared" si="48"/>
        <v>-196</v>
      </c>
      <c r="L142" s="944">
        <f t="shared" si="48"/>
        <v>-146</v>
      </c>
      <c r="M142" s="944">
        <f t="shared" si="48"/>
        <v>-206</v>
      </c>
      <c r="N142" s="944">
        <f t="shared" si="48"/>
        <v>-169</v>
      </c>
      <c r="O142" s="944">
        <f t="shared" si="48"/>
        <v>-1751</v>
      </c>
      <c r="P142" s="693"/>
      <c r="Q142" s="898"/>
      <c r="R142" s="904"/>
      <c r="S142" s="898"/>
      <c r="T142" s="693"/>
      <c r="U142" s="944">
        <f>SUM(U137:U141)</f>
        <v>-391</v>
      </c>
      <c r="V142" s="944">
        <f>SUM(V137:V141)</f>
        <v>-387</v>
      </c>
      <c r="W142" s="944">
        <f>SUM(W137:W141)</f>
        <v>-452</v>
      </c>
      <c r="X142" s="944">
        <f>SUM(X137:X141)</f>
        <v>-521</v>
      </c>
      <c r="Y142" s="944">
        <f>SUM(Y137:Y141)</f>
        <v>-1751</v>
      </c>
    </row>
    <row r="143" spans="1:25" ht="3.95" customHeight="1" x14ac:dyDescent="0.2">
      <c r="A143" s="897"/>
      <c r="C143" s="702"/>
      <c r="D143" s="702"/>
      <c r="E143" s="702"/>
      <c r="F143" s="702"/>
      <c r="G143" s="702"/>
      <c r="H143" s="702"/>
      <c r="I143" s="702"/>
      <c r="J143" s="702"/>
      <c r="K143" s="702"/>
      <c r="L143" s="702"/>
      <c r="M143" s="702"/>
      <c r="N143" s="702"/>
      <c r="O143" s="693"/>
      <c r="P143" s="693"/>
      <c r="Q143" s="898"/>
      <c r="R143" s="904"/>
      <c r="S143" s="898"/>
      <c r="T143" s="693"/>
      <c r="U143" s="900"/>
      <c r="V143" s="900"/>
      <c r="W143" s="900"/>
      <c r="X143" s="900"/>
      <c r="Y143" s="901"/>
    </row>
    <row r="144" spans="1:25" ht="12.75" customHeight="1" x14ac:dyDescent="0.2">
      <c r="A144" s="897" t="s">
        <v>54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9">
        <f>SUM(C144:N144)</f>
        <v>0</v>
      </c>
      <c r="P144" s="129"/>
      <c r="Q144" s="898"/>
      <c r="R144" s="903" t="s">
        <v>394</v>
      </c>
      <c r="S144" s="898"/>
      <c r="T144" s="129"/>
      <c r="U144" s="900">
        <f>C144+D144+E144</f>
        <v>0</v>
      </c>
      <c r="V144" s="900">
        <f>F144+G144+H144</f>
        <v>0</v>
      </c>
      <c r="W144" s="900">
        <f>I144+J144+K144</f>
        <v>0</v>
      </c>
      <c r="X144" s="900">
        <f>L144+M144+N144</f>
        <v>0</v>
      </c>
      <c r="Y144" s="901">
        <f>SUM(U144:X144)</f>
        <v>0</v>
      </c>
    </row>
    <row r="145" spans="1:25" ht="3.95" customHeight="1" x14ac:dyDescent="0.2">
      <c r="A145" s="897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693"/>
      <c r="P145" s="693"/>
      <c r="Q145" s="898"/>
      <c r="R145" s="904"/>
      <c r="S145" s="898"/>
      <c r="T145" s="693"/>
      <c r="U145" s="900"/>
      <c r="V145" s="900"/>
      <c r="W145" s="900"/>
      <c r="X145" s="900"/>
      <c r="Y145" s="901"/>
    </row>
    <row r="146" spans="1:25" s="913" customFormat="1" ht="12.75" customHeight="1" x14ac:dyDescent="0.2">
      <c r="A146" s="945" t="s">
        <v>396</v>
      </c>
      <c r="C146" s="128">
        <v>-17</v>
      </c>
      <c r="D146" s="128">
        <v>-17</v>
      </c>
      <c r="E146" s="128">
        <v>-9</v>
      </c>
      <c r="F146" s="128">
        <v>-9</v>
      </c>
      <c r="G146" s="128">
        <v>-9</v>
      </c>
      <c r="H146" s="128">
        <v>-9</v>
      </c>
      <c r="I146" s="128">
        <v>-9</v>
      </c>
      <c r="J146" s="128">
        <v>-9</v>
      </c>
      <c r="K146" s="128">
        <v>-9</v>
      </c>
      <c r="L146" s="128">
        <v>-9</v>
      </c>
      <c r="M146" s="128">
        <v>-9</v>
      </c>
      <c r="N146" s="128">
        <v>-9</v>
      </c>
      <c r="O146" s="693">
        <f>SUM(C146:N146)</f>
        <v>-124</v>
      </c>
      <c r="P146" s="693"/>
      <c r="Q146" s="923"/>
      <c r="R146" s="899" t="s">
        <v>397</v>
      </c>
      <c r="S146" s="923"/>
      <c r="T146" s="693"/>
      <c r="U146" s="917">
        <f>C146+D146+E146</f>
        <v>-43</v>
      </c>
      <c r="V146" s="917">
        <f>F146+G146+H146</f>
        <v>-27</v>
      </c>
      <c r="W146" s="917">
        <f>I146+J146+K146</f>
        <v>-27</v>
      </c>
      <c r="X146" s="917">
        <f>L146+M146+N146</f>
        <v>-27</v>
      </c>
      <c r="Y146" s="919">
        <f>SUM(U146:X146)</f>
        <v>-124</v>
      </c>
    </row>
    <row r="147" spans="1:25" s="913" customFormat="1" ht="3.95" customHeight="1" x14ac:dyDescent="0.2">
      <c r="A147" s="945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93"/>
      <c r="P147" s="693"/>
      <c r="Q147" s="923"/>
      <c r="R147" s="899"/>
      <c r="S147" s="923"/>
      <c r="T147" s="693"/>
      <c r="U147" s="917"/>
      <c r="V147" s="917"/>
      <c r="W147" s="917"/>
      <c r="X147" s="917"/>
      <c r="Y147" s="919"/>
    </row>
    <row r="148" spans="1:25" s="913" customFormat="1" ht="12.75" customHeight="1" x14ac:dyDescent="0.2">
      <c r="A148" s="930" t="s">
        <v>398</v>
      </c>
      <c r="C148" s="914">
        <f>SUM(C142:C146)</f>
        <v>-136</v>
      </c>
      <c r="D148" s="915">
        <f>SUM(D142:D146)</f>
        <v>-148</v>
      </c>
      <c r="E148" s="915">
        <f t="shared" ref="E148:O148" si="49">SUM(E142:E146)</f>
        <v>-150</v>
      </c>
      <c r="F148" s="915">
        <f t="shared" si="49"/>
        <v>-141</v>
      </c>
      <c r="G148" s="915">
        <f t="shared" si="49"/>
        <v>-139</v>
      </c>
      <c r="H148" s="915">
        <f t="shared" si="49"/>
        <v>-134</v>
      </c>
      <c r="I148" s="915">
        <f t="shared" si="49"/>
        <v>-142</v>
      </c>
      <c r="J148" s="915">
        <f t="shared" si="49"/>
        <v>-132</v>
      </c>
      <c r="K148" s="915">
        <f t="shared" si="49"/>
        <v>-205</v>
      </c>
      <c r="L148" s="915">
        <f t="shared" si="49"/>
        <v>-155</v>
      </c>
      <c r="M148" s="915">
        <f t="shared" si="49"/>
        <v>-215</v>
      </c>
      <c r="N148" s="915">
        <f t="shared" si="49"/>
        <v>-178</v>
      </c>
      <c r="O148" s="916">
        <f t="shared" si="49"/>
        <v>-1875</v>
      </c>
      <c r="P148" s="917"/>
      <c r="Q148" s="923"/>
      <c r="R148" s="919"/>
      <c r="S148" s="923"/>
      <c r="T148" s="917"/>
      <c r="U148" s="914">
        <f>SUM(U142:U146)</f>
        <v>-434</v>
      </c>
      <c r="V148" s="915">
        <f>SUM(V142:V146)</f>
        <v>-414</v>
      </c>
      <c r="W148" s="915">
        <f>SUM(W142:W146)</f>
        <v>-479</v>
      </c>
      <c r="X148" s="915">
        <f>SUM(X142:X146)</f>
        <v>-548</v>
      </c>
      <c r="Y148" s="916">
        <f>SUM(Y142:Y146)</f>
        <v>-1875</v>
      </c>
    </row>
    <row r="149" spans="1:25" s="913" customFormat="1" ht="12.75" customHeight="1" x14ac:dyDescent="0.2">
      <c r="A149" s="930"/>
      <c r="C149" s="919"/>
      <c r="D149" s="919"/>
      <c r="E149" s="919"/>
      <c r="F149" s="919"/>
      <c r="G149" s="919"/>
      <c r="H149" s="919"/>
      <c r="I149" s="919"/>
      <c r="J149" s="919"/>
      <c r="K149" s="919"/>
      <c r="L149" s="919"/>
      <c r="M149" s="919"/>
      <c r="N149" s="919"/>
      <c r="O149" s="917"/>
      <c r="P149" s="917"/>
      <c r="Q149" s="923"/>
      <c r="R149" s="919"/>
      <c r="S149" s="923"/>
      <c r="T149" s="917"/>
      <c r="U149" s="917"/>
      <c r="V149" s="917"/>
      <c r="W149" s="917"/>
      <c r="X149" s="917"/>
      <c r="Y149" s="919"/>
    </row>
    <row r="150" spans="1:25" s="913" customFormat="1" ht="12.75" customHeight="1" x14ac:dyDescent="0.2">
      <c r="A150" s="946" t="s">
        <v>414</v>
      </c>
      <c r="C150" s="932">
        <f t="shared" ref="C150:O150" si="50">+C134+C148</f>
        <v>-136</v>
      </c>
      <c r="D150" s="933">
        <f t="shared" si="50"/>
        <v>-148</v>
      </c>
      <c r="E150" s="933">
        <f t="shared" si="50"/>
        <v>-150</v>
      </c>
      <c r="F150" s="933">
        <f t="shared" si="50"/>
        <v>-141</v>
      </c>
      <c r="G150" s="933">
        <f t="shared" si="50"/>
        <v>-139</v>
      </c>
      <c r="H150" s="933">
        <f t="shared" si="50"/>
        <v>-134</v>
      </c>
      <c r="I150" s="933">
        <f t="shared" si="50"/>
        <v>-142</v>
      </c>
      <c r="J150" s="933">
        <f t="shared" si="50"/>
        <v>-132</v>
      </c>
      <c r="K150" s="933">
        <f t="shared" si="50"/>
        <v>-205</v>
      </c>
      <c r="L150" s="933">
        <f t="shared" si="50"/>
        <v>-155</v>
      </c>
      <c r="M150" s="933">
        <f t="shared" si="50"/>
        <v>-215</v>
      </c>
      <c r="N150" s="933">
        <f t="shared" si="50"/>
        <v>-178</v>
      </c>
      <c r="O150" s="934">
        <f t="shared" si="50"/>
        <v>-1875</v>
      </c>
      <c r="P150" s="935"/>
      <c r="Q150" s="936"/>
      <c r="R150" s="937"/>
      <c r="S150" s="936"/>
      <c r="T150" s="935"/>
      <c r="U150" s="932">
        <f>+U134+U148</f>
        <v>-434</v>
      </c>
      <c r="V150" s="933">
        <f>+V134+V148</f>
        <v>-414</v>
      </c>
      <c r="W150" s="933">
        <f>+W134+W148</f>
        <v>-479</v>
      </c>
      <c r="X150" s="933">
        <f>+X134+X148</f>
        <v>-548</v>
      </c>
      <c r="Y150" s="934">
        <f>+Y134+Y148</f>
        <v>-1875</v>
      </c>
    </row>
    <row r="151" spans="1:25" s="913" customFormat="1" ht="12.75" customHeight="1" x14ac:dyDescent="0.2">
      <c r="A151" s="946"/>
      <c r="C151" s="911"/>
      <c r="D151" s="911"/>
      <c r="E151" s="911"/>
      <c r="F151" s="911"/>
      <c r="G151" s="911"/>
      <c r="H151" s="911"/>
      <c r="I151" s="911"/>
      <c r="J151" s="911"/>
      <c r="K151" s="911"/>
      <c r="L151" s="911"/>
      <c r="M151" s="911"/>
      <c r="N151" s="911"/>
      <c r="O151" s="925"/>
      <c r="P151" s="925"/>
      <c r="Q151" s="918"/>
      <c r="R151" s="911"/>
      <c r="S151" s="918"/>
      <c r="T151" s="925"/>
      <c r="U151" s="925"/>
      <c r="V151" s="925"/>
      <c r="W151" s="925"/>
      <c r="X151" s="925"/>
      <c r="Y151" s="911"/>
    </row>
    <row r="152" spans="1:25" x14ac:dyDescent="0.2">
      <c r="A152" s="893" t="s">
        <v>415</v>
      </c>
      <c r="C152" s="901"/>
      <c r="D152" s="901"/>
      <c r="E152" s="901"/>
      <c r="F152" s="901"/>
      <c r="G152" s="901"/>
      <c r="H152" s="901"/>
      <c r="I152" s="901"/>
      <c r="J152" s="901"/>
      <c r="K152" s="901"/>
      <c r="L152" s="901"/>
      <c r="M152" s="901"/>
      <c r="N152" s="901"/>
      <c r="O152" s="900"/>
      <c r="P152" s="900"/>
      <c r="Q152" s="898"/>
      <c r="R152" s="901"/>
      <c r="S152" s="898"/>
      <c r="T152" s="900"/>
      <c r="U152" s="900"/>
      <c r="V152" s="900"/>
      <c r="W152" s="900"/>
      <c r="X152" s="900"/>
      <c r="Y152" s="901"/>
    </row>
    <row r="153" spans="1:25" x14ac:dyDescent="0.2">
      <c r="A153" s="896" t="s">
        <v>416</v>
      </c>
      <c r="C153" s="947">
        <v>0</v>
      </c>
      <c r="D153" s="948">
        <v>0</v>
      </c>
      <c r="E153" s="948">
        <v>0</v>
      </c>
      <c r="F153" s="948">
        <v>0</v>
      </c>
      <c r="G153" s="948">
        <v>-21</v>
      </c>
      <c r="H153" s="948">
        <v>0</v>
      </c>
      <c r="I153" s="948">
        <v>0</v>
      </c>
      <c r="J153" s="948">
        <v>-9</v>
      </c>
      <c r="K153" s="948">
        <v>0</v>
      </c>
      <c r="L153" s="948">
        <v>0</v>
      </c>
      <c r="M153" s="948">
        <v>0</v>
      </c>
      <c r="N153" s="948">
        <v>0</v>
      </c>
      <c r="O153" s="949">
        <f>SUM(C153:N153)</f>
        <v>-30</v>
      </c>
      <c r="P153" s="950"/>
      <c r="Q153" s="898"/>
      <c r="R153" s="924" t="s">
        <v>374</v>
      </c>
      <c r="S153" s="898"/>
      <c r="T153" s="950"/>
      <c r="U153" s="939">
        <f>C153+D153+E153</f>
        <v>0</v>
      </c>
      <c r="V153" s="940">
        <f>F153+G153+H153</f>
        <v>-21</v>
      </c>
      <c r="W153" s="940">
        <f>I153+J153+K153</f>
        <v>-9</v>
      </c>
      <c r="X153" s="940">
        <f>L153+M153+N153</f>
        <v>0</v>
      </c>
      <c r="Y153" s="941">
        <f>SUM(U153:X153)</f>
        <v>-30</v>
      </c>
    </row>
    <row r="154" spans="1:25" ht="6" customHeight="1" x14ac:dyDescent="0.2">
      <c r="A154" s="951"/>
      <c r="C154" s="901"/>
      <c r="D154" s="901"/>
      <c r="E154" s="901"/>
      <c r="F154" s="901"/>
      <c r="G154" s="901"/>
      <c r="H154" s="901"/>
      <c r="I154" s="901"/>
      <c r="J154" s="901"/>
      <c r="K154" s="901"/>
      <c r="L154" s="901"/>
      <c r="M154" s="901"/>
      <c r="N154" s="901"/>
      <c r="O154" s="900"/>
      <c r="P154" s="900"/>
      <c r="Q154" s="898"/>
      <c r="R154" s="901"/>
      <c r="S154" s="898"/>
      <c r="T154" s="900"/>
      <c r="U154" s="900"/>
      <c r="V154" s="900"/>
      <c r="W154" s="900"/>
      <c r="X154" s="900"/>
      <c r="Y154" s="901"/>
    </row>
    <row r="155" spans="1:25" x14ac:dyDescent="0.2">
      <c r="A155" s="896" t="s">
        <v>377</v>
      </c>
      <c r="C155" s="901"/>
      <c r="D155" s="901"/>
      <c r="E155" s="901"/>
      <c r="F155" s="901"/>
      <c r="G155" s="901"/>
      <c r="H155" s="901"/>
      <c r="I155" s="901"/>
      <c r="J155" s="901"/>
      <c r="K155" s="901"/>
      <c r="L155" s="901"/>
      <c r="M155" s="901"/>
      <c r="N155" s="901"/>
      <c r="O155" s="900"/>
      <c r="P155" s="900"/>
      <c r="Q155" s="898"/>
      <c r="R155" s="901"/>
      <c r="S155" s="898"/>
      <c r="T155" s="900"/>
      <c r="U155" s="900"/>
      <c r="V155" s="900"/>
      <c r="W155" s="900"/>
      <c r="X155" s="900"/>
      <c r="Y155" s="901"/>
    </row>
    <row r="156" spans="1:25" x14ac:dyDescent="0.2">
      <c r="A156" s="897" t="s">
        <v>417</v>
      </c>
      <c r="C156" s="856">
        <f>-1870-SUM(C157:C167)</f>
        <v>-1870</v>
      </c>
      <c r="D156" s="856">
        <f>-2099-SUM(D157:D167)</f>
        <v>-1899</v>
      </c>
      <c r="E156" s="856">
        <f>-2611-SUM(E157:E167)</f>
        <v>-2311</v>
      </c>
      <c r="F156" s="856">
        <f>-1806-SUM(F157:F167)</f>
        <v>-1606</v>
      </c>
      <c r="G156" s="856">
        <f>-2795-SUM(G157:G167)</f>
        <v>-2695</v>
      </c>
      <c r="H156" s="856">
        <f>-2490-SUM(H157:H167)</f>
        <v>-2390</v>
      </c>
      <c r="I156" s="856">
        <f>-2180-SUM(I157:I167)-1</f>
        <v>-2781</v>
      </c>
      <c r="J156" s="856">
        <f>-2478-SUM(J157:J167)</f>
        <v>-2546</v>
      </c>
      <c r="K156" s="702">
        <v>-1111</v>
      </c>
      <c r="L156" s="702">
        <v>-1692</v>
      </c>
      <c r="M156" s="702">
        <v>-1634</v>
      </c>
      <c r="N156" s="702">
        <v>-799</v>
      </c>
      <c r="O156" s="693">
        <f t="shared" ref="O156:O169" si="51">SUM(C156:N156)</f>
        <v>-23334</v>
      </c>
      <c r="P156" s="693"/>
      <c r="Q156" s="898"/>
      <c r="R156" s="904" t="s">
        <v>386</v>
      </c>
      <c r="S156" s="898"/>
      <c r="T156" s="693"/>
      <c r="U156" s="900">
        <f t="shared" ref="U156:U169" si="52">C156+D156+E156</f>
        <v>-6080</v>
      </c>
      <c r="V156" s="900">
        <f t="shared" ref="V156:V169" si="53">F156+G156+H156</f>
        <v>-6691</v>
      </c>
      <c r="W156" s="900">
        <f t="shared" ref="W156:W169" si="54">I156+J156+K156</f>
        <v>-6438</v>
      </c>
      <c r="X156" s="900">
        <f t="shared" ref="X156:X169" si="55">L156+M156+N156</f>
        <v>-4125</v>
      </c>
      <c r="Y156" s="901">
        <f t="shared" ref="Y156:Y169" si="56">SUM(U156:X156)</f>
        <v>-23334</v>
      </c>
    </row>
    <row r="157" spans="1:25" x14ac:dyDescent="0.2">
      <c r="A157" s="897" t="s">
        <v>418</v>
      </c>
      <c r="C157" s="910"/>
      <c r="D157" s="910"/>
      <c r="E157" s="910"/>
      <c r="F157" s="910"/>
      <c r="G157" s="910"/>
      <c r="H157" s="910"/>
      <c r="I157" s="901"/>
      <c r="J157" s="901"/>
      <c r="K157" s="901"/>
      <c r="L157" s="901"/>
      <c r="M157" s="901"/>
      <c r="N157" s="901"/>
      <c r="O157" s="693">
        <f t="shared" si="51"/>
        <v>0</v>
      </c>
      <c r="P157" s="693"/>
      <c r="Q157" s="898"/>
      <c r="R157" s="904" t="s">
        <v>386</v>
      </c>
      <c r="S157" s="898"/>
      <c r="T157" s="693"/>
      <c r="U157" s="900">
        <f t="shared" si="52"/>
        <v>0</v>
      </c>
      <c r="V157" s="900">
        <f t="shared" si="53"/>
        <v>0</v>
      </c>
      <c r="W157" s="900">
        <f t="shared" si="54"/>
        <v>0</v>
      </c>
      <c r="X157" s="900">
        <f t="shared" si="55"/>
        <v>0</v>
      </c>
      <c r="Y157" s="901">
        <f t="shared" si="56"/>
        <v>0</v>
      </c>
    </row>
    <row r="158" spans="1:25" x14ac:dyDescent="0.2">
      <c r="A158" s="897" t="s">
        <v>387</v>
      </c>
      <c r="C158" s="910">
        <v>0</v>
      </c>
      <c r="D158" s="910">
        <v>0</v>
      </c>
      <c r="E158" s="910">
        <v>0</v>
      </c>
      <c r="F158" s="910">
        <v>0</v>
      </c>
      <c r="G158" s="910">
        <v>100</v>
      </c>
      <c r="H158" s="910">
        <v>200</v>
      </c>
      <c r="I158" s="910">
        <v>200</v>
      </c>
      <c r="J158" s="910">
        <v>196</v>
      </c>
      <c r="K158" s="910">
        <v>108</v>
      </c>
      <c r="L158" s="910">
        <v>72</v>
      </c>
      <c r="M158" s="910">
        <v>73</v>
      </c>
      <c r="N158" s="910">
        <v>121</v>
      </c>
      <c r="O158" s="693">
        <f t="shared" si="51"/>
        <v>1070</v>
      </c>
      <c r="P158" s="693"/>
      <c r="Q158" s="898"/>
      <c r="R158" s="904" t="s">
        <v>386</v>
      </c>
      <c r="S158" s="898"/>
      <c r="T158" s="693"/>
      <c r="U158" s="900">
        <f t="shared" si="52"/>
        <v>0</v>
      </c>
      <c r="V158" s="900">
        <f t="shared" si="53"/>
        <v>300</v>
      </c>
      <c r="W158" s="900">
        <f t="shared" si="54"/>
        <v>504</v>
      </c>
      <c r="X158" s="900">
        <f t="shared" si="55"/>
        <v>266</v>
      </c>
      <c r="Y158" s="901">
        <f t="shared" si="56"/>
        <v>1070</v>
      </c>
    </row>
    <row r="159" spans="1:25" x14ac:dyDescent="0.2">
      <c r="A159" s="897" t="s">
        <v>419</v>
      </c>
      <c r="C159" s="910">
        <v>-100</v>
      </c>
      <c r="D159" s="910">
        <v>-100</v>
      </c>
      <c r="E159" s="910">
        <v>-100</v>
      </c>
      <c r="F159" s="910">
        <v>-100</v>
      </c>
      <c r="G159" s="910">
        <v>-100</v>
      </c>
      <c r="H159" s="910">
        <v>-200</v>
      </c>
      <c r="I159" s="910">
        <v>-100</v>
      </c>
      <c r="J159" s="910">
        <v>-128</v>
      </c>
      <c r="K159" s="910">
        <v>-129</v>
      </c>
      <c r="L159" s="910">
        <v>-128</v>
      </c>
      <c r="M159" s="910">
        <v>-127</v>
      </c>
      <c r="N159" s="910">
        <v>-149</v>
      </c>
      <c r="O159" s="693">
        <f t="shared" si="51"/>
        <v>-1461</v>
      </c>
      <c r="P159" s="693"/>
      <c r="Q159" s="898"/>
      <c r="R159" s="904" t="s">
        <v>386</v>
      </c>
      <c r="S159" s="898"/>
      <c r="T159" s="693"/>
      <c r="U159" s="900">
        <f t="shared" si="52"/>
        <v>-300</v>
      </c>
      <c r="V159" s="900">
        <f t="shared" si="53"/>
        <v>-400</v>
      </c>
      <c r="W159" s="900">
        <f t="shared" si="54"/>
        <v>-357</v>
      </c>
      <c r="X159" s="900">
        <f t="shared" si="55"/>
        <v>-404</v>
      </c>
      <c r="Y159" s="901">
        <f t="shared" si="56"/>
        <v>-1461</v>
      </c>
    </row>
    <row r="160" spans="1:25" x14ac:dyDescent="0.2">
      <c r="A160" s="897" t="s">
        <v>420</v>
      </c>
      <c r="C160" s="910"/>
      <c r="D160" s="910"/>
      <c r="E160" s="910"/>
      <c r="F160" s="910"/>
      <c r="G160" s="910"/>
      <c r="H160" s="910"/>
      <c r="I160" s="901"/>
      <c r="J160" s="901"/>
      <c r="K160" s="901"/>
      <c r="L160" s="901"/>
      <c r="M160" s="901"/>
      <c r="N160" s="901"/>
      <c r="O160" s="693">
        <f t="shared" si="51"/>
        <v>0</v>
      </c>
      <c r="P160" s="693"/>
      <c r="Q160" s="898"/>
      <c r="R160" s="904" t="s">
        <v>386</v>
      </c>
      <c r="S160" s="898"/>
      <c r="T160" s="693"/>
      <c r="U160" s="900">
        <f t="shared" si="52"/>
        <v>0</v>
      </c>
      <c r="V160" s="900">
        <f t="shared" si="53"/>
        <v>0</v>
      </c>
      <c r="W160" s="900">
        <f t="shared" si="54"/>
        <v>0</v>
      </c>
      <c r="X160" s="900">
        <f t="shared" si="55"/>
        <v>0</v>
      </c>
      <c r="Y160" s="901">
        <f t="shared" si="56"/>
        <v>0</v>
      </c>
    </row>
    <row r="161" spans="1:25" x14ac:dyDescent="0.2">
      <c r="A161" s="897" t="s">
        <v>421</v>
      </c>
      <c r="C161" s="910"/>
      <c r="D161" s="910"/>
      <c r="E161" s="910"/>
      <c r="F161" s="910"/>
      <c r="G161" s="910"/>
      <c r="H161" s="910"/>
      <c r="I161" s="901"/>
      <c r="J161" s="901"/>
      <c r="K161" s="901"/>
      <c r="L161" s="901"/>
      <c r="M161" s="901"/>
      <c r="N161" s="901"/>
      <c r="O161" s="693">
        <f t="shared" si="51"/>
        <v>0</v>
      </c>
      <c r="P161" s="693"/>
      <c r="Q161" s="898"/>
      <c r="R161" s="904" t="s">
        <v>386</v>
      </c>
      <c r="S161" s="898"/>
      <c r="T161" s="693"/>
      <c r="U161" s="900">
        <f t="shared" si="52"/>
        <v>0</v>
      </c>
      <c r="V161" s="900">
        <f t="shared" si="53"/>
        <v>0</v>
      </c>
      <c r="W161" s="900">
        <f t="shared" si="54"/>
        <v>0</v>
      </c>
      <c r="X161" s="900">
        <f t="shared" si="55"/>
        <v>0</v>
      </c>
      <c r="Y161" s="901">
        <f t="shared" si="56"/>
        <v>0</v>
      </c>
    </row>
    <row r="162" spans="1:25" x14ac:dyDescent="0.2">
      <c r="A162" s="897" t="s">
        <v>422</v>
      </c>
      <c r="C162" s="910"/>
      <c r="D162" s="910"/>
      <c r="E162" s="910"/>
      <c r="F162" s="910"/>
      <c r="G162" s="910"/>
      <c r="H162" s="910"/>
      <c r="I162" s="901"/>
      <c r="J162" s="901"/>
      <c r="K162" s="901"/>
      <c r="L162" s="901"/>
      <c r="M162" s="901"/>
      <c r="N162" s="901"/>
      <c r="O162" s="693">
        <f t="shared" si="51"/>
        <v>0</v>
      </c>
      <c r="P162" s="693"/>
      <c r="Q162" s="898"/>
      <c r="R162" s="904" t="s">
        <v>386</v>
      </c>
      <c r="S162" s="898"/>
      <c r="T162" s="693"/>
      <c r="U162" s="900">
        <f t="shared" si="52"/>
        <v>0</v>
      </c>
      <c r="V162" s="900">
        <f t="shared" si="53"/>
        <v>0</v>
      </c>
      <c r="W162" s="900">
        <f t="shared" si="54"/>
        <v>0</v>
      </c>
      <c r="X162" s="900">
        <f t="shared" si="55"/>
        <v>0</v>
      </c>
      <c r="Y162" s="901">
        <f t="shared" si="56"/>
        <v>0</v>
      </c>
    </row>
    <row r="163" spans="1:25" x14ac:dyDescent="0.2">
      <c r="A163" s="897" t="s">
        <v>423</v>
      </c>
      <c r="C163" s="910"/>
      <c r="D163" s="910"/>
      <c r="E163" s="910"/>
      <c r="F163" s="910"/>
      <c r="G163" s="910"/>
      <c r="H163" s="910"/>
      <c r="I163" s="901"/>
      <c r="J163" s="901"/>
      <c r="K163" s="901"/>
      <c r="L163" s="901"/>
      <c r="M163" s="901"/>
      <c r="N163" s="901"/>
      <c r="O163" s="693">
        <f t="shared" si="51"/>
        <v>0</v>
      </c>
      <c r="P163" s="693"/>
      <c r="Q163" s="898"/>
      <c r="R163" s="904" t="s">
        <v>386</v>
      </c>
      <c r="S163" s="898"/>
      <c r="T163" s="693"/>
      <c r="U163" s="900">
        <f t="shared" si="52"/>
        <v>0</v>
      </c>
      <c r="V163" s="900">
        <f t="shared" si="53"/>
        <v>0</v>
      </c>
      <c r="W163" s="900">
        <f t="shared" si="54"/>
        <v>0</v>
      </c>
      <c r="X163" s="900">
        <f t="shared" si="55"/>
        <v>0</v>
      </c>
      <c r="Y163" s="901">
        <f t="shared" si="56"/>
        <v>0</v>
      </c>
    </row>
    <row r="164" spans="1:25" x14ac:dyDescent="0.2">
      <c r="A164" s="897" t="s">
        <v>424</v>
      </c>
      <c r="C164" s="910"/>
      <c r="D164" s="910"/>
      <c r="E164" s="910"/>
      <c r="F164" s="910"/>
      <c r="G164" s="910"/>
      <c r="H164" s="910"/>
      <c r="I164" s="901"/>
      <c r="J164" s="901"/>
      <c r="K164" s="901"/>
      <c r="L164" s="901"/>
      <c r="M164" s="901"/>
      <c r="N164" s="901"/>
      <c r="O164" s="693">
        <f t="shared" si="51"/>
        <v>0</v>
      </c>
      <c r="P164" s="693"/>
      <c r="Q164" s="898"/>
      <c r="R164" s="904" t="s">
        <v>386</v>
      </c>
      <c r="S164" s="898"/>
      <c r="T164" s="693"/>
      <c r="U164" s="900">
        <f t="shared" si="52"/>
        <v>0</v>
      </c>
      <c r="V164" s="900">
        <f t="shared" si="53"/>
        <v>0</v>
      </c>
      <c r="W164" s="900">
        <f t="shared" si="54"/>
        <v>0</v>
      </c>
      <c r="X164" s="900">
        <f t="shared" si="55"/>
        <v>0</v>
      </c>
      <c r="Y164" s="901">
        <f t="shared" si="56"/>
        <v>0</v>
      </c>
    </row>
    <row r="165" spans="1:25" x14ac:dyDescent="0.2">
      <c r="A165" s="897" t="s">
        <v>425</v>
      </c>
      <c r="C165" s="910"/>
      <c r="D165" s="910"/>
      <c r="E165" s="910"/>
      <c r="F165" s="910"/>
      <c r="G165" s="910"/>
      <c r="H165" s="910"/>
      <c r="I165" s="901"/>
      <c r="J165" s="901"/>
      <c r="K165" s="901"/>
      <c r="L165" s="901"/>
      <c r="M165" s="901"/>
      <c r="N165" s="901"/>
      <c r="O165" s="693">
        <f t="shared" si="51"/>
        <v>0</v>
      </c>
      <c r="P165" s="693"/>
      <c r="Q165" s="898"/>
      <c r="R165" s="904" t="s">
        <v>386</v>
      </c>
      <c r="S165" s="898"/>
      <c r="T165" s="693"/>
      <c r="U165" s="900">
        <f t="shared" si="52"/>
        <v>0</v>
      </c>
      <c r="V165" s="900">
        <f t="shared" si="53"/>
        <v>0</v>
      </c>
      <c r="W165" s="900">
        <f t="shared" si="54"/>
        <v>0</v>
      </c>
      <c r="X165" s="900">
        <f t="shared" si="55"/>
        <v>0</v>
      </c>
      <c r="Y165" s="901">
        <f t="shared" si="56"/>
        <v>0</v>
      </c>
    </row>
    <row r="166" spans="1:25" x14ac:dyDescent="0.2">
      <c r="A166" s="897" t="s">
        <v>426</v>
      </c>
      <c r="C166" s="910">
        <v>100</v>
      </c>
      <c r="D166" s="910">
        <v>-100</v>
      </c>
      <c r="E166" s="910">
        <v>-200</v>
      </c>
      <c r="F166" s="910">
        <v>-100</v>
      </c>
      <c r="G166" s="910">
        <v>-100</v>
      </c>
      <c r="H166" s="910">
        <v>-100</v>
      </c>
      <c r="I166" s="910">
        <v>500</v>
      </c>
      <c r="J166" s="910">
        <v>0</v>
      </c>
      <c r="K166" s="910">
        <v>0</v>
      </c>
      <c r="L166" s="910">
        <v>0</v>
      </c>
      <c r="M166" s="910">
        <v>0</v>
      </c>
      <c r="N166" s="910">
        <v>0</v>
      </c>
      <c r="O166" s="693">
        <f t="shared" si="51"/>
        <v>0</v>
      </c>
      <c r="P166" s="693"/>
      <c r="Q166" s="898"/>
      <c r="R166" s="904" t="s">
        <v>386</v>
      </c>
      <c r="S166" s="898"/>
      <c r="T166" s="693"/>
      <c r="U166" s="900">
        <f t="shared" si="52"/>
        <v>-200</v>
      </c>
      <c r="V166" s="900">
        <f t="shared" si="53"/>
        <v>-300</v>
      </c>
      <c r="W166" s="900">
        <f t="shared" si="54"/>
        <v>500</v>
      </c>
      <c r="X166" s="900">
        <f t="shared" si="55"/>
        <v>0</v>
      </c>
      <c r="Y166" s="901">
        <f t="shared" si="56"/>
        <v>0</v>
      </c>
    </row>
    <row r="167" spans="1:25" x14ac:dyDescent="0.2">
      <c r="A167" s="897" t="s">
        <v>427</v>
      </c>
      <c r="C167" s="901"/>
      <c r="D167" s="901"/>
      <c r="E167" s="901"/>
      <c r="F167" s="901"/>
      <c r="G167" s="901"/>
      <c r="H167" s="901"/>
      <c r="I167" s="901"/>
      <c r="J167" s="901"/>
      <c r="K167" s="901"/>
      <c r="L167" s="901"/>
      <c r="M167" s="901"/>
      <c r="N167" s="901"/>
      <c r="O167" s="693">
        <f t="shared" si="51"/>
        <v>0</v>
      </c>
      <c r="P167" s="693"/>
      <c r="Q167" s="898"/>
      <c r="R167" s="904" t="s">
        <v>386</v>
      </c>
      <c r="S167" s="898"/>
      <c r="T167" s="693"/>
      <c r="U167" s="900">
        <f t="shared" si="52"/>
        <v>0</v>
      </c>
      <c r="V167" s="900">
        <f t="shared" si="53"/>
        <v>0</v>
      </c>
      <c r="W167" s="900">
        <f t="shared" si="54"/>
        <v>0</v>
      </c>
      <c r="X167" s="900">
        <f t="shared" si="55"/>
        <v>0</v>
      </c>
      <c r="Y167" s="901">
        <f t="shared" si="56"/>
        <v>0</v>
      </c>
    </row>
    <row r="168" spans="1:25" x14ac:dyDescent="0.2">
      <c r="A168" s="897" t="s">
        <v>359</v>
      </c>
      <c r="C168" s="901"/>
      <c r="D168" s="901"/>
      <c r="E168" s="901"/>
      <c r="F168" s="901"/>
      <c r="G168" s="901"/>
      <c r="H168" s="901"/>
      <c r="I168" s="901"/>
      <c r="J168" s="901"/>
      <c r="K168" s="901"/>
      <c r="L168" s="901"/>
      <c r="M168" s="901"/>
      <c r="N168" s="901"/>
      <c r="O168" s="693">
        <f t="shared" si="51"/>
        <v>0</v>
      </c>
      <c r="P168" s="693"/>
      <c r="Q168" s="898"/>
      <c r="R168" s="904" t="s">
        <v>386</v>
      </c>
      <c r="S168" s="898"/>
      <c r="T168" s="693"/>
      <c r="U168" s="900">
        <f t="shared" si="52"/>
        <v>0</v>
      </c>
      <c r="V168" s="900">
        <f t="shared" si="53"/>
        <v>0</v>
      </c>
      <c r="W168" s="900">
        <f t="shared" si="54"/>
        <v>0</v>
      </c>
      <c r="X168" s="900">
        <f t="shared" si="55"/>
        <v>0</v>
      </c>
      <c r="Y168" s="901">
        <f t="shared" si="56"/>
        <v>0</v>
      </c>
    </row>
    <row r="169" spans="1:25" x14ac:dyDescent="0.2">
      <c r="A169" s="897" t="s">
        <v>369</v>
      </c>
      <c r="C169" s="922">
        <v>0</v>
      </c>
      <c r="D169" s="922">
        <v>0</v>
      </c>
      <c r="E169" s="922">
        <v>0</v>
      </c>
      <c r="F169" s="922">
        <v>0</v>
      </c>
      <c r="G169" s="922">
        <v>0</v>
      </c>
      <c r="H169" s="922">
        <v>0</v>
      </c>
      <c r="I169" s="922">
        <v>0</v>
      </c>
      <c r="J169" s="922">
        <v>0</v>
      </c>
      <c r="K169" s="922">
        <v>0</v>
      </c>
      <c r="L169" s="922">
        <v>0</v>
      </c>
      <c r="M169" s="922">
        <v>0</v>
      </c>
      <c r="N169" s="922">
        <v>0</v>
      </c>
      <c r="O169" s="695">
        <f t="shared" si="51"/>
        <v>0</v>
      </c>
      <c r="P169" s="693"/>
      <c r="Q169" s="898"/>
      <c r="R169" s="904" t="s">
        <v>386</v>
      </c>
      <c r="S169" s="898"/>
      <c r="T169" s="693"/>
      <c r="U169" s="907">
        <f t="shared" si="52"/>
        <v>0</v>
      </c>
      <c r="V169" s="907">
        <f t="shared" si="53"/>
        <v>0</v>
      </c>
      <c r="W169" s="907">
        <f t="shared" si="54"/>
        <v>0</v>
      </c>
      <c r="X169" s="907">
        <f t="shared" si="55"/>
        <v>0</v>
      </c>
      <c r="Y169" s="908">
        <f t="shared" si="56"/>
        <v>0</v>
      </c>
    </row>
    <row r="170" spans="1:25" x14ac:dyDescent="0.2">
      <c r="A170" s="897" t="s">
        <v>393</v>
      </c>
      <c r="C170" s="901">
        <f t="shared" ref="C170:O170" si="57">SUM(C156:C169)</f>
        <v>-1870</v>
      </c>
      <c r="D170" s="901">
        <f t="shared" si="57"/>
        <v>-2099</v>
      </c>
      <c r="E170" s="901">
        <f t="shared" si="57"/>
        <v>-2611</v>
      </c>
      <c r="F170" s="901">
        <f t="shared" si="57"/>
        <v>-1806</v>
      </c>
      <c r="G170" s="901">
        <f t="shared" si="57"/>
        <v>-2795</v>
      </c>
      <c r="H170" s="901">
        <f t="shared" si="57"/>
        <v>-2490</v>
      </c>
      <c r="I170" s="901">
        <f t="shared" si="57"/>
        <v>-2181</v>
      </c>
      <c r="J170" s="901">
        <f t="shared" si="57"/>
        <v>-2478</v>
      </c>
      <c r="K170" s="901">
        <f t="shared" si="57"/>
        <v>-1132</v>
      </c>
      <c r="L170" s="901">
        <f t="shared" si="57"/>
        <v>-1748</v>
      </c>
      <c r="M170" s="901">
        <f t="shared" si="57"/>
        <v>-1688</v>
      </c>
      <c r="N170" s="901">
        <f t="shared" si="57"/>
        <v>-827</v>
      </c>
      <c r="O170" s="901">
        <f t="shared" si="57"/>
        <v>-23725</v>
      </c>
      <c r="P170" s="693"/>
      <c r="Q170" s="898"/>
      <c r="R170" s="904"/>
      <c r="S170" s="898"/>
      <c r="T170" s="693"/>
      <c r="U170" s="901">
        <f>SUM(U156:U169)</f>
        <v>-6580</v>
      </c>
      <c r="V170" s="901">
        <f>SUM(V156:V169)</f>
        <v>-7091</v>
      </c>
      <c r="W170" s="901">
        <f>SUM(W156:W169)</f>
        <v>-5791</v>
      </c>
      <c r="X170" s="901">
        <f>SUM(X156:X169)</f>
        <v>-4263</v>
      </c>
      <c r="Y170" s="901">
        <f>SUM(Y156:Y169)</f>
        <v>-23725</v>
      </c>
    </row>
    <row r="171" spans="1:25" ht="3.95" customHeight="1" x14ac:dyDescent="0.2">
      <c r="A171" s="897"/>
      <c r="C171" s="901"/>
      <c r="D171" s="901"/>
      <c r="E171" s="901"/>
      <c r="F171" s="901"/>
      <c r="G171" s="901"/>
      <c r="H171" s="901"/>
      <c r="I171" s="901"/>
      <c r="J171" s="901"/>
      <c r="K171" s="901"/>
      <c r="L171" s="901"/>
      <c r="M171" s="901"/>
      <c r="N171" s="901"/>
      <c r="O171" s="693"/>
      <c r="P171" s="693"/>
      <c r="Q171" s="898"/>
      <c r="R171" s="904"/>
      <c r="S171" s="898"/>
      <c r="T171" s="693"/>
      <c r="U171" s="900"/>
      <c r="V171" s="900"/>
      <c r="W171" s="900"/>
      <c r="X171" s="900"/>
      <c r="Y171" s="901"/>
    </row>
    <row r="172" spans="1:25" ht="12.75" customHeight="1" x14ac:dyDescent="0.2">
      <c r="A172" s="897" t="s">
        <v>54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8"/>
      <c r="R172" s="903" t="s">
        <v>394</v>
      </c>
      <c r="S172" s="898"/>
      <c r="T172" s="129"/>
      <c r="U172" s="900">
        <f>C172+D172+E172</f>
        <v>0</v>
      </c>
      <c r="V172" s="900">
        <f>F172+G172+H172</f>
        <v>0</v>
      </c>
      <c r="W172" s="900">
        <f>I172+J172+K172</f>
        <v>0</v>
      </c>
      <c r="X172" s="900">
        <f>L172+M172+N172</f>
        <v>0</v>
      </c>
      <c r="Y172" s="901">
        <f>SUM(U172:X172)</f>
        <v>0</v>
      </c>
    </row>
    <row r="173" spans="1:25" ht="3.95" customHeight="1" x14ac:dyDescent="0.2">
      <c r="A173" s="897"/>
      <c r="C173" s="901"/>
      <c r="D173" s="901"/>
      <c r="E173" s="901"/>
      <c r="F173" s="901"/>
      <c r="G173" s="901"/>
      <c r="H173" s="901"/>
      <c r="I173" s="901"/>
      <c r="J173" s="901"/>
      <c r="K173" s="901"/>
      <c r="L173" s="901"/>
      <c r="M173" s="901"/>
      <c r="N173" s="901"/>
      <c r="O173" s="693"/>
      <c r="P173" s="693"/>
      <c r="Q173" s="898"/>
      <c r="R173" s="904"/>
      <c r="S173" s="898"/>
      <c r="T173" s="693"/>
      <c r="U173" s="900"/>
      <c r="V173" s="900"/>
      <c r="W173" s="900"/>
      <c r="X173" s="900"/>
      <c r="Y173" s="901"/>
    </row>
    <row r="174" spans="1:25" s="913" customFormat="1" ht="12.75" customHeight="1" x14ac:dyDescent="0.2">
      <c r="A174" s="945" t="s">
        <v>396</v>
      </c>
      <c r="C174" s="128">
        <v>-77</v>
      </c>
      <c r="D174" s="128">
        <v>-109</v>
      </c>
      <c r="E174" s="128">
        <v>-61</v>
      </c>
      <c r="F174" s="128">
        <v>-60</v>
      </c>
      <c r="G174" s="128">
        <v>-64</v>
      </c>
      <c r="H174" s="128">
        <v>-65</v>
      </c>
      <c r="I174" s="128">
        <v>-55</v>
      </c>
      <c r="J174" s="128">
        <v>-54</v>
      </c>
      <c r="K174" s="128">
        <v>-57</v>
      </c>
      <c r="L174" s="128">
        <v>-56</v>
      </c>
      <c r="M174" s="128">
        <v>-57</v>
      </c>
      <c r="N174" s="128">
        <v>-56</v>
      </c>
      <c r="O174" s="129">
        <f>SUM(C174:N174)</f>
        <v>-771</v>
      </c>
      <c r="P174" s="129"/>
      <c r="Q174" s="923"/>
      <c r="R174" s="924" t="s">
        <v>397</v>
      </c>
      <c r="S174" s="923"/>
      <c r="T174" s="129"/>
      <c r="U174" s="917">
        <f>C174+D174+E174</f>
        <v>-247</v>
      </c>
      <c r="V174" s="917">
        <f>F174+G174+H174</f>
        <v>-189</v>
      </c>
      <c r="W174" s="917">
        <f>I174+J174+K174</f>
        <v>-166</v>
      </c>
      <c r="X174" s="917">
        <f>L174+M174+N174</f>
        <v>-169</v>
      </c>
      <c r="Y174" s="901">
        <f>SUM(U174:X174)</f>
        <v>-771</v>
      </c>
    </row>
    <row r="175" spans="1:25" s="913" customFormat="1" ht="3.95" customHeight="1" x14ac:dyDescent="0.2">
      <c r="A175" s="94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23"/>
      <c r="R175" s="924"/>
      <c r="S175" s="923"/>
      <c r="T175" s="129"/>
      <c r="U175" s="917"/>
      <c r="V175" s="917"/>
      <c r="W175" s="917"/>
      <c r="X175" s="917"/>
      <c r="Y175" s="901"/>
    </row>
    <row r="176" spans="1:25" s="913" customFormat="1" ht="12.75" customHeight="1" x14ac:dyDescent="0.2">
      <c r="A176" s="912" t="s">
        <v>398</v>
      </c>
      <c r="C176" s="914">
        <f>SUM(C170:C174)</f>
        <v>-1947</v>
      </c>
      <c r="D176" s="915">
        <f>SUM(D170:D174)</f>
        <v>-2208</v>
      </c>
      <c r="E176" s="915">
        <f t="shared" ref="E176:O176" si="58">SUM(E170:E174)</f>
        <v>-2672</v>
      </c>
      <c r="F176" s="915">
        <f t="shared" si="58"/>
        <v>-1866</v>
      </c>
      <c r="G176" s="915">
        <f t="shared" si="58"/>
        <v>-2859</v>
      </c>
      <c r="H176" s="915">
        <f t="shared" si="58"/>
        <v>-2555</v>
      </c>
      <c r="I176" s="915">
        <f t="shared" si="58"/>
        <v>-2236</v>
      </c>
      <c r="J176" s="915">
        <f t="shared" si="58"/>
        <v>-2532</v>
      </c>
      <c r="K176" s="915">
        <f t="shared" si="58"/>
        <v>-1189</v>
      </c>
      <c r="L176" s="915">
        <f t="shared" si="58"/>
        <v>-1804</v>
      </c>
      <c r="M176" s="915">
        <f t="shared" si="58"/>
        <v>-1745</v>
      </c>
      <c r="N176" s="915">
        <f t="shared" si="58"/>
        <v>-883</v>
      </c>
      <c r="O176" s="916">
        <f t="shared" si="58"/>
        <v>-24496</v>
      </c>
      <c r="P176" s="917"/>
      <c r="Q176" s="923"/>
      <c r="R176" s="919"/>
      <c r="S176" s="923"/>
      <c r="T176" s="917"/>
      <c r="U176" s="914">
        <f>SUM(U170:U174)</f>
        <v>-6827</v>
      </c>
      <c r="V176" s="915">
        <f>SUM(V170:V174)</f>
        <v>-7280</v>
      </c>
      <c r="W176" s="915">
        <f>SUM(W170:W174)</f>
        <v>-5957</v>
      </c>
      <c r="X176" s="915">
        <f>SUM(X170:X174)</f>
        <v>-4432</v>
      </c>
      <c r="Y176" s="916">
        <f>SUM(Y170:Y174)</f>
        <v>-24496</v>
      </c>
    </row>
    <row r="177" spans="1:25" s="913" customFormat="1" ht="12.75" customHeight="1" x14ac:dyDescent="0.2">
      <c r="A177" s="912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7"/>
      <c r="P177" s="917"/>
      <c r="Q177" s="923"/>
      <c r="R177" s="919"/>
      <c r="S177" s="923"/>
      <c r="T177" s="917"/>
      <c r="U177" s="917"/>
      <c r="V177" s="917"/>
      <c r="W177" s="917"/>
      <c r="X177" s="917"/>
      <c r="Y177" s="919"/>
    </row>
    <row r="178" spans="1:25" s="913" customFormat="1" ht="12.75" customHeight="1" x14ac:dyDescent="0.2">
      <c r="A178" s="946" t="s">
        <v>428</v>
      </c>
      <c r="B178" s="931"/>
      <c r="C178" s="932">
        <f t="shared" ref="C178:O178" si="59">+C153+C176</f>
        <v>-1947</v>
      </c>
      <c r="D178" s="933">
        <f t="shared" si="59"/>
        <v>-2208</v>
      </c>
      <c r="E178" s="933">
        <f t="shared" si="59"/>
        <v>-2672</v>
      </c>
      <c r="F178" s="933">
        <f t="shared" si="59"/>
        <v>-1866</v>
      </c>
      <c r="G178" s="933">
        <f t="shared" si="59"/>
        <v>-2880</v>
      </c>
      <c r="H178" s="933">
        <f t="shared" si="59"/>
        <v>-2555</v>
      </c>
      <c r="I178" s="933">
        <f t="shared" si="59"/>
        <v>-2236</v>
      </c>
      <c r="J178" s="933">
        <f t="shared" si="59"/>
        <v>-2541</v>
      </c>
      <c r="K178" s="933">
        <f t="shared" si="59"/>
        <v>-1189</v>
      </c>
      <c r="L178" s="933">
        <f t="shared" si="59"/>
        <v>-1804</v>
      </c>
      <c r="M178" s="933">
        <f t="shared" si="59"/>
        <v>-1745</v>
      </c>
      <c r="N178" s="933">
        <f t="shared" si="59"/>
        <v>-883</v>
      </c>
      <c r="O178" s="934">
        <f t="shared" si="59"/>
        <v>-24526</v>
      </c>
      <c r="P178" s="935"/>
      <c r="Q178" s="936"/>
      <c r="R178" s="937"/>
      <c r="S178" s="936"/>
      <c r="T178" s="935"/>
      <c r="U178" s="932">
        <f>+U153+U176</f>
        <v>-6827</v>
      </c>
      <c r="V178" s="933">
        <f>+V153+V176</f>
        <v>-7301</v>
      </c>
      <c r="W178" s="933">
        <f>+W153+W176</f>
        <v>-5966</v>
      </c>
      <c r="X178" s="933">
        <f>+X153+X176</f>
        <v>-4432</v>
      </c>
      <c r="Y178" s="934">
        <f>+Y153+Y176</f>
        <v>-24526</v>
      </c>
    </row>
    <row r="179" spans="1:25" s="913" customFormat="1" ht="12.75" customHeight="1" x14ac:dyDescent="0.2">
      <c r="A179" s="928"/>
      <c r="C179" s="919"/>
      <c r="D179" s="919"/>
      <c r="E179" s="919"/>
      <c r="F179" s="919"/>
      <c r="G179" s="919"/>
      <c r="H179" s="919"/>
      <c r="I179" s="919"/>
      <c r="J179" s="919"/>
      <c r="K179" s="919"/>
      <c r="L179" s="919"/>
      <c r="M179" s="919"/>
      <c r="N179" s="919"/>
      <c r="O179" s="917"/>
      <c r="P179" s="917"/>
      <c r="Q179" s="923"/>
      <c r="R179" s="919"/>
      <c r="S179" s="923"/>
      <c r="T179" s="917"/>
      <c r="U179" s="917"/>
      <c r="V179" s="917"/>
      <c r="W179" s="917"/>
      <c r="X179" s="917"/>
      <c r="Y179" s="919"/>
    </row>
    <row r="180" spans="1:25" x14ac:dyDescent="0.2">
      <c r="C180" s="901"/>
      <c r="D180" s="901"/>
      <c r="E180" s="901"/>
      <c r="F180" s="901"/>
      <c r="G180" s="901"/>
      <c r="H180" s="901"/>
      <c r="I180" s="901"/>
      <c r="J180" s="901"/>
      <c r="K180" s="901"/>
      <c r="L180" s="901"/>
      <c r="M180" s="901"/>
      <c r="N180" s="901"/>
      <c r="O180" s="900"/>
      <c r="P180" s="900"/>
      <c r="Q180" s="898"/>
      <c r="R180" s="901"/>
      <c r="S180" s="898"/>
      <c r="T180" s="900"/>
      <c r="U180" s="900"/>
      <c r="V180" s="900"/>
      <c r="W180" s="900"/>
      <c r="X180" s="900"/>
      <c r="Y180" s="901"/>
    </row>
    <row r="181" spans="1:25" x14ac:dyDescent="0.2">
      <c r="A181" s="952" t="s">
        <v>482</v>
      </c>
      <c r="C181" s="901"/>
      <c r="D181" s="901"/>
      <c r="E181" s="901"/>
      <c r="F181" s="901"/>
      <c r="G181" s="901"/>
      <c r="H181" s="901"/>
      <c r="I181" s="901"/>
      <c r="J181" s="901"/>
      <c r="K181" s="901"/>
      <c r="L181" s="901"/>
      <c r="M181" s="901"/>
      <c r="N181" s="901"/>
      <c r="O181" s="900"/>
      <c r="P181" s="900"/>
      <c r="Q181" s="898"/>
      <c r="R181" s="901"/>
      <c r="S181" s="898"/>
      <c r="T181" s="900"/>
      <c r="U181" s="900"/>
      <c r="V181" s="900"/>
      <c r="W181" s="900"/>
      <c r="X181" s="900"/>
      <c r="Y181" s="901"/>
    </row>
    <row r="182" spans="1:25" x14ac:dyDescent="0.2">
      <c r="A182" s="896" t="s">
        <v>483</v>
      </c>
      <c r="C182" s="953">
        <v>0</v>
      </c>
      <c r="D182" s="954">
        <v>0</v>
      </c>
      <c r="E182" s="954">
        <v>0</v>
      </c>
      <c r="F182" s="954">
        <v>0</v>
      </c>
      <c r="G182" s="954">
        <v>0</v>
      </c>
      <c r="H182" s="954">
        <v>0</v>
      </c>
      <c r="I182" s="954">
        <v>0</v>
      </c>
      <c r="J182" s="954">
        <v>0</v>
      </c>
      <c r="K182" s="954">
        <v>0</v>
      </c>
      <c r="L182" s="954">
        <v>0</v>
      </c>
      <c r="M182" s="954">
        <v>0</v>
      </c>
      <c r="N182" s="954">
        <v>0</v>
      </c>
      <c r="O182" s="955">
        <f>SUM(C182:N182)</f>
        <v>0</v>
      </c>
      <c r="P182" s="956"/>
      <c r="Q182" s="923"/>
      <c r="R182" s="957" t="s">
        <v>365</v>
      </c>
      <c r="S182" s="923"/>
      <c r="T182" s="956"/>
      <c r="U182" s="939">
        <f>C182+D182+E182</f>
        <v>0</v>
      </c>
      <c r="V182" s="940">
        <f>F182+G182+H182</f>
        <v>0</v>
      </c>
      <c r="W182" s="940">
        <f>I182+J182+K182</f>
        <v>0</v>
      </c>
      <c r="X182" s="940">
        <f>L182+M182+N182</f>
        <v>0</v>
      </c>
      <c r="Y182" s="941">
        <f>SUM(U182:X182)</f>
        <v>0</v>
      </c>
    </row>
    <row r="183" spans="1:25" ht="6" customHeight="1" x14ac:dyDescent="0.2">
      <c r="A183" s="958"/>
      <c r="C183" s="901"/>
      <c r="D183" s="901"/>
      <c r="E183" s="901"/>
      <c r="F183" s="901"/>
      <c r="G183" s="901"/>
      <c r="H183" s="901"/>
      <c r="I183" s="901"/>
      <c r="J183" s="901"/>
      <c r="K183" s="901"/>
      <c r="L183" s="901"/>
      <c r="M183" s="901"/>
      <c r="N183" s="901"/>
      <c r="O183" s="900"/>
      <c r="P183" s="900"/>
      <c r="Q183" s="898"/>
      <c r="R183" s="901"/>
      <c r="S183" s="898"/>
      <c r="T183" s="900"/>
      <c r="U183" s="900"/>
      <c r="V183" s="900"/>
      <c r="W183" s="900"/>
      <c r="X183" s="900"/>
      <c r="Y183" s="901"/>
    </row>
    <row r="184" spans="1:25" x14ac:dyDescent="0.2">
      <c r="A184" s="896" t="s">
        <v>377</v>
      </c>
      <c r="C184" s="901"/>
      <c r="D184" s="901"/>
      <c r="E184" s="901"/>
      <c r="F184" s="901"/>
      <c r="G184" s="901"/>
      <c r="H184" s="901"/>
      <c r="I184" s="901"/>
      <c r="J184" s="901"/>
      <c r="K184" s="901"/>
      <c r="L184" s="901"/>
      <c r="M184" s="901"/>
      <c r="N184" s="901"/>
      <c r="O184" s="900"/>
      <c r="P184" s="900"/>
      <c r="Q184" s="898"/>
      <c r="R184" s="901"/>
      <c r="S184" s="898"/>
      <c r="T184" s="900"/>
      <c r="U184" s="900"/>
      <c r="V184" s="900"/>
      <c r="W184" s="900"/>
      <c r="X184" s="900"/>
      <c r="Y184" s="901"/>
    </row>
    <row r="185" spans="1:25" x14ac:dyDescent="0.2">
      <c r="A185" s="897" t="s">
        <v>429</v>
      </c>
      <c r="C185" s="910">
        <v>-327</v>
      </c>
      <c r="D185" s="910">
        <v>-349</v>
      </c>
      <c r="E185" s="910">
        <v>-1344</v>
      </c>
      <c r="F185" s="910">
        <v>-199</v>
      </c>
      <c r="G185" s="910">
        <v>-144</v>
      </c>
      <c r="H185" s="910">
        <v>-333</v>
      </c>
      <c r="I185" s="910">
        <v>-354</v>
      </c>
      <c r="J185" s="1012">
        <f>-363+1</f>
        <v>-362</v>
      </c>
      <c r="K185" s="910">
        <v>-34</v>
      </c>
      <c r="L185" s="910">
        <v>-34</v>
      </c>
      <c r="M185" s="910">
        <v>-34</v>
      </c>
      <c r="N185" s="910">
        <v>-37</v>
      </c>
      <c r="O185" s="142">
        <f t="shared" ref="O185:O200" si="60">SUM(C185:N185)</f>
        <v>-3551</v>
      </c>
      <c r="P185" s="142"/>
      <c r="Q185" s="898"/>
      <c r="R185" s="904" t="s">
        <v>386</v>
      </c>
      <c r="S185" s="898"/>
      <c r="T185" s="142"/>
      <c r="U185" s="900">
        <f t="shared" ref="U185:U200" si="61">C185+D185+E185</f>
        <v>-2020</v>
      </c>
      <c r="V185" s="900">
        <f t="shared" ref="V185:V200" si="62">F185+G185+H185</f>
        <v>-676</v>
      </c>
      <c r="W185" s="900">
        <f t="shared" ref="W185:W200" si="63">I185+J185+K185</f>
        <v>-750</v>
      </c>
      <c r="X185" s="900">
        <f t="shared" ref="X185:X200" si="64">L185+M185+N185</f>
        <v>-105</v>
      </c>
      <c r="Y185" s="901">
        <f t="shared" ref="Y185:Y200" si="65">SUM(U185:X185)</f>
        <v>-3551</v>
      </c>
    </row>
    <row r="186" spans="1:25" x14ac:dyDescent="0.2">
      <c r="A186" s="897" t="s">
        <v>430</v>
      </c>
      <c r="C186" s="910">
        <v>0</v>
      </c>
      <c r="D186" s="910">
        <v>0</v>
      </c>
      <c r="E186" s="910">
        <v>0</v>
      </c>
      <c r="F186" s="910">
        <v>0</v>
      </c>
      <c r="G186" s="910">
        <v>0</v>
      </c>
      <c r="H186" s="910">
        <v>0</v>
      </c>
      <c r="I186" s="910">
        <v>0</v>
      </c>
      <c r="J186" s="910">
        <v>0</v>
      </c>
      <c r="K186" s="910">
        <v>0</v>
      </c>
      <c r="L186" s="910">
        <v>0</v>
      </c>
      <c r="M186" s="910">
        <v>0</v>
      </c>
      <c r="N186" s="910">
        <v>0</v>
      </c>
      <c r="O186" s="142">
        <f t="shared" si="60"/>
        <v>0</v>
      </c>
      <c r="P186" s="142"/>
      <c r="Q186" s="898"/>
      <c r="R186" s="904" t="s">
        <v>386</v>
      </c>
      <c r="S186" s="898"/>
      <c r="T186" s="142"/>
      <c r="U186" s="900">
        <f t="shared" si="61"/>
        <v>0</v>
      </c>
      <c r="V186" s="900">
        <f t="shared" si="62"/>
        <v>0</v>
      </c>
      <c r="W186" s="900">
        <f t="shared" si="63"/>
        <v>0</v>
      </c>
      <c r="X186" s="900">
        <f t="shared" si="64"/>
        <v>0</v>
      </c>
      <c r="Y186" s="901">
        <f t="shared" si="65"/>
        <v>0</v>
      </c>
    </row>
    <row r="187" spans="1:25" x14ac:dyDescent="0.2">
      <c r="A187" s="897" t="s">
        <v>431</v>
      </c>
      <c r="C187" s="910">
        <v>0</v>
      </c>
      <c r="D187" s="910">
        <v>0</v>
      </c>
      <c r="E187" s="910">
        <v>0</v>
      </c>
      <c r="F187" s="910">
        <v>0</v>
      </c>
      <c r="G187" s="910">
        <v>0</v>
      </c>
      <c r="H187" s="910">
        <v>0</v>
      </c>
      <c r="I187" s="910">
        <v>0</v>
      </c>
      <c r="J187" s="910">
        <v>0</v>
      </c>
      <c r="K187" s="910">
        <v>13</v>
      </c>
      <c r="L187" s="910">
        <v>13</v>
      </c>
      <c r="M187" s="910">
        <v>13</v>
      </c>
      <c r="N187" s="910">
        <v>13</v>
      </c>
      <c r="O187" s="142">
        <f t="shared" si="60"/>
        <v>52</v>
      </c>
      <c r="P187" s="142"/>
      <c r="Q187" s="898"/>
      <c r="R187" s="904" t="s">
        <v>386</v>
      </c>
      <c r="S187" s="898"/>
      <c r="T187" s="142"/>
      <c r="U187" s="900">
        <f t="shared" si="61"/>
        <v>0</v>
      </c>
      <c r="V187" s="900">
        <f t="shared" si="62"/>
        <v>0</v>
      </c>
      <c r="W187" s="900">
        <f t="shared" si="63"/>
        <v>13</v>
      </c>
      <c r="X187" s="900">
        <f t="shared" si="64"/>
        <v>39</v>
      </c>
      <c r="Y187" s="901">
        <f t="shared" si="65"/>
        <v>52</v>
      </c>
    </row>
    <row r="188" spans="1:25" x14ac:dyDescent="0.2">
      <c r="A188" s="897" t="s">
        <v>420</v>
      </c>
      <c r="C188" s="910">
        <v>0</v>
      </c>
      <c r="D188" s="910">
        <v>0</v>
      </c>
      <c r="E188" s="910">
        <v>0</v>
      </c>
      <c r="F188" s="910">
        <v>0</v>
      </c>
      <c r="G188" s="910">
        <v>0</v>
      </c>
      <c r="H188" s="910">
        <v>0</v>
      </c>
      <c r="I188" s="910">
        <v>0</v>
      </c>
      <c r="J188" s="910">
        <v>0</v>
      </c>
      <c r="K188" s="910">
        <v>-95</v>
      </c>
      <c r="L188" s="910">
        <v>-82</v>
      </c>
      <c r="M188" s="910">
        <v>-80</v>
      </c>
      <c r="N188" s="910">
        <v>-84</v>
      </c>
      <c r="O188" s="142">
        <f t="shared" si="60"/>
        <v>-341</v>
      </c>
      <c r="P188" s="142"/>
      <c r="Q188" s="898"/>
      <c r="R188" s="904" t="s">
        <v>386</v>
      </c>
      <c r="S188" s="898"/>
      <c r="T188" s="142"/>
      <c r="U188" s="900">
        <f t="shared" si="61"/>
        <v>0</v>
      </c>
      <c r="V188" s="900">
        <f t="shared" si="62"/>
        <v>0</v>
      </c>
      <c r="W188" s="900">
        <f t="shared" si="63"/>
        <v>-95</v>
      </c>
      <c r="X188" s="900">
        <f t="shared" si="64"/>
        <v>-246</v>
      </c>
      <c r="Y188" s="901">
        <f t="shared" si="65"/>
        <v>-341</v>
      </c>
    </row>
    <row r="189" spans="1:25" x14ac:dyDescent="0.2">
      <c r="A189" s="897" t="s">
        <v>432</v>
      </c>
      <c r="C189" s="910">
        <v>0</v>
      </c>
      <c r="D189" s="910">
        <v>0</v>
      </c>
      <c r="E189" s="910">
        <v>0</v>
      </c>
      <c r="F189" s="910">
        <v>0</v>
      </c>
      <c r="G189" s="910">
        <v>0</v>
      </c>
      <c r="H189" s="910">
        <v>0</v>
      </c>
      <c r="I189" s="910">
        <v>0</v>
      </c>
      <c r="J189" s="910">
        <v>0</v>
      </c>
      <c r="K189" s="910">
        <v>-3</v>
      </c>
      <c r="L189" s="910">
        <v>-3</v>
      </c>
      <c r="M189" s="910">
        <v>-3</v>
      </c>
      <c r="N189" s="910">
        <v>-3</v>
      </c>
      <c r="O189" s="142">
        <f t="shared" si="60"/>
        <v>-12</v>
      </c>
      <c r="P189" s="142"/>
      <c r="Q189" s="898"/>
      <c r="R189" s="904" t="s">
        <v>386</v>
      </c>
      <c r="S189" s="898"/>
      <c r="T189" s="142"/>
      <c r="U189" s="900">
        <f t="shared" si="61"/>
        <v>0</v>
      </c>
      <c r="V189" s="900">
        <f t="shared" si="62"/>
        <v>0</v>
      </c>
      <c r="W189" s="900">
        <f t="shared" si="63"/>
        <v>-3</v>
      </c>
      <c r="X189" s="900">
        <f t="shared" si="64"/>
        <v>-9</v>
      </c>
      <c r="Y189" s="901">
        <f t="shared" si="65"/>
        <v>-12</v>
      </c>
    </row>
    <row r="190" spans="1:25" x14ac:dyDescent="0.2">
      <c r="A190" s="897" t="s">
        <v>433</v>
      </c>
      <c r="C190" s="910">
        <v>0</v>
      </c>
      <c r="D190" s="910">
        <v>0</v>
      </c>
      <c r="E190" s="910">
        <v>0</v>
      </c>
      <c r="F190" s="910">
        <v>0</v>
      </c>
      <c r="G190" s="910">
        <v>0</v>
      </c>
      <c r="H190" s="910">
        <v>0</v>
      </c>
      <c r="I190" s="910">
        <v>0</v>
      </c>
      <c r="J190" s="910">
        <v>0</v>
      </c>
      <c r="K190" s="910">
        <v>0</v>
      </c>
      <c r="L190" s="910">
        <v>0</v>
      </c>
      <c r="M190" s="910">
        <v>0</v>
      </c>
      <c r="N190" s="910">
        <v>0</v>
      </c>
      <c r="O190" s="142">
        <f t="shared" si="60"/>
        <v>0</v>
      </c>
      <c r="P190" s="142"/>
      <c r="Q190" s="898"/>
      <c r="R190" s="904" t="s">
        <v>386</v>
      </c>
      <c r="S190" s="898"/>
      <c r="T190" s="142"/>
      <c r="U190" s="900">
        <f t="shared" si="61"/>
        <v>0</v>
      </c>
      <c r="V190" s="900">
        <f t="shared" si="62"/>
        <v>0</v>
      </c>
      <c r="W190" s="900">
        <f t="shared" si="63"/>
        <v>0</v>
      </c>
      <c r="X190" s="900">
        <f t="shared" si="64"/>
        <v>0</v>
      </c>
      <c r="Y190" s="901">
        <f t="shared" si="65"/>
        <v>0</v>
      </c>
    </row>
    <row r="191" spans="1:25" x14ac:dyDescent="0.2">
      <c r="A191" s="897" t="s">
        <v>434</v>
      </c>
      <c r="C191" s="910">
        <v>0</v>
      </c>
      <c r="D191" s="910">
        <v>0</v>
      </c>
      <c r="E191" s="910">
        <v>0</v>
      </c>
      <c r="F191" s="910">
        <v>0</v>
      </c>
      <c r="G191" s="910">
        <v>0</v>
      </c>
      <c r="H191" s="910">
        <v>0</v>
      </c>
      <c r="I191" s="910">
        <v>0</v>
      </c>
      <c r="J191" s="910">
        <v>0</v>
      </c>
      <c r="K191" s="910">
        <v>0</v>
      </c>
      <c r="L191" s="910">
        <v>0</v>
      </c>
      <c r="M191" s="910">
        <v>0</v>
      </c>
      <c r="N191" s="910">
        <v>0</v>
      </c>
      <c r="O191" s="142">
        <f t="shared" si="60"/>
        <v>0</v>
      </c>
      <c r="P191" s="142"/>
      <c r="Q191" s="898"/>
      <c r="R191" s="904" t="s">
        <v>386</v>
      </c>
      <c r="S191" s="898"/>
      <c r="T191" s="142"/>
      <c r="U191" s="900">
        <f t="shared" si="61"/>
        <v>0</v>
      </c>
      <c r="V191" s="900">
        <f t="shared" si="62"/>
        <v>0</v>
      </c>
      <c r="W191" s="900">
        <f t="shared" si="63"/>
        <v>0</v>
      </c>
      <c r="X191" s="900">
        <f t="shared" si="64"/>
        <v>0</v>
      </c>
      <c r="Y191" s="901">
        <f t="shared" si="65"/>
        <v>0</v>
      </c>
    </row>
    <row r="192" spans="1:25" x14ac:dyDescent="0.2">
      <c r="A192" s="896" t="s">
        <v>435</v>
      </c>
      <c r="C192" s="910">
        <v>2.9000000000000001E-2</v>
      </c>
      <c r="D192" s="910">
        <v>9.8000000000000004E-2</v>
      </c>
      <c r="E192" s="910">
        <v>0</v>
      </c>
      <c r="F192" s="910">
        <v>0</v>
      </c>
      <c r="G192" s="910">
        <v>0</v>
      </c>
      <c r="H192" s="910">
        <v>0</v>
      </c>
      <c r="I192" s="910">
        <v>0</v>
      </c>
      <c r="J192" s="910">
        <v>0</v>
      </c>
      <c r="K192" s="910">
        <v>0</v>
      </c>
      <c r="L192" s="910">
        <v>0</v>
      </c>
      <c r="M192" s="910">
        <v>0</v>
      </c>
      <c r="N192" s="910">
        <v>0</v>
      </c>
      <c r="O192" s="142">
        <f t="shared" si="60"/>
        <v>0.127</v>
      </c>
      <c r="P192" s="142"/>
      <c r="Q192" s="898"/>
      <c r="R192" s="904" t="s">
        <v>386</v>
      </c>
      <c r="S192" s="898"/>
      <c r="T192" s="142"/>
      <c r="U192" s="900">
        <f t="shared" si="61"/>
        <v>0.127</v>
      </c>
      <c r="V192" s="900">
        <f t="shared" si="62"/>
        <v>0</v>
      </c>
      <c r="W192" s="900">
        <f t="shared" si="63"/>
        <v>0</v>
      </c>
      <c r="X192" s="900">
        <f t="shared" si="64"/>
        <v>0</v>
      </c>
      <c r="Y192" s="901">
        <f t="shared" si="65"/>
        <v>0.127</v>
      </c>
    </row>
    <row r="193" spans="1:25" x14ac:dyDescent="0.2">
      <c r="A193" s="897" t="s">
        <v>391</v>
      </c>
      <c r="C193" s="910">
        <v>0</v>
      </c>
      <c r="D193" s="910">
        <v>0</v>
      </c>
      <c r="E193" s="910">
        <v>0</v>
      </c>
      <c r="F193" s="910">
        <v>0</v>
      </c>
      <c r="G193" s="910">
        <v>0</v>
      </c>
      <c r="H193" s="910">
        <v>0</v>
      </c>
      <c r="I193" s="910">
        <v>0</v>
      </c>
      <c r="J193" s="910">
        <v>0</v>
      </c>
      <c r="K193" s="910">
        <v>-99</v>
      </c>
      <c r="L193" s="910">
        <v>-99</v>
      </c>
      <c r="M193" s="910">
        <v>-99</v>
      </c>
      <c r="N193" s="910">
        <v>-110</v>
      </c>
      <c r="O193" s="142">
        <f t="shared" si="60"/>
        <v>-407</v>
      </c>
      <c r="P193" s="142"/>
      <c r="Q193" s="898"/>
      <c r="R193" s="904" t="s">
        <v>386</v>
      </c>
      <c r="S193" s="898"/>
      <c r="T193" s="142"/>
      <c r="U193" s="900">
        <f t="shared" si="61"/>
        <v>0</v>
      </c>
      <c r="V193" s="900">
        <f t="shared" si="62"/>
        <v>0</v>
      </c>
      <c r="W193" s="900">
        <f t="shared" si="63"/>
        <v>-99</v>
      </c>
      <c r="X193" s="900">
        <f t="shared" si="64"/>
        <v>-308</v>
      </c>
      <c r="Y193" s="901">
        <f t="shared" si="65"/>
        <v>-407</v>
      </c>
    </row>
    <row r="194" spans="1:25" x14ac:dyDescent="0.2">
      <c r="A194" s="897" t="s">
        <v>436</v>
      </c>
      <c r="C194" s="910">
        <v>0</v>
      </c>
      <c r="D194" s="910">
        <v>0</v>
      </c>
      <c r="E194" s="910">
        <v>0</v>
      </c>
      <c r="F194" s="910">
        <v>0</v>
      </c>
      <c r="G194" s="910">
        <v>0</v>
      </c>
      <c r="H194" s="910">
        <v>0</v>
      </c>
      <c r="I194" s="910">
        <v>0</v>
      </c>
      <c r="J194" s="910">
        <v>0</v>
      </c>
      <c r="K194" s="910">
        <v>0</v>
      </c>
      <c r="L194" s="910">
        <v>0</v>
      </c>
      <c r="M194" s="910">
        <v>0</v>
      </c>
      <c r="N194" s="910">
        <v>0</v>
      </c>
      <c r="O194" s="142">
        <f t="shared" si="60"/>
        <v>0</v>
      </c>
      <c r="P194" s="142"/>
      <c r="Q194" s="898"/>
      <c r="R194" s="904" t="s">
        <v>386</v>
      </c>
      <c r="S194" s="898"/>
      <c r="T194" s="142"/>
      <c r="U194" s="900">
        <f t="shared" si="61"/>
        <v>0</v>
      </c>
      <c r="V194" s="900">
        <f t="shared" si="62"/>
        <v>0</v>
      </c>
      <c r="W194" s="900">
        <f t="shared" si="63"/>
        <v>0</v>
      </c>
      <c r="X194" s="900">
        <f t="shared" si="64"/>
        <v>0</v>
      </c>
      <c r="Y194" s="901">
        <f t="shared" si="65"/>
        <v>0</v>
      </c>
    </row>
    <row r="195" spans="1:25" x14ac:dyDescent="0.2">
      <c r="A195" s="897" t="s">
        <v>437</v>
      </c>
      <c r="C195" s="910">
        <v>0</v>
      </c>
      <c r="D195" s="910">
        <v>0</v>
      </c>
      <c r="E195" s="910">
        <v>0</v>
      </c>
      <c r="F195" s="910">
        <v>0</v>
      </c>
      <c r="G195" s="910">
        <v>0</v>
      </c>
      <c r="H195" s="910">
        <v>0</v>
      </c>
      <c r="I195" s="910">
        <v>0</v>
      </c>
      <c r="J195" s="910">
        <v>0</v>
      </c>
      <c r="K195" s="910">
        <v>0</v>
      </c>
      <c r="L195" s="910">
        <v>0</v>
      </c>
      <c r="M195" s="910">
        <v>0</v>
      </c>
      <c r="N195" s="910">
        <v>0</v>
      </c>
      <c r="O195" s="142">
        <f t="shared" si="60"/>
        <v>0</v>
      </c>
      <c r="P195" s="142"/>
      <c r="Q195" s="898"/>
      <c r="R195" s="904" t="s">
        <v>386</v>
      </c>
      <c r="S195" s="898"/>
      <c r="T195" s="142"/>
      <c r="U195" s="900">
        <f t="shared" si="61"/>
        <v>0</v>
      </c>
      <c r="V195" s="900">
        <f t="shared" si="62"/>
        <v>0</v>
      </c>
      <c r="W195" s="900">
        <f t="shared" si="63"/>
        <v>0</v>
      </c>
      <c r="X195" s="900">
        <f t="shared" si="64"/>
        <v>0</v>
      </c>
      <c r="Y195" s="901">
        <f t="shared" si="65"/>
        <v>0</v>
      </c>
    </row>
    <row r="196" spans="1:25" x14ac:dyDescent="0.2">
      <c r="A196" s="897" t="s">
        <v>438</v>
      </c>
      <c r="C196" s="910">
        <v>0</v>
      </c>
      <c r="D196" s="910">
        <v>0</v>
      </c>
      <c r="E196" s="910">
        <v>0</v>
      </c>
      <c r="F196" s="910">
        <v>0</v>
      </c>
      <c r="G196" s="910">
        <v>0</v>
      </c>
      <c r="H196" s="910">
        <v>0</v>
      </c>
      <c r="I196" s="910">
        <v>0</v>
      </c>
      <c r="J196" s="910">
        <v>0</v>
      </c>
      <c r="K196" s="910">
        <v>0</v>
      </c>
      <c r="L196" s="910">
        <v>0</v>
      </c>
      <c r="M196" s="910">
        <v>0</v>
      </c>
      <c r="N196" s="910">
        <v>0</v>
      </c>
      <c r="O196" s="142">
        <f t="shared" si="60"/>
        <v>0</v>
      </c>
      <c r="P196" s="142"/>
      <c r="Q196" s="898"/>
      <c r="R196" s="904" t="s">
        <v>386</v>
      </c>
      <c r="S196" s="898"/>
      <c r="T196" s="142"/>
      <c r="U196" s="900">
        <f t="shared" si="61"/>
        <v>0</v>
      </c>
      <c r="V196" s="900">
        <f t="shared" si="62"/>
        <v>0</v>
      </c>
      <c r="W196" s="900">
        <f t="shared" si="63"/>
        <v>0</v>
      </c>
      <c r="X196" s="900">
        <f t="shared" si="64"/>
        <v>0</v>
      </c>
      <c r="Y196" s="901">
        <f t="shared" si="65"/>
        <v>0</v>
      </c>
    </row>
    <row r="197" spans="1:25" x14ac:dyDescent="0.2">
      <c r="A197" s="897" t="s">
        <v>439</v>
      </c>
      <c r="C197" s="910">
        <v>0</v>
      </c>
      <c r="D197" s="910">
        <v>0</v>
      </c>
      <c r="E197" s="910">
        <v>0</v>
      </c>
      <c r="F197" s="910">
        <v>0</v>
      </c>
      <c r="G197" s="910">
        <v>0</v>
      </c>
      <c r="H197" s="910">
        <v>0</v>
      </c>
      <c r="I197" s="910">
        <v>0</v>
      </c>
      <c r="J197" s="910">
        <v>0</v>
      </c>
      <c r="K197" s="910">
        <v>0</v>
      </c>
      <c r="L197" s="910">
        <v>0</v>
      </c>
      <c r="M197" s="910">
        <v>0</v>
      </c>
      <c r="N197" s="910">
        <v>0</v>
      </c>
      <c r="O197" s="142">
        <f t="shared" si="60"/>
        <v>0</v>
      </c>
      <c r="P197" s="142"/>
      <c r="Q197" s="898"/>
      <c r="R197" s="904" t="s">
        <v>386</v>
      </c>
      <c r="S197" s="898"/>
      <c r="T197" s="142"/>
      <c r="U197" s="900">
        <f t="shared" si="61"/>
        <v>0</v>
      </c>
      <c r="V197" s="900">
        <f t="shared" si="62"/>
        <v>0</v>
      </c>
      <c r="W197" s="900">
        <f t="shared" si="63"/>
        <v>0</v>
      </c>
      <c r="X197" s="900">
        <f t="shared" si="64"/>
        <v>0</v>
      </c>
      <c r="Y197" s="901">
        <f t="shared" si="65"/>
        <v>0</v>
      </c>
    </row>
    <row r="198" spans="1:25" x14ac:dyDescent="0.2">
      <c r="A198" s="959" t="s">
        <v>440</v>
      </c>
      <c r="C198" s="910">
        <v>0</v>
      </c>
      <c r="D198" s="910">
        <v>0</v>
      </c>
      <c r="E198" s="910">
        <v>0</v>
      </c>
      <c r="F198" s="910">
        <v>0</v>
      </c>
      <c r="G198" s="910">
        <v>0</v>
      </c>
      <c r="H198" s="910">
        <v>0</v>
      </c>
      <c r="I198" s="910">
        <v>0</v>
      </c>
      <c r="J198" s="910">
        <v>0</v>
      </c>
      <c r="K198" s="910">
        <v>-64</v>
      </c>
      <c r="L198" s="910">
        <v>-64</v>
      </c>
      <c r="M198" s="910">
        <v>-64</v>
      </c>
      <c r="N198" s="910">
        <v>-66</v>
      </c>
      <c r="O198" s="142">
        <f t="shared" si="60"/>
        <v>-258</v>
      </c>
      <c r="P198" s="142"/>
      <c r="Q198" s="898"/>
      <c r="R198" s="904" t="s">
        <v>386</v>
      </c>
      <c r="S198" s="898"/>
      <c r="T198" s="142"/>
      <c r="U198" s="900">
        <f t="shared" si="61"/>
        <v>0</v>
      </c>
      <c r="V198" s="900">
        <f t="shared" si="62"/>
        <v>0</v>
      </c>
      <c r="W198" s="900">
        <f t="shared" si="63"/>
        <v>-64</v>
      </c>
      <c r="X198" s="900">
        <f t="shared" si="64"/>
        <v>-194</v>
      </c>
      <c r="Y198" s="901">
        <f t="shared" si="65"/>
        <v>-258</v>
      </c>
    </row>
    <row r="199" spans="1:25" x14ac:dyDescent="0.2">
      <c r="A199" s="897" t="s">
        <v>441</v>
      </c>
      <c r="C199" s="910">
        <v>0</v>
      </c>
      <c r="D199" s="910">
        <v>0</v>
      </c>
      <c r="E199" s="910">
        <v>0</v>
      </c>
      <c r="F199" s="910">
        <v>0</v>
      </c>
      <c r="G199" s="910">
        <v>0</v>
      </c>
      <c r="H199" s="910">
        <v>0</v>
      </c>
      <c r="I199" s="910">
        <v>0</v>
      </c>
      <c r="J199" s="910">
        <v>0</v>
      </c>
      <c r="K199" s="910">
        <v>-76</v>
      </c>
      <c r="L199" s="910">
        <v>-76</v>
      </c>
      <c r="M199" s="910">
        <v>-76</v>
      </c>
      <c r="N199" s="910">
        <v>-76</v>
      </c>
      <c r="O199" s="142">
        <f t="shared" si="60"/>
        <v>-304</v>
      </c>
      <c r="P199" s="142"/>
      <c r="Q199" s="898"/>
      <c r="R199" s="904" t="s">
        <v>386</v>
      </c>
      <c r="S199" s="898"/>
      <c r="T199" s="142"/>
      <c r="U199" s="900">
        <f t="shared" si="61"/>
        <v>0</v>
      </c>
      <c r="V199" s="900">
        <f t="shared" si="62"/>
        <v>0</v>
      </c>
      <c r="W199" s="900">
        <f t="shared" si="63"/>
        <v>-76</v>
      </c>
      <c r="X199" s="900">
        <f t="shared" si="64"/>
        <v>-228</v>
      </c>
      <c r="Y199" s="901">
        <f t="shared" si="65"/>
        <v>-304</v>
      </c>
    </row>
    <row r="200" spans="1:25" x14ac:dyDescent="0.2">
      <c r="A200" s="897" t="s">
        <v>442</v>
      </c>
      <c r="C200" s="922">
        <v>0</v>
      </c>
      <c r="D200" s="922">
        <v>0</v>
      </c>
      <c r="E200" s="922">
        <v>0</v>
      </c>
      <c r="F200" s="922">
        <v>0</v>
      </c>
      <c r="G200" s="922">
        <v>0</v>
      </c>
      <c r="H200" s="922">
        <v>0</v>
      </c>
      <c r="I200" s="922">
        <v>0</v>
      </c>
      <c r="J200" s="922">
        <v>0</v>
      </c>
      <c r="K200" s="922">
        <v>0</v>
      </c>
      <c r="L200" s="922">
        <v>0</v>
      </c>
      <c r="M200" s="922">
        <v>0</v>
      </c>
      <c r="N200" s="922">
        <v>0</v>
      </c>
      <c r="O200" s="143">
        <f t="shared" si="60"/>
        <v>0</v>
      </c>
      <c r="P200" s="142"/>
      <c r="Q200" s="898"/>
      <c r="R200" s="904" t="s">
        <v>386</v>
      </c>
      <c r="S200" s="898"/>
      <c r="T200" s="142"/>
      <c r="U200" s="907">
        <f t="shared" si="61"/>
        <v>0</v>
      </c>
      <c r="V200" s="907">
        <f t="shared" si="62"/>
        <v>0</v>
      </c>
      <c r="W200" s="907">
        <f t="shared" si="63"/>
        <v>0</v>
      </c>
      <c r="X200" s="907">
        <f t="shared" si="64"/>
        <v>0</v>
      </c>
      <c r="Y200" s="908">
        <f t="shared" si="65"/>
        <v>0</v>
      </c>
    </row>
    <row r="201" spans="1:25" x14ac:dyDescent="0.2">
      <c r="A201" s="897" t="s">
        <v>393</v>
      </c>
      <c r="C201" s="906">
        <f t="shared" ref="C201:O201" si="66">SUM(C185:C200)</f>
        <v>-326.971</v>
      </c>
      <c r="D201" s="906">
        <f t="shared" si="66"/>
        <v>-348.90199999999999</v>
      </c>
      <c r="E201" s="906">
        <f t="shared" si="66"/>
        <v>-1344</v>
      </c>
      <c r="F201" s="906">
        <f t="shared" si="66"/>
        <v>-199</v>
      </c>
      <c r="G201" s="906">
        <f t="shared" si="66"/>
        <v>-144</v>
      </c>
      <c r="H201" s="906">
        <f t="shared" si="66"/>
        <v>-333</v>
      </c>
      <c r="I201" s="906">
        <f t="shared" si="66"/>
        <v>-354</v>
      </c>
      <c r="J201" s="906">
        <f t="shared" si="66"/>
        <v>-362</v>
      </c>
      <c r="K201" s="906">
        <f t="shared" si="66"/>
        <v>-358</v>
      </c>
      <c r="L201" s="906">
        <f t="shared" si="66"/>
        <v>-345</v>
      </c>
      <c r="M201" s="906">
        <f t="shared" si="66"/>
        <v>-343</v>
      </c>
      <c r="N201" s="906">
        <f t="shared" si="66"/>
        <v>-363</v>
      </c>
      <c r="O201" s="906">
        <f t="shared" si="66"/>
        <v>-4820.8729999999996</v>
      </c>
      <c r="P201" s="906"/>
      <c r="Q201" s="898"/>
      <c r="R201" s="904"/>
      <c r="S201" s="898"/>
      <c r="T201" s="906"/>
      <c r="U201" s="906">
        <f>SUM(U185:U200)</f>
        <v>-2019.873</v>
      </c>
      <c r="V201" s="906">
        <f>SUM(V185:V200)</f>
        <v>-676</v>
      </c>
      <c r="W201" s="906">
        <f>SUM(W185:W200)</f>
        <v>-1074</v>
      </c>
      <c r="X201" s="906">
        <f>SUM(X185:X200)</f>
        <v>-1051</v>
      </c>
      <c r="Y201" s="906">
        <f>SUM(Y185:Y200)</f>
        <v>-4820.8729999999996</v>
      </c>
    </row>
    <row r="202" spans="1:25" ht="3.95" customHeight="1" x14ac:dyDescent="0.2">
      <c r="A202" s="897"/>
      <c r="C202" s="901"/>
      <c r="D202" s="901"/>
      <c r="E202" s="901"/>
      <c r="F202" s="901"/>
      <c r="G202" s="901"/>
      <c r="H202" s="901"/>
      <c r="I202" s="901"/>
      <c r="J202" s="901"/>
      <c r="K202" s="901"/>
      <c r="L202" s="901"/>
      <c r="M202" s="901"/>
      <c r="N202" s="901"/>
      <c r="O202" s="900"/>
      <c r="P202" s="900"/>
      <c r="Q202" s="898"/>
      <c r="R202" s="904"/>
      <c r="S202" s="898"/>
      <c r="T202" s="900"/>
      <c r="U202" s="900"/>
      <c r="V202" s="900"/>
      <c r="W202" s="900"/>
      <c r="X202" s="900"/>
      <c r="Y202" s="901"/>
    </row>
    <row r="203" spans="1:25" x14ac:dyDescent="0.2">
      <c r="A203" s="897" t="s">
        <v>443</v>
      </c>
      <c r="C203" s="910">
        <v>-503</v>
      </c>
      <c r="D203" s="910">
        <v>-506</v>
      </c>
      <c r="E203" s="910">
        <v>-286</v>
      </c>
      <c r="F203" s="910">
        <v>-428</v>
      </c>
      <c r="G203" s="910">
        <v>-428</v>
      </c>
      <c r="H203" s="910">
        <v>-428</v>
      </c>
      <c r="I203" s="910">
        <v>-400</v>
      </c>
      <c r="J203" s="910">
        <v>-400</v>
      </c>
      <c r="K203" s="910">
        <v>-178</v>
      </c>
      <c r="L203" s="910">
        <v>-178</v>
      </c>
      <c r="M203" s="910">
        <v>-178</v>
      </c>
      <c r="N203" s="910">
        <v>-178</v>
      </c>
      <c r="O203" s="142">
        <f>SUM(C203:N203)</f>
        <v>-4091</v>
      </c>
      <c r="P203" s="142"/>
      <c r="Q203" s="898"/>
      <c r="R203" s="904" t="s">
        <v>386</v>
      </c>
      <c r="S203" s="898"/>
      <c r="T203" s="142"/>
      <c r="U203" s="900">
        <f>C203+D203+E203</f>
        <v>-1295</v>
      </c>
      <c r="V203" s="900">
        <f>F203+G203+H203</f>
        <v>-1284</v>
      </c>
      <c r="W203" s="900">
        <f>I203+J203+K203</f>
        <v>-978</v>
      </c>
      <c r="X203" s="900">
        <f>L203+M203+N203</f>
        <v>-534</v>
      </c>
      <c r="Y203" s="901">
        <f>SUM(U203:X203)</f>
        <v>-4091</v>
      </c>
    </row>
    <row r="204" spans="1:25" x14ac:dyDescent="0.2">
      <c r="A204" s="897" t="s">
        <v>444</v>
      </c>
      <c r="C204" s="910">
        <v>0</v>
      </c>
      <c r="D204" s="910">
        <v>0</v>
      </c>
      <c r="E204" s="910">
        <v>0</v>
      </c>
      <c r="F204" s="910">
        <v>0</v>
      </c>
      <c r="G204" s="910">
        <v>0</v>
      </c>
      <c r="H204" s="910">
        <v>0</v>
      </c>
      <c r="I204" s="910">
        <v>0</v>
      </c>
      <c r="J204" s="910">
        <v>0</v>
      </c>
      <c r="K204" s="910">
        <v>-123</v>
      </c>
      <c r="L204" s="910">
        <v>-123</v>
      </c>
      <c r="M204" s="910">
        <v>-123</v>
      </c>
      <c r="N204" s="910">
        <v>-123</v>
      </c>
      <c r="O204" s="142">
        <f>SUM(C204:N204)</f>
        <v>-492</v>
      </c>
      <c r="P204" s="142"/>
      <c r="Q204" s="898"/>
      <c r="R204" s="904" t="s">
        <v>386</v>
      </c>
      <c r="S204" s="898"/>
      <c r="T204" s="142"/>
      <c r="U204" s="900">
        <f>C204+D204+E204</f>
        <v>0</v>
      </c>
      <c r="V204" s="900">
        <f>F204+G204+H204</f>
        <v>0</v>
      </c>
      <c r="W204" s="900">
        <f>I204+J204+K204</f>
        <v>-123</v>
      </c>
      <c r="X204" s="900">
        <f>L204+M204+N204</f>
        <v>-369</v>
      </c>
      <c r="Y204" s="901">
        <f>SUM(U204:X204)</f>
        <v>-492</v>
      </c>
    </row>
    <row r="205" spans="1:25" s="913" customFormat="1" ht="12.75" customHeight="1" x14ac:dyDescent="0.2">
      <c r="A205" s="909" t="s">
        <v>445</v>
      </c>
      <c r="C205" s="871">
        <v>0</v>
      </c>
      <c r="D205" s="871">
        <v>0</v>
      </c>
      <c r="E205" s="871">
        <v>0</v>
      </c>
      <c r="F205" s="871">
        <v>0</v>
      </c>
      <c r="G205" s="871">
        <v>0</v>
      </c>
      <c r="H205" s="871">
        <v>0</v>
      </c>
      <c r="I205" s="871">
        <v>0</v>
      </c>
      <c r="J205" s="871">
        <v>0</v>
      </c>
      <c r="K205" s="871">
        <v>-18</v>
      </c>
      <c r="L205" s="871">
        <v>-18</v>
      </c>
      <c r="M205" s="871">
        <v>-18</v>
      </c>
      <c r="N205" s="871">
        <v>-18</v>
      </c>
      <c r="O205" s="143">
        <f>SUM(C205:N205)</f>
        <v>-72</v>
      </c>
      <c r="P205" s="143"/>
      <c r="Q205" s="923"/>
      <c r="R205" s="904" t="s">
        <v>386</v>
      </c>
      <c r="S205" s="923"/>
      <c r="T205" s="143"/>
      <c r="U205" s="960">
        <f>C205+D205+E205</f>
        <v>0</v>
      </c>
      <c r="V205" s="960">
        <f>F205+G205+H205</f>
        <v>0</v>
      </c>
      <c r="W205" s="960">
        <f>I205+J205+K205</f>
        <v>-18</v>
      </c>
      <c r="X205" s="960">
        <f>L205+M205+N205</f>
        <v>-54</v>
      </c>
      <c r="Y205" s="908">
        <f>SUM(U205:X205)</f>
        <v>-72</v>
      </c>
    </row>
    <row r="206" spans="1:25" s="913" customFormat="1" ht="12.75" customHeight="1" x14ac:dyDescent="0.2">
      <c r="A206" s="909" t="s">
        <v>446</v>
      </c>
      <c r="C206" s="906">
        <f t="shared" ref="C206:O206" si="67">SUM(C203:C205)</f>
        <v>-503</v>
      </c>
      <c r="D206" s="906">
        <f t="shared" si="67"/>
        <v>-506</v>
      </c>
      <c r="E206" s="906">
        <f t="shared" si="67"/>
        <v>-286</v>
      </c>
      <c r="F206" s="906">
        <f t="shared" si="67"/>
        <v>-428</v>
      </c>
      <c r="G206" s="906">
        <f t="shared" si="67"/>
        <v>-428</v>
      </c>
      <c r="H206" s="906">
        <f t="shared" si="67"/>
        <v>-428</v>
      </c>
      <c r="I206" s="906">
        <f t="shared" si="67"/>
        <v>-400</v>
      </c>
      <c r="J206" s="906">
        <f t="shared" si="67"/>
        <v>-400</v>
      </c>
      <c r="K206" s="906">
        <f t="shared" si="67"/>
        <v>-319</v>
      </c>
      <c r="L206" s="906">
        <f t="shared" si="67"/>
        <v>-319</v>
      </c>
      <c r="M206" s="906">
        <f t="shared" si="67"/>
        <v>-319</v>
      </c>
      <c r="N206" s="906">
        <f t="shared" si="67"/>
        <v>-319</v>
      </c>
      <c r="O206" s="906">
        <f t="shared" si="67"/>
        <v>-4655</v>
      </c>
      <c r="P206" s="906"/>
      <c r="Q206" s="923"/>
      <c r="R206" s="919"/>
      <c r="S206" s="923"/>
      <c r="T206" s="906"/>
      <c r="U206" s="906">
        <f>SUM(U203:U205)</f>
        <v>-1295</v>
      </c>
      <c r="V206" s="906">
        <f>SUM(V203:V205)</f>
        <v>-1284</v>
      </c>
      <c r="W206" s="906">
        <f>SUM(W203:W205)</f>
        <v>-1119</v>
      </c>
      <c r="X206" s="906">
        <f>SUM(X203:X205)</f>
        <v>-957</v>
      </c>
      <c r="Y206" s="906">
        <f>SUM(Y203:Y205)</f>
        <v>-4655</v>
      </c>
    </row>
    <row r="207" spans="1:25" s="913" customFormat="1" ht="3.95" customHeight="1" x14ac:dyDescent="0.2">
      <c r="A207" s="928"/>
      <c r="C207" s="919"/>
      <c r="D207" s="919"/>
      <c r="E207" s="919"/>
      <c r="F207" s="919"/>
      <c r="G207" s="919"/>
      <c r="H207" s="919"/>
      <c r="I207" s="919"/>
      <c r="J207" s="919"/>
      <c r="K207" s="919"/>
      <c r="L207" s="919"/>
      <c r="M207" s="919"/>
      <c r="N207" s="919"/>
      <c r="O207" s="917"/>
      <c r="P207" s="917"/>
      <c r="Q207" s="923"/>
      <c r="R207" s="919"/>
      <c r="S207" s="923"/>
      <c r="T207" s="917"/>
      <c r="U207" s="917"/>
      <c r="V207" s="917"/>
      <c r="W207" s="917"/>
      <c r="X207" s="917"/>
      <c r="Y207" s="919"/>
    </row>
    <row r="208" spans="1:25" s="913" customFormat="1" ht="12.75" customHeight="1" x14ac:dyDescent="0.2">
      <c r="A208" s="909" t="s">
        <v>447</v>
      </c>
      <c r="C208" s="871">
        <v>0</v>
      </c>
      <c r="D208" s="871">
        <v>0</v>
      </c>
      <c r="E208" s="871">
        <v>0</v>
      </c>
      <c r="F208" s="871">
        <v>0</v>
      </c>
      <c r="G208" s="871">
        <v>0</v>
      </c>
      <c r="H208" s="871">
        <v>0</v>
      </c>
      <c r="I208" s="871">
        <v>0</v>
      </c>
      <c r="J208" s="871">
        <v>0</v>
      </c>
      <c r="K208" s="871">
        <v>0</v>
      </c>
      <c r="L208" s="871">
        <v>0</v>
      </c>
      <c r="M208" s="871">
        <v>0</v>
      </c>
      <c r="N208" s="871">
        <v>0</v>
      </c>
      <c r="O208" s="960">
        <f>C208+D208+E208+F208+G208+H208+I208+J208+K208+L208+M208+N208</f>
        <v>0</v>
      </c>
      <c r="P208" s="960"/>
      <c r="Q208" s="923"/>
      <c r="R208" s="904" t="s">
        <v>386</v>
      </c>
      <c r="S208" s="923"/>
      <c r="T208" s="960"/>
      <c r="U208" s="960">
        <f>C208+D208+E208</f>
        <v>0</v>
      </c>
      <c r="V208" s="960">
        <f>F208+G208+H208</f>
        <v>0</v>
      </c>
      <c r="W208" s="960">
        <f>I208+J208+K208</f>
        <v>0</v>
      </c>
      <c r="X208" s="960">
        <f>L208+M208+N208</f>
        <v>0</v>
      </c>
      <c r="Y208" s="906">
        <f>SUM(U208:X208)</f>
        <v>0</v>
      </c>
    </row>
    <row r="209" spans="1:25" ht="3.95" customHeight="1" x14ac:dyDescent="0.2">
      <c r="A209" s="897"/>
      <c r="C209" s="901"/>
      <c r="D209" s="901"/>
      <c r="E209" s="901"/>
      <c r="F209" s="901"/>
      <c r="G209" s="901"/>
      <c r="H209" s="901"/>
      <c r="I209" s="901"/>
      <c r="J209" s="901"/>
      <c r="K209" s="901"/>
      <c r="L209" s="901"/>
      <c r="M209" s="901"/>
      <c r="N209" s="901"/>
      <c r="O209" s="900"/>
      <c r="P209" s="900"/>
      <c r="Q209" s="898"/>
      <c r="R209" s="904"/>
      <c r="S209" s="898"/>
      <c r="T209" s="900"/>
      <c r="U209" s="900"/>
      <c r="V209" s="900"/>
      <c r="W209" s="900"/>
      <c r="X209" s="900"/>
      <c r="Y209" s="901"/>
    </row>
    <row r="210" spans="1:25" x14ac:dyDescent="0.2">
      <c r="A210" s="909" t="s">
        <v>448</v>
      </c>
      <c r="C210" s="908">
        <f t="shared" ref="C210:O210" si="68">+C201+C206+C208</f>
        <v>-829.971</v>
      </c>
      <c r="D210" s="908">
        <f t="shared" si="68"/>
        <v>-854.90200000000004</v>
      </c>
      <c r="E210" s="908">
        <f t="shared" si="68"/>
        <v>-1630</v>
      </c>
      <c r="F210" s="908">
        <f t="shared" si="68"/>
        <v>-627</v>
      </c>
      <c r="G210" s="908">
        <f t="shared" si="68"/>
        <v>-572</v>
      </c>
      <c r="H210" s="908">
        <f t="shared" si="68"/>
        <v>-761</v>
      </c>
      <c r="I210" s="908">
        <f t="shared" si="68"/>
        <v>-754</v>
      </c>
      <c r="J210" s="908">
        <f t="shared" si="68"/>
        <v>-762</v>
      </c>
      <c r="K210" s="908">
        <f t="shared" si="68"/>
        <v>-677</v>
      </c>
      <c r="L210" s="908">
        <f t="shared" si="68"/>
        <v>-664</v>
      </c>
      <c r="M210" s="908">
        <f t="shared" si="68"/>
        <v>-662</v>
      </c>
      <c r="N210" s="908">
        <f t="shared" si="68"/>
        <v>-682</v>
      </c>
      <c r="O210" s="908">
        <f t="shared" si="68"/>
        <v>-9475.8729999999996</v>
      </c>
      <c r="P210" s="908"/>
      <c r="Q210" s="898"/>
      <c r="R210" s="904"/>
      <c r="S210" s="898"/>
      <c r="T210" s="908"/>
      <c r="U210" s="908">
        <f>+U201+U206+U208</f>
        <v>-3314.873</v>
      </c>
      <c r="V210" s="908">
        <f>+V201+V206+V208</f>
        <v>-1960</v>
      </c>
      <c r="W210" s="908">
        <f>+W201+W206+W208</f>
        <v>-2193</v>
      </c>
      <c r="X210" s="908">
        <f>+X201+X206+X208</f>
        <v>-2008</v>
      </c>
      <c r="Y210" s="908">
        <f>+Y201+Y206+Y208</f>
        <v>-9475.8729999999996</v>
      </c>
    </row>
    <row r="211" spans="1:25" ht="6" customHeight="1" x14ac:dyDescent="0.2">
      <c r="A211" s="897"/>
      <c r="C211" s="901"/>
      <c r="D211" s="901"/>
      <c r="E211" s="901"/>
      <c r="F211" s="901"/>
      <c r="G211" s="901"/>
      <c r="H211" s="901"/>
      <c r="I211" s="901"/>
      <c r="J211" s="901"/>
      <c r="K211" s="901"/>
      <c r="L211" s="901"/>
      <c r="M211" s="901"/>
      <c r="N211" s="901"/>
      <c r="O211" s="900"/>
      <c r="P211" s="900"/>
      <c r="Q211" s="898"/>
      <c r="R211" s="904"/>
      <c r="S211" s="898"/>
      <c r="T211" s="900"/>
      <c r="U211" s="900"/>
      <c r="V211" s="900"/>
      <c r="W211" s="900"/>
      <c r="X211" s="900"/>
      <c r="Y211" s="901"/>
    </row>
    <row r="212" spans="1:25" ht="12.75" customHeight="1" x14ac:dyDescent="0.2">
      <c r="A212" s="897" t="s">
        <v>449</v>
      </c>
      <c r="C212" s="128">
        <v>-949</v>
      </c>
      <c r="D212" s="128">
        <v>-950</v>
      </c>
      <c r="E212" s="128">
        <v>-924</v>
      </c>
      <c r="F212" s="128">
        <v>-972</v>
      </c>
      <c r="G212" s="128">
        <v>-928</v>
      </c>
      <c r="H212" s="128">
        <v>-1037</v>
      </c>
      <c r="I212" s="128">
        <v>-977</v>
      </c>
      <c r="J212" s="128">
        <v>-977</v>
      </c>
      <c r="K212" s="128">
        <v>-1028</v>
      </c>
      <c r="L212" s="128">
        <v>-1129</v>
      </c>
      <c r="M212" s="128">
        <v>-1227</v>
      </c>
      <c r="N212" s="128">
        <v>-1278</v>
      </c>
      <c r="O212" s="129">
        <f t="shared" ref="O212:O221" si="69">SUM(C212:N212)</f>
        <v>-12376</v>
      </c>
      <c r="P212" s="129"/>
      <c r="Q212" s="898"/>
      <c r="R212" s="899" t="s">
        <v>394</v>
      </c>
      <c r="S212" s="898"/>
      <c r="T212" s="129"/>
      <c r="U212" s="900">
        <f t="shared" ref="U212:U221" si="70">C212+D212+E212</f>
        <v>-2823</v>
      </c>
      <c r="V212" s="900">
        <f t="shared" ref="V212:V221" si="71">F212+G212+H212</f>
        <v>-2937</v>
      </c>
      <c r="W212" s="900">
        <f t="shared" ref="W212:W221" si="72">I212+J212+K212</f>
        <v>-2982</v>
      </c>
      <c r="X212" s="900">
        <f t="shared" ref="X212:X221" si="73">L212+M212+N212</f>
        <v>-3634</v>
      </c>
      <c r="Y212" s="901">
        <f t="shared" ref="Y212:Y221" si="74">SUM(U212:X212)</f>
        <v>-12376</v>
      </c>
    </row>
    <row r="213" spans="1:25" ht="12.75" customHeight="1" x14ac:dyDescent="0.2">
      <c r="A213" s="897" t="s">
        <v>51</v>
      </c>
      <c r="C213" s="910">
        <v>-11</v>
      </c>
      <c r="D213" s="910">
        <v>-10</v>
      </c>
      <c r="E213" s="910">
        <v>-11</v>
      </c>
      <c r="F213" s="910">
        <v>-10</v>
      </c>
      <c r="G213" s="910">
        <v>-11</v>
      </c>
      <c r="H213" s="910">
        <v>-11</v>
      </c>
      <c r="I213" s="910">
        <v>-10</v>
      </c>
      <c r="J213" s="910">
        <v>-11</v>
      </c>
      <c r="K213" s="910">
        <v>-11</v>
      </c>
      <c r="L213" s="910">
        <v>-10</v>
      </c>
      <c r="M213" s="910">
        <v>-11</v>
      </c>
      <c r="N213" s="910">
        <v>-10</v>
      </c>
      <c r="O213" s="129">
        <f t="shared" si="69"/>
        <v>-127</v>
      </c>
      <c r="P213" s="129"/>
      <c r="Q213" s="898"/>
      <c r="R213" s="903" t="s">
        <v>394</v>
      </c>
      <c r="S213" s="898"/>
      <c r="T213" s="129"/>
      <c r="U213" s="900">
        <f t="shared" si="70"/>
        <v>-32</v>
      </c>
      <c r="V213" s="900">
        <f t="shared" si="71"/>
        <v>-32</v>
      </c>
      <c r="W213" s="900">
        <f t="shared" si="72"/>
        <v>-32</v>
      </c>
      <c r="X213" s="900">
        <f t="shared" si="73"/>
        <v>-31</v>
      </c>
      <c r="Y213" s="901">
        <f t="shared" si="74"/>
        <v>-127</v>
      </c>
    </row>
    <row r="214" spans="1:25" ht="12.75" customHeight="1" x14ac:dyDescent="0.2">
      <c r="A214" s="897" t="s">
        <v>52</v>
      </c>
      <c r="C214" s="910">
        <v>-50</v>
      </c>
      <c r="D214" s="910">
        <v>-50</v>
      </c>
      <c r="E214" s="910">
        <v>-50</v>
      </c>
      <c r="F214" s="910">
        <v>-50</v>
      </c>
      <c r="G214" s="910">
        <v>-50</v>
      </c>
      <c r="H214" s="910">
        <v>-50</v>
      </c>
      <c r="I214" s="910">
        <v>-50</v>
      </c>
      <c r="J214" s="910">
        <v>-50</v>
      </c>
      <c r="K214" s="910">
        <v>-50</v>
      </c>
      <c r="L214" s="910">
        <v>-50</v>
      </c>
      <c r="M214" s="910">
        <v>-50</v>
      </c>
      <c r="N214" s="910">
        <v>-50</v>
      </c>
      <c r="O214" s="129">
        <f t="shared" si="69"/>
        <v>-600</v>
      </c>
      <c r="P214" s="129"/>
      <c r="Q214" s="898"/>
      <c r="R214" s="903" t="s">
        <v>394</v>
      </c>
      <c r="S214" s="898"/>
      <c r="T214" s="129"/>
      <c r="U214" s="900">
        <f t="shared" si="70"/>
        <v>-150</v>
      </c>
      <c r="V214" s="900">
        <f t="shared" si="71"/>
        <v>-150</v>
      </c>
      <c r="W214" s="900">
        <f t="shared" si="72"/>
        <v>-150</v>
      </c>
      <c r="X214" s="900">
        <f t="shared" si="73"/>
        <v>-150</v>
      </c>
      <c r="Y214" s="901">
        <f t="shared" si="74"/>
        <v>-600</v>
      </c>
    </row>
    <row r="215" spans="1:25" ht="12.75" customHeight="1" x14ac:dyDescent="0.2">
      <c r="A215" s="897" t="s">
        <v>451</v>
      </c>
      <c r="C215" s="128">
        <v>-17</v>
      </c>
      <c r="D215" s="128">
        <v>17</v>
      </c>
      <c r="E215" s="128">
        <v>-52</v>
      </c>
      <c r="F215" s="128">
        <v>-17</v>
      </c>
      <c r="G215" s="128">
        <v>-17</v>
      </c>
      <c r="H215" s="128">
        <v>-18</v>
      </c>
      <c r="I215" s="128">
        <v>-17</v>
      </c>
      <c r="J215" s="128">
        <v>-18</v>
      </c>
      <c r="K215" s="128">
        <v>-17</v>
      </c>
      <c r="L215" s="128">
        <v>-17</v>
      </c>
      <c r="M215" s="128">
        <v>-18</v>
      </c>
      <c r="N215" s="128">
        <v>-18</v>
      </c>
      <c r="O215" s="129">
        <f>SUM(C215:N215)</f>
        <v>-209</v>
      </c>
      <c r="P215" s="129"/>
      <c r="Q215" s="898"/>
      <c r="R215" s="903" t="s">
        <v>394</v>
      </c>
      <c r="S215" s="898"/>
      <c r="T215" s="129"/>
      <c r="U215" s="900">
        <f>C215+D215+E215</f>
        <v>-52</v>
      </c>
      <c r="V215" s="900">
        <f>F215+G215+H215</f>
        <v>-52</v>
      </c>
      <c r="W215" s="900">
        <f>I215+J215+K215</f>
        <v>-52</v>
      </c>
      <c r="X215" s="900">
        <f>L215+M215+N215</f>
        <v>-53</v>
      </c>
      <c r="Y215" s="901">
        <f>SUM(U215:X215)</f>
        <v>-209</v>
      </c>
    </row>
    <row r="216" spans="1:25" ht="12.75" customHeight="1" x14ac:dyDescent="0.2">
      <c r="A216" s="897" t="s">
        <v>246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98"/>
      <c r="R216" s="899" t="s">
        <v>394</v>
      </c>
      <c r="S216" s="898"/>
      <c r="T216" s="129"/>
      <c r="U216" s="900">
        <f>C216+D216+E216</f>
        <v>0</v>
      </c>
      <c r="V216" s="900">
        <f>F216+G216+H216</f>
        <v>0</v>
      </c>
      <c r="W216" s="900">
        <f>I216+J216+K216</f>
        <v>0</v>
      </c>
      <c r="X216" s="900">
        <f>L216+M216+N216</f>
        <v>0</v>
      </c>
      <c r="Y216" s="901">
        <f>SUM(U216:X216)</f>
        <v>0</v>
      </c>
    </row>
    <row r="217" spans="1:25" ht="12.75" customHeight="1" x14ac:dyDescent="0.2">
      <c r="A217" s="897" t="s">
        <v>247</v>
      </c>
      <c r="C217" s="128">
        <v>0</v>
      </c>
      <c r="D217" s="128">
        <v>0</v>
      </c>
      <c r="E217" s="128">
        <v>0</v>
      </c>
      <c r="F217" s="128">
        <v>0</v>
      </c>
      <c r="G217" s="128">
        <v>0</v>
      </c>
      <c r="H217" s="128">
        <v>0</v>
      </c>
      <c r="I217" s="128">
        <v>0</v>
      </c>
      <c r="J217" s="128">
        <v>0</v>
      </c>
      <c r="K217" s="128">
        <v>0</v>
      </c>
      <c r="L217" s="128">
        <v>0</v>
      </c>
      <c r="M217" s="128">
        <v>0</v>
      </c>
      <c r="N217" s="128">
        <v>0</v>
      </c>
      <c r="O217" s="129">
        <f>SUM(C217:N217)</f>
        <v>0</v>
      </c>
      <c r="P217" s="129"/>
      <c r="Q217" s="898"/>
      <c r="R217" s="903" t="s">
        <v>394</v>
      </c>
      <c r="S217" s="898"/>
      <c r="T217" s="129"/>
      <c r="U217" s="900">
        <f>C217+D217+E217</f>
        <v>0</v>
      </c>
      <c r="V217" s="900">
        <f>F217+G217+H217</f>
        <v>0</v>
      </c>
      <c r="W217" s="900">
        <f>I217+J217+K217</f>
        <v>0</v>
      </c>
      <c r="X217" s="900">
        <f>L217+M217+N217</f>
        <v>0</v>
      </c>
      <c r="Y217" s="901">
        <f>SUM(U217:X217)</f>
        <v>0</v>
      </c>
    </row>
    <row r="218" spans="1:25" ht="12.75" customHeight="1" x14ac:dyDescent="0.2">
      <c r="A218" s="897" t="s">
        <v>450</v>
      </c>
      <c r="C218" s="128">
        <v>-94</v>
      </c>
      <c r="D218" s="128">
        <v>-94</v>
      </c>
      <c r="E218" s="128">
        <v>-94</v>
      </c>
      <c r="F218" s="128">
        <v>-94</v>
      </c>
      <c r="G218" s="128">
        <v>-94</v>
      </c>
      <c r="H218" s="128">
        <v>-94</v>
      </c>
      <c r="I218" s="128">
        <v>-94</v>
      </c>
      <c r="J218" s="128">
        <v>-94</v>
      </c>
      <c r="K218" s="128">
        <v>-94</v>
      </c>
      <c r="L218" s="128">
        <v>-94</v>
      </c>
      <c r="M218" s="128">
        <v>-94</v>
      </c>
      <c r="N218" s="128">
        <v>-94</v>
      </c>
      <c r="O218" s="129">
        <f t="shared" si="69"/>
        <v>-1128</v>
      </c>
      <c r="P218" s="129"/>
      <c r="Q218" s="898"/>
      <c r="R218" s="903" t="s">
        <v>394</v>
      </c>
      <c r="S218" s="898"/>
      <c r="T218" s="129"/>
      <c r="U218" s="900">
        <f t="shared" si="70"/>
        <v>-282</v>
      </c>
      <c r="V218" s="900">
        <f t="shared" si="71"/>
        <v>-282</v>
      </c>
      <c r="W218" s="900">
        <f t="shared" si="72"/>
        <v>-282</v>
      </c>
      <c r="X218" s="900">
        <f t="shared" si="73"/>
        <v>-282</v>
      </c>
      <c r="Y218" s="901">
        <f t="shared" si="74"/>
        <v>-1128</v>
      </c>
    </row>
    <row r="219" spans="1:25" ht="12.75" customHeight="1" x14ac:dyDescent="0.2">
      <c r="A219" s="897" t="s">
        <v>484</v>
      </c>
      <c r="C219" s="128">
        <v>-500</v>
      </c>
      <c r="D219" s="128">
        <v>-500</v>
      </c>
      <c r="E219" s="128">
        <v>-500</v>
      </c>
      <c r="F219" s="128">
        <v>-500</v>
      </c>
      <c r="G219" s="128">
        <v>-500</v>
      </c>
      <c r="H219" s="128">
        <v>-500</v>
      </c>
      <c r="I219" s="128">
        <v>-500</v>
      </c>
      <c r="J219" s="128">
        <v>-500</v>
      </c>
      <c r="K219" s="128">
        <v>-500</v>
      </c>
      <c r="L219" s="128">
        <v>-500</v>
      </c>
      <c r="M219" s="128">
        <v>-500</v>
      </c>
      <c r="N219" s="128">
        <v>-500</v>
      </c>
      <c r="O219" s="129">
        <f t="shared" si="69"/>
        <v>-6000</v>
      </c>
      <c r="P219" s="129"/>
      <c r="Q219" s="898"/>
      <c r="R219" s="903" t="s">
        <v>394</v>
      </c>
      <c r="S219" s="898"/>
      <c r="T219" s="129"/>
      <c r="U219" s="900">
        <f t="shared" si="70"/>
        <v>-1500</v>
      </c>
      <c r="V219" s="900">
        <f t="shared" si="71"/>
        <v>-1500</v>
      </c>
      <c r="W219" s="900">
        <f t="shared" si="72"/>
        <v>-1500</v>
      </c>
      <c r="X219" s="900">
        <f t="shared" si="73"/>
        <v>-1500</v>
      </c>
      <c r="Y219" s="901">
        <f t="shared" si="74"/>
        <v>-6000</v>
      </c>
    </row>
    <row r="220" spans="1:25" ht="12.75" customHeight="1" x14ac:dyDescent="0.2">
      <c r="A220" s="897" t="s">
        <v>452</v>
      </c>
      <c r="C220" s="128">
        <v>0</v>
      </c>
      <c r="D220" s="128">
        <v>0</v>
      </c>
      <c r="E220" s="128">
        <v>0</v>
      </c>
      <c r="F220" s="128">
        <v>0</v>
      </c>
      <c r="G220" s="128">
        <v>0</v>
      </c>
      <c r="H220" s="128">
        <v>0</v>
      </c>
      <c r="I220" s="128">
        <v>0</v>
      </c>
      <c r="J220" s="128">
        <v>0</v>
      </c>
      <c r="K220" s="128">
        <v>0</v>
      </c>
      <c r="L220" s="128">
        <v>0</v>
      </c>
      <c r="M220" s="128">
        <v>0</v>
      </c>
      <c r="N220" s="128">
        <v>0</v>
      </c>
      <c r="O220" s="129">
        <f t="shared" si="69"/>
        <v>0</v>
      </c>
      <c r="P220" s="129"/>
      <c r="Q220" s="898"/>
      <c r="R220" s="903" t="s">
        <v>394</v>
      </c>
      <c r="S220" s="898"/>
      <c r="T220" s="129"/>
      <c r="U220" s="900">
        <f t="shared" si="70"/>
        <v>0</v>
      </c>
      <c r="V220" s="900">
        <f t="shared" si="71"/>
        <v>0</v>
      </c>
      <c r="W220" s="900">
        <f t="shared" si="72"/>
        <v>0</v>
      </c>
      <c r="X220" s="900">
        <f t="shared" si="73"/>
        <v>0</v>
      </c>
      <c r="Y220" s="901">
        <f t="shared" si="74"/>
        <v>0</v>
      </c>
    </row>
    <row r="221" spans="1:25" ht="12.75" customHeight="1" x14ac:dyDescent="0.2">
      <c r="A221" s="897" t="s">
        <v>493</v>
      </c>
      <c r="C221" s="260">
        <v>0</v>
      </c>
      <c r="D221" s="260">
        <v>0</v>
      </c>
      <c r="E221" s="260">
        <v>0</v>
      </c>
      <c r="F221" s="260">
        <v>0</v>
      </c>
      <c r="G221" s="260">
        <v>0</v>
      </c>
      <c r="H221" s="260">
        <v>0</v>
      </c>
      <c r="I221" s="260">
        <v>0</v>
      </c>
      <c r="J221" s="260">
        <v>0</v>
      </c>
      <c r="K221" s="260">
        <v>0</v>
      </c>
      <c r="L221" s="260">
        <v>0</v>
      </c>
      <c r="M221" s="260">
        <v>0</v>
      </c>
      <c r="N221" s="260">
        <v>0</v>
      </c>
      <c r="O221" s="130">
        <f t="shared" si="69"/>
        <v>0</v>
      </c>
      <c r="P221" s="130"/>
      <c r="Q221" s="898"/>
      <c r="R221" s="903" t="s">
        <v>394</v>
      </c>
      <c r="S221" s="898"/>
      <c r="T221" s="130"/>
      <c r="U221" s="907">
        <f t="shared" si="70"/>
        <v>0</v>
      </c>
      <c r="V221" s="907">
        <f t="shared" si="71"/>
        <v>0</v>
      </c>
      <c r="W221" s="907">
        <f t="shared" si="72"/>
        <v>0</v>
      </c>
      <c r="X221" s="907">
        <f t="shared" si="73"/>
        <v>0</v>
      </c>
      <c r="Y221" s="908">
        <f t="shared" si="74"/>
        <v>0</v>
      </c>
    </row>
    <row r="222" spans="1:25" ht="12.75" customHeight="1" x14ac:dyDescent="0.2">
      <c r="A222" s="909" t="s">
        <v>494</v>
      </c>
      <c r="C222" s="919">
        <f t="shared" ref="C222:O222" si="75">SUM(C212:C221)</f>
        <v>-1621</v>
      </c>
      <c r="D222" s="919">
        <f t="shared" si="75"/>
        <v>-1587</v>
      </c>
      <c r="E222" s="919">
        <f t="shared" si="75"/>
        <v>-1631</v>
      </c>
      <c r="F222" s="919">
        <f t="shared" si="75"/>
        <v>-1643</v>
      </c>
      <c r="G222" s="919">
        <f t="shared" si="75"/>
        <v>-1600</v>
      </c>
      <c r="H222" s="919">
        <f t="shared" si="75"/>
        <v>-1710</v>
      </c>
      <c r="I222" s="919">
        <f t="shared" si="75"/>
        <v>-1648</v>
      </c>
      <c r="J222" s="919">
        <f t="shared" si="75"/>
        <v>-1650</v>
      </c>
      <c r="K222" s="919">
        <f t="shared" si="75"/>
        <v>-1700</v>
      </c>
      <c r="L222" s="919">
        <f t="shared" si="75"/>
        <v>-1800</v>
      </c>
      <c r="M222" s="919">
        <f t="shared" si="75"/>
        <v>-1900</v>
      </c>
      <c r="N222" s="919">
        <f t="shared" si="75"/>
        <v>-1950</v>
      </c>
      <c r="O222" s="919">
        <f t="shared" si="75"/>
        <v>-20440</v>
      </c>
      <c r="P222" s="919"/>
      <c r="Q222" s="898"/>
      <c r="R222" s="903"/>
      <c r="S222" s="898"/>
      <c r="T222" s="919"/>
      <c r="U222" s="919">
        <f>SUM(U212:U221)</f>
        <v>-4839</v>
      </c>
      <c r="V222" s="919">
        <f>SUM(V212:V221)</f>
        <v>-4953</v>
      </c>
      <c r="W222" s="919">
        <f>SUM(W212:W221)</f>
        <v>-4998</v>
      </c>
      <c r="X222" s="919">
        <f>SUM(X212:X221)</f>
        <v>-5650</v>
      </c>
      <c r="Y222" s="919">
        <f>SUM(Y212:Y221)</f>
        <v>-20440</v>
      </c>
    </row>
    <row r="223" spans="1:25" ht="12.75" customHeight="1" x14ac:dyDescent="0.2">
      <c r="A223" s="897" t="s">
        <v>55</v>
      </c>
      <c r="C223" s="906">
        <f>-C95-C144-C172-C279-C294-C308-C325</f>
        <v>0</v>
      </c>
      <c r="D223" s="906">
        <f t="shared" ref="D223:N223" si="76">-D95-D144-D172-D279-D294-D308-D325</f>
        <v>0</v>
      </c>
      <c r="E223" s="906">
        <f t="shared" si="76"/>
        <v>0</v>
      </c>
      <c r="F223" s="906">
        <f t="shared" si="76"/>
        <v>0</v>
      </c>
      <c r="G223" s="906">
        <f t="shared" si="76"/>
        <v>0</v>
      </c>
      <c r="H223" s="906">
        <f t="shared" si="76"/>
        <v>0</v>
      </c>
      <c r="I223" s="906">
        <f t="shared" si="76"/>
        <v>0</v>
      </c>
      <c r="J223" s="906">
        <f t="shared" si="76"/>
        <v>0</v>
      </c>
      <c r="K223" s="906">
        <f t="shared" si="76"/>
        <v>0</v>
      </c>
      <c r="L223" s="906">
        <f t="shared" si="76"/>
        <v>0</v>
      </c>
      <c r="M223" s="906">
        <f t="shared" si="76"/>
        <v>0</v>
      </c>
      <c r="N223" s="906">
        <f t="shared" si="76"/>
        <v>0</v>
      </c>
      <c r="O223" s="130">
        <f>SUM(C223:N223)</f>
        <v>0</v>
      </c>
      <c r="P223" s="906"/>
      <c r="Q223" s="898"/>
      <c r="R223" s="903"/>
      <c r="S223" s="898"/>
      <c r="T223" s="906"/>
      <c r="U223" s="907">
        <f>C223+D223+E223</f>
        <v>0</v>
      </c>
      <c r="V223" s="907">
        <f>F223+G223+H223</f>
        <v>0</v>
      </c>
      <c r="W223" s="907">
        <f>I223+J223+K223</f>
        <v>0</v>
      </c>
      <c r="X223" s="907">
        <f>L223+M223+N223</f>
        <v>0</v>
      </c>
      <c r="Y223" s="908">
        <f>SUM(U223:X223)</f>
        <v>0</v>
      </c>
    </row>
    <row r="224" spans="1:25" ht="12.75" customHeight="1" x14ac:dyDescent="0.2">
      <c r="A224" s="909" t="s">
        <v>53</v>
      </c>
      <c r="C224" s="906">
        <f>+C222+C223</f>
        <v>-1621</v>
      </c>
      <c r="D224" s="906">
        <f t="shared" ref="D224:O224" si="77">+D222+D223</f>
        <v>-1587</v>
      </c>
      <c r="E224" s="906">
        <f t="shared" si="77"/>
        <v>-1631</v>
      </c>
      <c r="F224" s="906">
        <f t="shared" si="77"/>
        <v>-1643</v>
      </c>
      <c r="G224" s="906">
        <f t="shared" si="77"/>
        <v>-1600</v>
      </c>
      <c r="H224" s="906">
        <f t="shared" si="77"/>
        <v>-1710</v>
      </c>
      <c r="I224" s="906">
        <f t="shared" si="77"/>
        <v>-1648</v>
      </c>
      <c r="J224" s="906">
        <f t="shared" si="77"/>
        <v>-1650</v>
      </c>
      <c r="K224" s="906">
        <f t="shared" si="77"/>
        <v>-1700</v>
      </c>
      <c r="L224" s="906">
        <f t="shared" si="77"/>
        <v>-1800</v>
      </c>
      <c r="M224" s="906">
        <f t="shared" si="77"/>
        <v>-1900</v>
      </c>
      <c r="N224" s="906">
        <f t="shared" si="77"/>
        <v>-1950</v>
      </c>
      <c r="O224" s="906">
        <f t="shared" si="77"/>
        <v>-20440</v>
      </c>
      <c r="P224" s="906"/>
      <c r="Q224" s="898"/>
      <c r="R224" s="903"/>
      <c r="S224" s="898"/>
      <c r="T224" s="906"/>
      <c r="U224" s="906">
        <f>+U222+U223</f>
        <v>-4839</v>
      </c>
      <c r="V224" s="906">
        <f>+V222+V223</f>
        <v>-4953</v>
      </c>
      <c r="W224" s="906">
        <f>+W222+W223</f>
        <v>-4998</v>
      </c>
      <c r="X224" s="906">
        <f>+X222+X223</f>
        <v>-5650</v>
      </c>
      <c r="Y224" s="906">
        <f>+Y222+Y223</f>
        <v>-20440</v>
      </c>
    </row>
    <row r="225" spans="1:25" ht="6" customHeight="1" x14ac:dyDescent="0.2">
      <c r="A225" s="897"/>
      <c r="C225" s="901"/>
      <c r="D225" s="901"/>
      <c r="E225" s="901"/>
      <c r="F225" s="901"/>
      <c r="G225" s="901"/>
      <c r="H225" s="901"/>
      <c r="I225" s="901"/>
      <c r="J225" s="901"/>
      <c r="K225" s="901"/>
      <c r="L225" s="901"/>
      <c r="M225" s="901"/>
      <c r="N225" s="901"/>
      <c r="O225" s="900"/>
      <c r="P225" s="900"/>
      <c r="Q225" s="898"/>
      <c r="R225" s="904"/>
      <c r="S225" s="898"/>
      <c r="T225" s="900"/>
      <c r="U225" s="900"/>
      <c r="V225" s="900"/>
      <c r="W225" s="900"/>
      <c r="X225" s="900"/>
      <c r="Y225" s="901"/>
    </row>
    <row r="226" spans="1:25" ht="12.75" customHeight="1" x14ac:dyDescent="0.2">
      <c r="A226" s="897" t="s">
        <v>495</v>
      </c>
      <c r="C226" s="128">
        <v>-722</v>
      </c>
      <c r="D226" s="128">
        <v>-722</v>
      </c>
      <c r="E226" s="128">
        <v>-722</v>
      </c>
      <c r="F226" s="128">
        <v>-722</v>
      </c>
      <c r="G226" s="128">
        <v>-722</v>
      </c>
      <c r="H226" s="128">
        <v>-722</v>
      </c>
      <c r="I226" s="128">
        <v>-722</v>
      </c>
      <c r="J226" s="128">
        <v>-722</v>
      </c>
      <c r="K226" s="128">
        <v>-722</v>
      </c>
      <c r="L226" s="128">
        <v>-722</v>
      </c>
      <c r="M226" s="128">
        <v>-722</v>
      </c>
      <c r="N226" s="128">
        <v>-722</v>
      </c>
      <c r="O226" s="129">
        <f t="shared" ref="O226:O231" si="78">SUM(C226:N226)</f>
        <v>-8664</v>
      </c>
      <c r="P226" s="129"/>
      <c r="Q226" s="898"/>
      <c r="R226" s="924" t="s">
        <v>397</v>
      </c>
      <c r="S226" s="898"/>
      <c r="T226" s="129"/>
      <c r="U226" s="900">
        <f t="shared" ref="U226:U231" si="79">C226+D226+E226</f>
        <v>-2166</v>
      </c>
      <c r="V226" s="900">
        <f t="shared" ref="V226:V231" si="80">F226+G226+H226</f>
        <v>-2166</v>
      </c>
      <c r="W226" s="900">
        <f t="shared" ref="W226:W231" si="81">I226+J226+K226</f>
        <v>-2166</v>
      </c>
      <c r="X226" s="900">
        <f t="shared" ref="X226:X231" si="82">L226+M226+N226</f>
        <v>-2166</v>
      </c>
      <c r="Y226" s="901">
        <f t="shared" ref="Y226:Y231" si="83">SUM(U226:X226)</f>
        <v>-8664</v>
      </c>
    </row>
    <row r="227" spans="1:25" ht="12.75" customHeight="1" x14ac:dyDescent="0.2">
      <c r="A227" s="897" t="s">
        <v>485</v>
      </c>
      <c r="C227" s="128">
        <v>-96</v>
      </c>
      <c r="D227" s="128">
        <v>-96</v>
      </c>
      <c r="E227" s="128">
        <v>-96</v>
      </c>
      <c r="F227" s="128">
        <v>-96</v>
      </c>
      <c r="G227" s="128">
        <v>-96</v>
      </c>
      <c r="H227" s="128">
        <v>-96</v>
      </c>
      <c r="I227" s="128">
        <v>-96</v>
      </c>
      <c r="J227" s="128">
        <v>-96</v>
      </c>
      <c r="K227" s="128">
        <v>-96</v>
      </c>
      <c r="L227" s="128">
        <v>-96</v>
      </c>
      <c r="M227" s="128">
        <v>-96</v>
      </c>
      <c r="N227" s="128">
        <v>-96</v>
      </c>
      <c r="O227" s="129">
        <f t="shared" si="78"/>
        <v>-1152</v>
      </c>
      <c r="P227" s="129"/>
      <c r="Q227" s="898"/>
      <c r="R227" s="924" t="s">
        <v>397</v>
      </c>
      <c r="S227" s="898"/>
      <c r="T227" s="129"/>
      <c r="U227" s="900">
        <f t="shared" si="79"/>
        <v>-288</v>
      </c>
      <c r="V227" s="900">
        <f t="shared" si="80"/>
        <v>-288</v>
      </c>
      <c r="W227" s="900">
        <f t="shared" si="81"/>
        <v>-288</v>
      </c>
      <c r="X227" s="900">
        <f t="shared" si="82"/>
        <v>-288</v>
      </c>
      <c r="Y227" s="901">
        <f t="shared" si="83"/>
        <v>-1152</v>
      </c>
    </row>
    <row r="228" spans="1:25" ht="12.75" customHeight="1" x14ac:dyDescent="0.2">
      <c r="A228" s="897" t="s">
        <v>248</v>
      </c>
      <c r="C228" s="128">
        <v>-7</v>
      </c>
      <c r="D228" s="128">
        <v>-11</v>
      </c>
      <c r="E228" s="128">
        <v>-7</v>
      </c>
      <c r="F228" s="128">
        <v>-7</v>
      </c>
      <c r="G228" s="128">
        <v>-7</v>
      </c>
      <c r="H228" s="128">
        <v>-7</v>
      </c>
      <c r="I228" s="128">
        <v>-7</v>
      </c>
      <c r="J228" s="128">
        <v>-7</v>
      </c>
      <c r="K228" s="128">
        <v>-7</v>
      </c>
      <c r="L228" s="128">
        <v>-7</v>
      </c>
      <c r="M228" s="128">
        <v>-7</v>
      </c>
      <c r="N228" s="128">
        <v>-7</v>
      </c>
      <c r="O228" s="129">
        <f t="shared" si="78"/>
        <v>-88</v>
      </c>
      <c r="P228" s="129"/>
      <c r="Q228" s="898"/>
      <c r="R228" s="961" t="s">
        <v>397</v>
      </c>
      <c r="S228" s="898"/>
      <c r="T228" s="129"/>
      <c r="U228" s="900">
        <f t="shared" si="79"/>
        <v>-25</v>
      </c>
      <c r="V228" s="900">
        <f t="shared" si="80"/>
        <v>-21</v>
      </c>
      <c r="W228" s="900">
        <f t="shared" si="81"/>
        <v>-21</v>
      </c>
      <c r="X228" s="900">
        <f t="shared" si="82"/>
        <v>-21</v>
      </c>
      <c r="Y228" s="901">
        <f t="shared" si="83"/>
        <v>-88</v>
      </c>
    </row>
    <row r="229" spans="1:25" ht="12.75" customHeight="1" x14ac:dyDescent="0.2">
      <c r="A229" s="897" t="s">
        <v>918</v>
      </c>
      <c r="C229" s="128">
        <v>-1</v>
      </c>
      <c r="D229" s="128">
        <v>0</v>
      </c>
      <c r="E229" s="128">
        <v>1</v>
      </c>
      <c r="F229" s="128">
        <v>0</v>
      </c>
      <c r="G229" s="128">
        <v>1</v>
      </c>
      <c r="H229" s="128">
        <v>-4</v>
      </c>
      <c r="I229" s="128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9">
        <f t="shared" si="78"/>
        <v>-3</v>
      </c>
      <c r="P229" s="129"/>
      <c r="Q229" s="898"/>
      <c r="R229" s="961" t="s">
        <v>397</v>
      </c>
      <c r="S229" s="898"/>
      <c r="T229" s="129"/>
      <c r="U229" s="900">
        <f t="shared" si="79"/>
        <v>0</v>
      </c>
      <c r="V229" s="900">
        <f t="shared" si="80"/>
        <v>-3</v>
      </c>
      <c r="W229" s="900">
        <f t="shared" si="81"/>
        <v>0</v>
      </c>
      <c r="X229" s="900">
        <f t="shared" si="82"/>
        <v>0</v>
      </c>
      <c r="Y229" s="901">
        <f t="shared" si="83"/>
        <v>-3</v>
      </c>
    </row>
    <row r="230" spans="1:25" ht="12.75" customHeight="1" x14ac:dyDescent="0.2">
      <c r="A230" s="909" t="s">
        <v>496</v>
      </c>
      <c r="C230" s="702">
        <v>15</v>
      </c>
      <c r="D230" s="702">
        <v>36</v>
      </c>
      <c r="E230" s="702">
        <v>12</v>
      </c>
      <c r="F230" s="702">
        <v>11</v>
      </c>
      <c r="G230" s="702">
        <v>10</v>
      </c>
      <c r="H230" s="702">
        <v>22</v>
      </c>
      <c r="I230" s="702">
        <v>9</v>
      </c>
      <c r="J230" s="702">
        <v>13</v>
      </c>
      <c r="K230" s="702">
        <v>0</v>
      </c>
      <c r="L230" s="702">
        <v>0</v>
      </c>
      <c r="M230" s="702">
        <v>0</v>
      </c>
      <c r="N230" s="702">
        <v>0</v>
      </c>
      <c r="O230" s="693">
        <f t="shared" si="78"/>
        <v>128</v>
      </c>
      <c r="P230" s="693"/>
      <c r="Q230" s="898"/>
      <c r="R230" s="961" t="s">
        <v>397</v>
      </c>
      <c r="S230" s="898"/>
      <c r="T230" s="693"/>
      <c r="U230" s="900">
        <f t="shared" si="79"/>
        <v>63</v>
      </c>
      <c r="V230" s="900">
        <f t="shared" si="80"/>
        <v>43</v>
      </c>
      <c r="W230" s="900">
        <f t="shared" si="81"/>
        <v>22</v>
      </c>
      <c r="X230" s="900">
        <f t="shared" si="82"/>
        <v>0</v>
      </c>
      <c r="Y230" s="901">
        <f t="shared" si="83"/>
        <v>128</v>
      </c>
    </row>
    <row r="231" spans="1:25" ht="12.75" customHeight="1" x14ac:dyDescent="0.2">
      <c r="A231" s="909" t="s">
        <v>497</v>
      </c>
      <c r="B231" s="913"/>
      <c r="C231" s="260">
        <v>-16</v>
      </c>
      <c r="D231" s="260">
        <v>-18</v>
      </c>
      <c r="E231" s="260">
        <v>-8</v>
      </c>
      <c r="F231" s="260">
        <v>-6</v>
      </c>
      <c r="G231" s="260">
        <v>-7</v>
      </c>
      <c r="H231" s="260">
        <v>-5</v>
      </c>
      <c r="I231" s="260">
        <v>-7</v>
      </c>
      <c r="J231" s="260">
        <v>-7</v>
      </c>
      <c r="K231" s="260">
        <v>-7</v>
      </c>
      <c r="L231" s="260">
        <v>-7</v>
      </c>
      <c r="M231" s="260">
        <v>-7</v>
      </c>
      <c r="N231" s="260">
        <v>-7</v>
      </c>
      <c r="O231" s="130">
        <f t="shared" si="78"/>
        <v>-102</v>
      </c>
      <c r="P231" s="130"/>
      <c r="Q231" s="918"/>
      <c r="R231" s="924" t="s">
        <v>397</v>
      </c>
      <c r="S231" s="918"/>
      <c r="T231" s="130"/>
      <c r="U231" s="960">
        <f t="shared" si="79"/>
        <v>-42</v>
      </c>
      <c r="V231" s="960">
        <f t="shared" si="80"/>
        <v>-18</v>
      </c>
      <c r="W231" s="960">
        <f t="shared" si="81"/>
        <v>-21</v>
      </c>
      <c r="X231" s="960">
        <f t="shared" si="82"/>
        <v>-21</v>
      </c>
      <c r="Y231" s="906">
        <f t="shared" si="83"/>
        <v>-102</v>
      </c>
    </row>
    <row r="232" spans="1:25" ht="12.75" customHeight="1" x14ac:dyDescent="0.2">
      <c r="A232" s="909" t="s">
        <v>498</v>
      </c>
      <c r="B232" s="913"/>
      <c r="C232" s="906">
        <f t="shared" ref="C232:O232" si="84">SUM(C226:C231)</f>
        <v>-827</v>
      </c>
      <c r="D232" s="906">
        <f t="shared" si="84"/>
        <v>-811</v>
      </c>
      <c r="E232" s="906">
        <f t="shared" si="84"/>
        <v>-820</v>
      </c>
      <c r="F232" s="906">
        <f t="shared" si="84"/>
        <v>-820</v>
      </c>
      <c r="G232" s="906">
        <f t="shared" si="84"/>
        <v>-821</v>
      </c>
      <c r="H232" s="906">
        <f t="shared" si="84"/>
        <v>-812</v>
      </c>
      <c r="I232" s="906">
        <f t="shared" si="84"/>
        <v>-823</v>
      </c>
      <c r="J232" s="906">
        <f t="shared" si="84"/>
        <v>-819</v>
      </c>
      <c r="K232" s="906">
        <f t="shared" si="84"/>
        <v>-832</v>
      </c>
      <c r="L232" s="906">
        <f t="shared" si="84"/>
        <v>-832</v>
      </c>
      <c r="M232" s="906">
        <f t="shared" si="84"/>
        <v>-832</v>
      </c>
      <c r="N232" s="906">
        <f t="shared" si="84"/>
        <v>-832</v>
      </c>
      <c r="O232" s="906">
        <f t="shared" si="84"/>
        <v>-9881</v>
      </c>
      <c r="P232" s="906"/>
      <c r="Q232" s="918"/>
      <c r="R232" s="911"/>
      <c r="S232" s="918"/>
      <c r="T232" s="906"/>
      <c r="U232" s="906">
        <f>SUM(U226:U231)</f>
        <v>-2458</v>
      </c>
      <c r="V232" s="906">
        <f>SUM(V226:V231)</f>
        <v>-2453</v>
      </c>
      <c r="W232" s="906">
        <f>SUM(W226:W231)</f>
        <v>-2474</v>
      </c>
      <c r="X232" s="906">
        <f>SUM(X226:X231)</f>
        <v>-2496</v>
      </c>
      <c r="Y232" s="906">
        <f>SUM(Y226:Y231)</f>
        <v>-9881</v>
      </c>
    </row>
    <row r="233" spans="1:25" ht="6" customHeight="1" x14ac:dyDescent="0.2">
      <c r="A233" s="897"/>
      <c r="C233" s="901"/>
      <c r="D233" s="901"/>
      <c r="E233" s="901"/>
      <c r="F233" s="901"/>
      <c r="G233" s="901"/>
      <c r="H233" s="901"/>
      <c r="I233" s="901"/>
      <c r="J233" s="901"/>
      <c r="K233" s="901"/>
      <c r="L233" s="901"/>
      <c r="M233" s="901"/>
      <c r="N233" s="901"/>
      <c r="O233" s="900"/>
      <c r="P233" s="900"/>
      <c r="Q233" s="898"/>
      <c r="R233" s="904"/>
      <c r="S233" s="898"/>
      <c r="T233" s="900"/>
      <c r="U233" s="900"/>
      <c r="V233" s="900"/>
      <c r="W233" s="900"/>
      <c r="X233" s="900"/>
      <c r="Y233" s="901"/>
    </row>
    <row r="234" spans="1:25" ht="12.75" customHeight="1" x14ac:dyDescent="0.2">
      <c r="A234" s="897" t="s">
        <v>37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ref="O234:O239" si="85">SUM(C234:N234)</f>
        <v>0</v>
      </c>
      <c r="P234" s="142"/>
      <c r="Q234" s="898"/>
      <c r="R234" s="899" t="s">
        <v>499</v>
      </c>
      <c r="S234" s="898"/>
      <c r="T234" s="142"/>
      <c r="U234" s="900">
        <f t="shared" ref="U234:U239" si="86">C234+D234+E234</f>
        <v>0</v>
      </c>
      <c r="V234" s="900">
        <f t="shared" ref="V234:V239" si="87">F234+G234+H234</f>
        <v>0</v>
      </c>
      <c r="W234" s="900">
        <f t="shared" ref="W234:W239" si="88">I234+J234+K234</f>
        <v>0</v>
      </c>
      <c r="X234" s="900">
        <f t="shared" ref="X234:X239" si="89">L234+M234+N234</f>
        <v>0</v>
      </c>
      <c r="Y234" s="901">
        <f t="shared" ref="Y234:Y239" si="90">SUM(U234:X234)</f>
        <v>0</v>
      </c>
    </row>
    <row r="235" spans="1:25" ht="12.75" customHeight="1" x14ac:dyDescent="0.2">
      <c r="A235" s="897" t="s">
        <v>368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2">
        <f t="shared" si="85"/>
        <v>0</v>
      </c>
      <c r="P235" s="142"/>
      <c r="Q235" s="898"/>
      <c r="R235" s="903" t="s">
        <v>499</v>
      </c>
      <c r="S235" s="898"/>
      <c r="T235" s="142"/>
      <c r="U235" s="900">
        <f t="shared" si="86"/>
        <v>0</v>
      </c>
      <c r="V235" s="900">
        <f t="shared" si="87"/>
        <v>0</v>
      </c>
      <c r="W235" s="900">
        <f t="shared" si="88"/>
        <v>0</v>
      </c>
      <c r="X235" s="900">
        <f t="shared" si="89"/>
        <v>0</v>
      </c>
      <c r="Y235" s="901">
        <f t="shared" si="90"/>
        <v>0</v>
      </c>
    </row>
    <row r="236" spans="1:25" ht="12.75" customHeight="1" x14ac:dyDescent="0.2">
      <c r="A236" s="897" t="s">
        <v>500</v>
      </c>
      <c r="C236" s="962">
        <f>+OtherInc!C15</f>
        <v>0</v>
      </c>
      <c r="D236" s="962">
        <f>+OtherInc!D15</f>
        <v>0</v>
      </c>
      <c r="E236" s="962">
        <f>+OtherInc!E15</f>
        <v>0</v>
      </c>
      <c r="F236" s="962">
        <f>+OtherInc!F15</f>
        <v>0</v>
      </c>
      <c r="G236" s="962">
        <f>+OtherInc!G15</f>
        <v>0</v>
      </c>
      <c r="H236" s="962">
        <f>+OtherInc!H15</f>
        <v>0</v>
      </c>
      <c r="I236" s="962">
        <f>+OtherInc!I15</f>
        <v>0</v>
      </c>
      <c r="J236" s="962">
        <f>+OtherInc!J15</f>
        <v>0</v>
      </c>
      <c r="K236" s="962">
        <f>+OtherInc!K15</f>
        <v>0</v>
      </c>
      <c r="L236" s="962">
        <f>+OtherInc!L15</f>
        <v>0</v>
      </c>
      <c r="M236" s="962">
        <f>+OtherInc!M15</f>
        <v>0</v>
      </c>
      <c r="N236" s="962">
        <f>+OtherInc!N15</f>
        <v>0</v>
      </c>
      <c r="O236" s="142">
        <f t="shared" si="85"/>
        <v>0</v>
      </c>
      <c r="P236" s="142"/>
      <c r="Q236" s="898"/>
      <c r="R236" s="903" t="s">
        <v>499</v>
      </c>
      <c r="S236" s="898"/>
      <c r="T236" s="142"/>
      <c r="U236" s="900">
        <f t="shared" si="86"/>
        <v>0</v>
      </c>
      <c r="V236" s="900">
        <f t="shared" si="87"/>
        <v>0</v>
      </c>
      <c r="W236" s="900">
        <f t="shared" si="88"/>
        <v>0</v>
      </c>
      <c r="X236" s="900">
        <f t="shared" si="89"/>
        <v>0</v>
      </c>
      <c r="Y236" s="901">
        <f t="shared" si="90"/>
        <v>0</v>
      </c>
    </row>
    <row r="237" spans="1:25" ht="12.75" customHeight="1" x14ac:dyDescent="0.2">
      <c r="A237" s="897" t="s">
        <v>501</v>
      </c>
      <c r="C237" s="962">
        <f>+OtherInc!C16</f>
        <v>0</v>
      </c>
      <c r="D237" s="962">
        <f>+OtherInc!D16</f>
        <v>0</v>
      </c>
      <c r="E237" s="962">
        <f>+OtherInc!E16</f>
        <v>0</v>
      </c>
      <c r="F237" s="962">
        <f>+OtherInc!F16</f>
        <v>0</v>
      </c>
      <c r="G237" s="962">
        <f>+OtherInc!G16</f>
        <v>0</v>
      </c>
      <c r="H237" s="962">
        <f>+OtherInc!H16</f>
        <v>0</v>
      </c>
      <c r="I237" s="962">
        <f>+OtherInc!I16</f>
        <v>0</v>
      </c>
      <c r="J237" s="962">
        <f>+OtherInc!J16</f>
        <v>0</v>
      </c>
      <c r="K237" s="962">
        <f>+OtherInc!K16</f>
        <v>0</v>
      </c>
      <c r="L237" s="962">
        <f>+OtherInc!L16</f>
        <v>0</v>
      </c>
      <c r="M237" s="962">
        <f>+OtherInc!M16</f>
        <v>0</v>
      </c>
      <c r="N237" s="962">
        <f>+OtherInc!N16</f>
        <v>0</v>
      </c>
      <c r="O237" s="142">
        <f t="shared" si="85"/>
        <v>0</v>
      </c>
      <c r="P237" s="142"/>
      <c r="Q237" s="898"/>
      <c r="R237" s="903" t="s">
        <v>499</v>
      </c>
      <c r="S237" s="898"/>
      <c r="T237" s="142"/>
      <c r="U237" s="900">
        <f t="shared" si="86"/>
        <v>0</v>
      </c>
      <c r="V237" s="900">
        <f t="shared" si="87"/>
        <v>0</v>
      </c>
      <c r="W237" s="900">
        <f t="shared" si="88"/>
        <v>0</v>
      </c>
      <c r="X237" s="900">
        <f t="shared" si="89"/>
        <v>0</v>
      </c>
      <c r="Y237" s="901">
        <f t="shared" si="90"/>
        <v>0</v>
      </c>
    </row>
    <row r="238" spans="1:25" ht="12.75" customHeight="1" x14ac:dyDescent="0.2">
      <c r="A238" s="897" t="s">
        <v>486</v>
      </c>
      <c r="C238" s="962">
        <f>+OtherInc!C17</f>
        <v>0</v>
      </c>
      <c r="D238" s="962">
        <f>+OtherInc!D17</f>
        <v>0</v>
      </c>
      <c r="E238" s="962">
        <f>+OtherInc!E17</f>
        <v>0</v>
      </c>
      <c r="F238" s="962">
        <f>+OtherInc!F17</f>
        <v>0</v>
      </c>
      <c r="G238" s="962">
        <f>+OtherInc!G17</f>
        <v>0</v>
      </c>
      <c r="H238" s="962">
        <f>+OtherInc!H17</f>
        <v>0</v>
      </c>
      <c r="I238" s="962">
        <f>+OtherInc!I17</f>
        <v>0</v>
      </c>
      <c r="J238" s="962">
        <f>+OtherInc!J17</f>
        <v>0</v>
      </c>
      <c r="K238" s="962">
        <f>+OtherInc!K17</f>
        <v>0</v>
      </c>
      <c r="L238" s="962">
        <f>+OtherInc!L17</f>
        <v>0</v>
      </c>
      <c r="M238" s="962">
        <f>+OtherInc!M17</f>
        <v>0</v>
      </c>
      <c r="N238" s="962">
        <f>+OtherInc!N17</f>
        <v>0</v>
      </c>
      <c r="O238" s="142">
        <f t="shared" si="85"/>
        <v>0</v>
      </c>
      <c r="P238" s="142"/>
      <c r="Q238" s="898"/>
      <c r="R238" s="903" t="s">
        <v>499</v>
      </c>
      <c r="S238" s="898"/>
      <c r="T238" s="142"/>
      <c r="U238" s="900">
        <f t="shared" si="86"/>
        <v>0</v>
      </c>
      <c r="V238" s="900">
        <f t="shared" si="87"/>
        <v>0</v>
      </c>
      <c r="W238" s="900">
        <f t="shared" si="88"/>
        <v>0</v>
      </c>
      <c r="X238" s="900">
        <f t="shared" si="89"/>
        <v>0</v>
      </c>
      <c r="Y238" s="901">
        <f t="shared" si="90"/>
        <v>0</v>
      </c>
    </row>
    <row r="239" spans="1:25" ht="12.75" customHeight="1" x14ac:dyDescent="0.2">
      <c r="A239" s="897" t="s">
        <v>918</v>
      </c>
      <c r="C239" s="141">
        <v>0</v>
      </c>
      <c r="D239" s="141">
        <v>1</v>
      </c>
      <c r="E239" s="141">
        <v>2</v>
      </c>
      <c r="F239" s="141">
        <v>1</v>
      </c>
      <c r="G239" s="141">
        <v>0</v>
      </c>
      <c r="H239" s="141">
        <v>0</v>
      </c>
      <c r="I239" s="141">
        <v>1</v>
      </c>
      <c r="J239" s="141">
        <v>5</v>
      </c>
      <c r="K239" s="141">
        <v>0</v>
      </c>
      <c r="L239" s="141">
        <v>0</v>
      </c>
      <c r="M239" s="141">
        <v>0</v>
      </c>
      <c r="N239" s="141">
        <v>0</v>
      </c>
      <c r="O239" s="142">
        <f t="shared" si="85"/>
        <v>10</v>
      </c>
      <c r="P239" s="142"/>
      <c r="Q239" s="898"/>
      <c r="R239" s="903" t="s">
        <v>499</v>
      </c>
      <c r="S239" s="898"/>
      <c r="T239" s="142"/>
      <c r="U239" s="900">
        <f t="shared" si="86"/>
        <v>3</v>
      </c>
      <c r="V239" s="900">
        <f t="shared" si="87"/>
        <v>1</v>
      </c>
      <c r="W239" s="900">
        <f t="shared" si="88"/>
        <v>6</v>
      </c>
      <c r="X239" s="900">
        <f t="shared" si="89"/>
        <v>0</v>
      </c>
      <c r="Y239" s="901">
        <f t="shared" si="90"/>
        <v>10</v>
      </c>
    </row>
    <row r="240" spans="1:25" ht="3.95" customHeight="1" x14ac:dyDescent="0.2">
      <c r="A240" s="897"/>
      <c r="C240" s="901"/>
      <c r="D240" s="901"/>
      <c r="E240" s="901"/>
      <c r="F240" s="901"/>
      <c r="G240" s="901"/>
      <c r="H240" s="901"/>
      <c r="I240" s="901"/>
      <c r="J240" s="901"/>
      <c r="K240" s="901"/>
      <c r="L240" s="901"/>
      <c r="M240" s="901"/>
      <c r="N240" s="901"/>
      <c r="O240" s="900"/>
      <c r="P240" s="900"/>
      <c r="Q240" s="898"/>
      <c r="R240" s="904"/>
      <c r="S240" s="898"/>
      <c r="T240" s="900"/>
      <c r="U240" s="900"/>
      <c r="V240" s="900"/>
      <c r="W240" s="900"/>
      <c r="X240" s="900"/>
      <c r="Y240" s="901"/>
    </row>
    <row r="241" spans="1:25" x14ac:dyDescent="0.2">
      <c r="A241" s="897" t="s">
        <v>502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98"/>
      <c r="R241" s="899" t="s">
        <v>406</v>
      </c>
      <c r="S241" s="898"/>
      <c r="T241" s="156"/>
      <c r="U241" s="900">
        <f t="shared" ref="U241:U247" si="91">C241+D241+E241</f>
        <v>0</v>
      </c>
      <c r="V241" s="900">
        <f t="shared" ref="V241:V247" si="92">F241+G241+H241</f>
        <v>0</v>
      </c>
      <c r="W241" s="900">
        <f t="shared" ref="W241:W247" si="93">I241+J241+K241</f>
        <v>0</v>
      </c>
      <c r="X241" s="900">
        <f t="shared" ref="X241:X247" si="94">L241+M241+N241</f>
        <v>0</v>
      </c>
      <c r="Y241" s="901">
        <f t="shared" ref="Y241:Y247" si="95">SUM(U241:X241)</f>
        <v>0</v>
      </c>
    </row>
    <row r="242" spans="1:25" x14ac:dyDescent="0.2">
      <c r="A242" s="897" t="s">
        <v>503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98"/>
      <c r="R242" s="903" t="s">
        <v>406</v>
      </c>
      <c r="S242" s="898"/>
      <c r="T242" s="156"/>
      <c r="U242" s="900">
        <f t="shared" si="91"/>
        <v>0</v>
      </c>
      <c r="V242" s="900">
        <f t="shared" si="92"/>
        <v>0</v>
      </c>
      <c r="W242" s="900">
        <f t="shared" si="93"/>
        <v>0</v>
      </c>
      <c r="X242" s="900">
        <f t="shared" si="94"/>
        <v>0</v>
      </c>
      <c r="Y242" s="901">
        <f t="shared" si="95"/>
        <v>0</v>
      </c>
    </row>
    <row r="243" spans="1:25" x14ac:dyDescent="0.2">
      <c r="A243" s="897" t="s">
        <v>488</v>
      </c>
      <c r="C243" s="158">
        <v>0</v>
      </c>
      <c r="D243" s="158">
        <v>0</v>
      </c>
      <c r="E243" s="158">
        <v>0</v>
      </c>
      <c r="F243" s="158">
        <v>0</v>
      </c>
      <c r="G243" s="158">
        <v>0</v>
      </c>
      <c r="H243" s="158">
        <v>0</v>
      </c>
      <c r="I243" s="158">
        <v>0</v>
      </c>
      <c r="J243" s="158">
        <v>0</v>
      </c>
      <c r="K243" s="158">
        <v>0</v>
      </c>
      <c r="L243" s="158">
        <v>0</v>
      </c>
      <c r="M243" s="158">
        <v>0</v>
      </c>
      <c r="N243" s="158">
        <v>0</v>
      </c>
      <c r="O243" s="156">
        <f>SUM(C243:N243)</f>
        <v>0</v>
      </c>
      <c r="P243" s="156"/>
      <c r="Q243" s="898"/>
      <c r="R243" s="899" t="s">
        <v>406</v>
      </c>
      <c r="S243" s="898"/>
      <c r="T243" s="156"/>
      <c r="U243" s="900">
        <f t="shared" si="91"/>
        <v>0</v>
      </c>
      <c r="V243" s="900">
        <f t="shared" si="92"/>
        <v>0</v>
      </c>
      <c r="W243" s="900">
        <f t="shared" si="93"/>
        <v>0</v>
      </c>
      <c r="X243" s="900">
        <f t="shared" si="94"/>
        <v>0</v>
      </c>
      <c r="Y243" s="901">
        <f t="shared" si="95"/>
        <v>0</v>
      </c>
    </row>
    <row r="244" spans="1:25" x14ac:dyDescent="0.2">
      <c r="A244" s="897" t="s">
        <v>427</v>
      </c>
      <c r="C244" s="910">
        <v>0</v>
      </c>
      <c r="D244" s="910">
        <v>0</v>
      </c>
      <c r="E244" s="910">
        <v>0</v>
      </c>
      <c r="F244" s="910">
        <v>0</v>
      </c>
      <c r="G244" s="910">
        <v>0</v>
      </c>
      <c r="H244" s="910">
        <v>0</v>
      </c>
      <c r="I244" s="910">
        <v>0</v>
      </c>
      <c r="J244" s="910">
        <v>0</v>
      </c>
      <c r="K244" s="910">
        <v>0</v>
      </c>
      <c r="L244" s="910">
        <v>0</v>
      </c>
      <c r="M244" s="910">
        <v>0</v>
      </c>
      <c r="N244" s="910">
        <v>0</v>
      </c>
      <c r="O244" s="900">
        <f>C244+D244+E244+F244+G244+H244+I244+J244+K244+L244+M244+N244</f>
        <v>0</v>
      </c>
      <c r="P244" s="900"/>
      <c r="Q244" s="898"/>
      <c r="R244" s="899" t="s">
        <v>406</v>
      </c>
      <c r="S244" s="898"/>
      <c r="T244" s="900"/>
      <c r="U244" s="900">
        <f>C244+D244+E244</f>
        <v>0</v>
      </c>
      <c r="V244" s="900">
        <f>F244+G244+H244</f>
        <v>0</v>
      </c>
      <c r="W244" s="900">
        <f>I244+J244+K244</f>
        <v>0</v>
      </c>
      <c r="X244" s="900">
        <f>L244+M244+N244</f>
        <v>0</v>
      </c>
      <c r="Y244" s="901">
        <f>SUM(U244:X244)</f>
        <v>0</v>
      </c>
    </row>
    <row r="245" spans="1:25" x14ac:dyDescent="0.2">
      <c r="A245" s="897" t="s">
        <v>359</v>
      </c>
      <c r="C245" s="910">
        <v>0</v>
      </c>
      <c r="D245" s="910">
        <v>0</v>
      </c>
      <c r="E245" s="910">
        <v>0</v>
      </c>
      <c r="F245" s="910">
        <v>0</v>
      </c>
      <c r="G245" s="910">
        <v>0</v>
      </c>
      <c r="H245" s="910">
        <v>0</v>
      </c>
      <c r="I245" s="910">
        <v>0</v>
      </c>
      <c r="J245" s="910">
        <v>0</v>
      </c>
      <c r="K245" s="910">
        <v>0</v>
      </c>
      <c r="L245" s="910">
        <v>0</v>
      </c>
      <c r="M245" s="910">
        <v>0</v>
      </c>
      <c r="N245" s="910">
        <v>0</v>
      </c>
      <c r="O245" s="900">
        <f>C245+D245+E245+F245+G245+H245+I245+J245+K245+L245+M245+N245</f>
        <v>0</v>
      </c>
      <c r="P245" s="900"/>
      <c r="Q245" s="898"/>
      <c r="R245" s="903" t="s">
        <v>406</v>
      </c>
      <c r="S245" s="898"/>
      <c r="T245" s="900"/>
      <c r="U245" s="900">
        <f>C245+D245+E245</f>
        <v>0</v>
      </c>
      <c r="V245" s="900">
        <f>F245+G245+H245</f>
        <v>0</v>
      </c>
      <c r="W245" s="900">
        <f>I245+J245+K245</f>
        <v>0</v>
      </c>
      <c r="X245" s="900">
        <f>L245+M245+N245</f>
        <v>0</v>
      </c>
      <c r="Y245" s="901">
        <f>SUM(U245:X245)</f>
        <v>0</v>
      </c>
    </row>
    <row r="246" spans="1:25" x14ac:dyDescent="0.2">
      <c r="A246" s="897" t="s">
        <v>369</v>
      </c>
      <c r="C246" s="910">
        <v>0</v>
      </c>
      <c r="D246" s="910">
        <v>0</v>
      </c>
      <c r="E246" s="910">
        <v>0</v>
      </c>
      <c r="F246" s="910">
        <v>0</v>
      </c>
      <c r="G246" s="910">
        <v>0</v>
      </c>
      <c r="H246" s="910">
        <v>0</v>
      </c>
      <c r="I246" s="910">
        <v>0</v>
      </c>
      <c r="J246" s="910">
        <v>0</v>
      </c>
      <c r="K246" s="910">
        <v>0</v>
      </c>
      <c r="L246" s="910">
        <v>0</v>
      </c>
      <c r="M246" s="910">
        <v>0</v>
      </c>
      <c r="N246" s="910">
        <v>0</v>
      </c>
      <c r="O246" s="900">
        <f>C246+D246+E246+F246+G246+H246+I246+J246+K246+L246+M246+N246</f>
        <v>0</v>
      </c>
      <c r="P246" s="900"/>
      <c r="Q246" s="898"/>
      <c r="R246" s="903" t="s">
        <v>406</v>
      </c>
      <c r="S246" s="898"/>
      <c r="T246" s="900"/>
      <c r="U246" s="900">
        <f>C246+D246+E246</f>
        <v>0</v>
      </c>
      <c r="V246" s="900">
        <f>F246+G246+H246</f>
        <v>0</v>
      </c>
      <c r="W246" s="900">
        <f>I246+J246+K246</f>
        <v>0</v>
      </c>
      <c r="X246" s="900">
        <f>L246+M246+N246</f>
        <v>0</v>
      </c>
      <c r="Y246" s="901">
        <f>SUM(U246:X246)</f>
        <v>0</v>
      </c>
    </row>
    <row r="247" spans="1:25" x14ac:dyDescent="0.2">
      <c r="A247" s="897" t="s">
        <v>487</v>
      </c>
      <c r="C247" s="910">
        <v>-3</v>
      </c>
      <c r="D247" s="910">
        <v>-3</v>
      </c>
      <c r="E247" s="910">
        <v>-3</v>
      </c>
      <c r="F247" s="910">
        <v>-3</v>
      </c>
      <c r="G247" s="910">
        <v>-3</v>
      </c>
      <c r="H247" s="910">
        <v>-3</v>
      </c>
      <c r="I247" s="910">
        <v>-3</v>
      </c>
      <c r="J247" s="910">
        <v>-3</v>
      </c>
      <c r="K247" s="910">
        <v>-3</v>
      </c>
      <c r="L247" s="910">
        <v>-3</v>
      </c>
      <c r="M247" s="910">
        <v>-3</v>
      </c>
      <c r="N247" s="910">
        <v>-3</v>
      </c>
      <c r="O247" s="156">
        <f>SUM(C247:N247)</f>
        <v>-36</v>
      </c>
      <c r="P247" s="156"/>
      <c r="Q247" s="898"/>
      <c r="R247" s="903" t="s">
        <v>406</v>
      </c>
      <c r="S247" s="898"/>
      <c r="T247" s="156"/>
      <c r="U247" s="900">
        <f t="shared" si="91"/>
        <v>-9</v>
      </c>
      <c r="V247" s="900">
        <f t="shared" si="92"/>
        <v>-9</v>
      </c>
      <c r="W247" s="900">
        <f t="shared" si="93"/>
        <v>-9</v>
      </c>
      <c r="X247" s="900">
        <f t="shared" si="94"/>
        <v>-9</v>
      </c>
      <c r="Y247" s="901">
        <f t="shared" si="95"/>
        <v>-36</v>
      </c>
    </row>
    <row r="248" spans="1:25" ht="3.95" customHeight="1" x14ac:dyDescent="0.2">
      <c r="A248" s="897"/>
      <c r="C248" s="919"/>
      <c r="D248" s="919"/>
      <c r="E248" s="919"/>
      <c r="F248" s="919"/>
      <c r="G248" s="919"/>
      <c r="H248" s="919"/>
      <c r="I248" s="919"/>
      <c r="J248" s="919"/>
      <c r="K248" s="919"/>
      <c r="L248" s="919"/>
      <c r="M248" s="919"/>
      <c r="N248" s="919"/>
      <c r="O248" s="900"/>
      <c r="P248" s="900"/>
      <c r="Q248" s="898"/>
      <c r="R248" s="903"/>
      <c r="S248" s="898"/>
      <c r="T248" s="900"/>
      <c r="U248" s="900"/>
      <c r="V248" s="900"/>
      <c r="W248" s="900"/>
      <c r="X248" s="900"/>
      <c r="Y248" s="901"/>
    </row>
    <row r="249" spans="1:25" ht="12.75" customHeight="1" x14ac:dyDescent="0.2">
      <c r="A249" s="897" t="s">
        <v>504</v>
      </c>
      <c r="C249" s="141">
        <v>0</v>
      </c>
      <c r="D249" s="141">
        <v>0</v>
      </c>
      <c r="E249" s="141">
        <v>0</v>
      </c>
      <c r="F249" s="141">
        <v>0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900">
        <f>C249+D249+E249+F249+G249+H249+I249+J249+K249+L249+M249+N249</f>
        <v>0</v>
      </c>
      <c r="P249" s="900"/>
      <c r="Q249" s="898"/>
      <c r="R249" s="924" t="s">
        <v>374</v>
      </c>
      <c r="S249" s="898"/>
      <c r="T249" s="900"/>
      <c r="U249" s="900">
        <f>C249+D249+E249</f>
        <v>0</v>
      </c>
      <c r="V249" s="900">
        <f>F249+G249+H249</f>
        <v>0</v>
      </c>
      <c r="W249" s="900">
        <f>I249+J249+K249</f>
        <v>0</v>
      </c>
      <c r="X249" s="900">
        <f>L249+M249+N249</f>
        <v>0</v>
      </c>
      <c r="Y249" s="901">
        <f>SUM(U249:X249)</f>
        <v>0</v>
      </c>
    </row>
    <row r="250" spans="1:25" ht="12.75" customHeight="1" x14ac:dyDescent="0.2">
      <c r="A250" s="897" t="s">
        <v>505</v>
      </c>
      <c r="C250" s="141">
        <v>7</v>
      </c>
      <c r="D250" s="141">
        <v>7</v>
      </c>
      <c r="E250" s="141">
        <v>5</v>
      </c>
      <c r="F250" s="141">
        <v>5</v>
      </c>
      <c r="G250" s="141">
        <v>4</v>
      </c>
      <c r="H250" s="141">
        <v>7</v>
      </c>
      <c r="I250" s="141">
        <v>23</v>
      </c>
      <c r="J250" s="141">
        <v>21</v>
      </c>
      <c r="K250" s="141">
        <v>8</v>
      </c>
      <c r="L250" s="141">
        <v>5</v>
      </c>
      <c r="M250" s="141">
        <v>8</v>
      </c>
      <c r="N250" s="141">
        <v>8</v>
      </c>
      <c r="O250" s="142">
        <f>SUM(C250:N250)</f>
        <v>108</v>
      </c>
      <c r="P250" s="142"/>
      <c r="Q250" s="898"/>
      <c r="R250" s="924" t="s">
        <v>374</v>
      </c>
      <c r="S250" s="898"/>
      <c r="T250" s="142"/>
      <c r="U250" s="900">
        <f>C250+D250+E250</f>
        <v>19</v>
      </c>
      <c r="V250" s="900">
        <f>F250+G250+H250</f>
        <v>16</v>
      </c>
      <c r="W250" s="900">
        <f>I250+J250+K250</f>
        <v>52</v>
      </c>
      <c r="X250" s="900">
        <f>L250+M250+N250</f>
        <v>21</v>
      </c>
      <c r="Y250" s="901">
        <f>SUM(U250:X250)</f>
        <v>108</v>
      </c>
    </row>
    <row r="251" spans="1:25" ht="12.75" customHeight="1" x14ac:dyDescent="0.2">
      <c r="A251" s="897" t="s">
        <v>506</v>
      </c>
      <c r="C251" s="141">
        <v>-7</v>
      </c>
      <c r="D251" s="141">
        <v>-7</v>
      </c>
      <c r="E251" s="141">
        <v>-7</v>
      </c>
      <c r="F251" s="141">
        <v>-8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-85</v>
      </c>
      <c r="P251" s="142"/>
      <c r="Q251" s="898"/>
      <c r="R251" s="961" t="s">
        <v>374</v>
      </c>
      <c r="S251" s="898"/>
      <c r="T251" s="142"/>
      <c r="U251" s="900">
        <f>C251+D251+E251</f>
        <v>-21</v>
      </c>
      <c r="V251" s="900">
        <f>F251+G251+H251</f>
        <v>-22</v>
      </c>
      <c r="W251" s="900">
        <f>I251+J251+K251</f>
        <v>-21</v>
      </c>
      <c r="X251" s="900">
        <f>L251+M251+N251</f>
        <v>-21</v>
      </c>
      <c r="Y251" s="901">
        <f>SUM(U251:X251)</f>
        <v>-85</v>
      </c>
    </row>
    <row r="252" spans="1:25" x14ac:dyDescent="0.2">
      <c r="A252" s="897" t="s">
        <v>507</v>
      </c>
      <c r="C252" s="1009">
        <f>+OtherInc!C42</f>
        <v>0</v>
      </c>
      <c r="D252" s="1009">
        <f>+OtherInc!D42</f>
        <v>0</v>
      </c>
      <c r="E252" s="1009">
        <f>+OtherInc!E42</f>
        <v>0</v>
      </c>
      <c r="F252" s="1009">
        <f>+OtherInc!F42</f>
        <v>0</v>
      </c>
      <c r="G252" s="1009">
        <f>+OtherInc!G42</f>
        <v>0</v>
      </c>
      <c r="H252" s="1009">
        <f>+OtherInc!H42</f>
        <v>0</v>
      </c>
      <c r="I252" s="1009">
        <f>+OtherInc!I42</f>
        <v>0</v>
      </c>
      <c r="J252" s="1009">
        <f>+OtherInc!J42</f>
        <v>0</v>
      </c>
      <c r="K252" s="1009">
        <f>+OtherInc!K42</f>
        <v>0</v>
      </c>
      <c r="L252" s="1009">
        <f>+OtherInc!L42</f>
        <v>0</v>
      </c>
      <c r="M252" s="1009">
        <f>+OtherInc!M42</f>
        <v>0</v>
      </c>
      <c r="N252" s="1009">
        <f>+OtherInc!N42</f>
        <v>0</v>
      </c>
      <c r="O252" s="143">
        <f>SUM(C252:N252)</f>
        <v>0</v>
      </c>
      <c r="P252" s="143"/>
      <c r="Q252" s="898"/>
      <c r="R252" s="905" t="s">
        <v>374</v>
      </c>
      <c r="S252" s="898"/>
      <c r="T252" s="143"/>
      <c r="U252" s="907">
        <f>C252+D252+E252</f>
        <v>0</v>
      </c>
      <c r="V252" s="907">
        <f>F252+G252+H252</f>
        <v>0</v>
      </c>
      <c r="W252" s="907">
        <f>I252+J252+K252</f>
        <v>0</v>
      </c>
      <c r="X252" s="907">
        <f>L252+M252+N252</f>
        <v>0</v>
      </c>
      <c r="Y252" s="908">
        <f>SUM(U252:X252)</f>
        <v>0</v>
      </c>
    </row>
    <row r="253" spans="1:25" s="913" customFormat="1" ht="6" customHeight="1" x14ac:dyDescent="0.2">
      <c r="Q253" s="918"/>
      <c r="S253" s="918"/>
    </row>
    <row r="254" spans="1:25" s="913" customFormat="1" ht="12.75" customHeight="1" x14ac:dyDescent="0.2">
      <c r="A254" s="912" t="s">
        <v>508</v>
      </c>
      <c r="C254" s="906">
        <f t="shared" ref="C254:O254" si="96">C210+C222+C232+SUM(C234:C252)</f>
        <v>-3280.971</v>
      </c>
      <c r="D254" s="906">
        <f t="shared" si="96"/>
        <v>-3254.902</v>
      </c>
      <c r="E254" s="906">
        <f t="shared" si="96"/>
        <v>-4084</v>
      </c>
      <c r="F254" s="906">
        <f t="shared" si="96"/>
        <v>-3095</v>
      </c>
      <c r="G254" s="906">
        <f t="shared" si="96"/>
        <v>-2999</v>
      </c>
      <c r="H254" s="906">
        <f t="shared" si="96"/>
        <v>-3286</v>
      </c>
      <c r="I254" s="906">
        <f t="shared" si="96"/>
        <v>-3211</v>
      </c>
      <c r="J254" s="906">
        <f t="shared" si="96"/>
        <v>-3215</v>
      </c>
      <c r="K254" s="906">
        <f t="shared" si="96"/>
        <v>-3211</v>
      </c>
      <c r="L254" s="906">
        <f t="shared" si="96"/>
        <v>-3301</v>
      </c>
      <c r="M254" s="906">
        <f t="shared" si="96"/>
        <v>-3396</v>
      </c>
      <c r="N254" s="906">
        <f t="shared" si="96"/>
        <v>-3466</v>
      </c>
      <c r="O254" s="906">
        <f t="shared" si="96"/>
        <v>-39799.873</v>
      </c>
      <c r="P254" s="906"/>
      <c r="Q254" s="918"/>
      <c r="R254" s="911"/>
      <c r="S254" s="918"/>
      <c r="T254" s="906"/>
      <c r="U254" s="906">
        <f>U210+U222+U232+SUM(U234:U252)</f>
        <v>-10619.873</v>
      </c>
      <c r="V254" s="906">
        <f>V210+V222+V232+SUM(V234:V252)</f>
        <v>-9380</v>
      </c>
      <c r="W254" s="906">
        <f>W210+W222+W232+SUM(W234:W252)</f>
        <v>-9637</v>
      </c>
      <c r="X254" s="906">
        <f>X210+X222+X232+SUM(X234:X252)</f>
        <v>-10163</v>
      </c>
      <c r="Y254" s="906">
        <f>Y210+Y222+Y232+SUM(Y234:Y252)</f>
        <v>-39799.873</v>
      </c>
    </row>
    <row r="255" spans="1:25" s="913" customFormat="1" ht="12.75" customHeight="1" x14ac:dyDescent="0.2">
      <c r="A255" s="912"/>
      <c r="C255" s="906"/>
      <c r="D255" s="906"/>
      <c r="E255" s="906"/>
      <c r="F255" s="906"/>
      <c r="G255" s="906"/>
      <c r="H255" s="906"/>
      <c r="I255" s="906"/>
      <c r="J255" s="906"/>
      <c r="K255" s="906"/>
      <c r="L255" s="906"/>
      <c r="M255" s="906"/>
      <c r="N255" s="906"/>
      <c r="O255" s="906"/>
      <c r="P255" s="906"/>
      <c r="Q255" s="918"/>
      <c r="R255" s="911"/>
      <c r="S255" s="918"/>
      <c r="T255" s="906"/>
      <c r="U255" s="906"/>
      <c r="V255" s="906"/>
      <c r="W255" s="906"/>
      <c r="X255" s="906"/>
      <c r="Y255" s="906"/>
    </row>
    <row r="256" spans="1:25" s="913" customFormat="1" ht="12.75" customHeight="1" x14ac:dyDescent="0.2">
      <c r="A256" s="912" t="s">
        <v>489</v>
      </c>
      <c r="B256" s="931"/>
      <c r="C256" s="963">
        <f t="shared" ref="C256:O256" si="97">SUM(C182:C182)+C254</f>
        <v>-3280.971</v>
      </c>
      <c r="D256" s="963">
        <f t="shared" si="97"/>
        <v>-3254.902</v>
      </c>
      <c r="E256" s="963">
        <f t="shared" si="97"/>
        <v>-4084</v>
      </c>
      <c r="F256" s="963">
        <f t="shared" si="97"/>
        <v>-3095</v>
      </c>
      <c r="G256" s="963">
        <f t="shared" si="97"/>
        <v>-2999</v>
      </c>
      <c r="H256" s="963">
        <f t="shared" si="97"/>
        <v>-3286</v>
      </c>
      <c r="I256" s="963">
        <f t="shared" si="97"/>
        <v>-3211</v>
      </c>
      <c r="J256" s="963">
        <f t="shared" si="97"/>
        <v>-3215</v>
      </c>
      <c r="K256" s="963">
        <f t="shared" si="97"/>
        <v>-3211</v>
      </c>
      <c r="L256" s="963">
        <f t="shared" si="97"/>
        <v>-3301</v>
      </c>
      <c r="M256" s="963">
        <f t="shared" si="97"/>
        <v>-3396</v>
      </c>
      <c r="N256" s="963">
        <f t="shared" si="97"/>
        <v>-3466</v>
      </c>
      <c r="O256" s="963">
        <f t="shared" si="97"/>
        <v>-39799.873</v>
      </c>
      <c r="P256" s="963"/>
      <c r="Q256" s="964"/>
      <c r="R256" s="965"/>
      <c r="S256" s="964"/>
      <c r="T256" s="963"/>
      <c r="U256" s="963">
        <f>SUM(U182:U182)+U254</f>
        <v>-10619.873</v>
      </c>
      <c r="V256" s="963">
        <f>SUM(V182:V182)+V254</f>
        <v>-9380</v>
      </c>
      <c r="W256" s="963">
        <f>SUM(W182:W182)+W254</f>
        <v>-9637</v>
      </c>
      <c r="X256" s="963">
        <f>SUM(X182:X182)+X254</f>
        <v>-10163</v>
      </c>
      <c r="Y256" s="963">
        <f>SUM(Y182:Y182)+Y254</f>
        <v>-39799.873</v>
      </c>
    </row>
    <row r="257" spans="1:25" s="913" customFormat="1" ht="12.75" customHeight="1" x14ac:dyDescent="0.2">
      <c r="A257" s="897"/>
      <c r="C257" s="919"/>
      <c r="D257" s="919"/>
      <c r="E257" s="919"/>
      <c r="F257" s="919"/>
      <c r="G257" s="919"/>
      <c r="H257" s="919"/>
      <c r="I257" s="919"/>
      <c r="J257" s="919"/>
      <c r="K257" s="919"/>
      <c r="L257" s="919"/>
      <c r="M257" s="919"/>
      <c r="N257" s="919"/>
      <c r="O257" s="142"/>
      <c r="P257" s="142"/>
      <c r="Q257" s="964"/>
      <c r="S257" s="918"/>
      <c r="T257" s="142"/>
      <c r="U257" s="900"/>
      <c r="V257" s="900"/>
      <c r="W257" s="900"/>
      <c r="X257" s="900"/>
      <c r="Y257" s="901"/>
    </row>
    <row r="258" spans="1:25" s="913" customFormat="1" ht="12.75" customHeight="1" x14ac:dyDescent="0.2">
      <c r="A258" s="897"/>
      <c r="C258" s="919"/>
      <c r="D258" s="919"/>
      <c r="E258" s="919"/>
      <c r="F258" s="919"/>
      <c r="G258" s="919"/>
      <c r="H258" s="919"/>
      <c r="I258" s="919"/>
      <c r="J258" s="919"/>
      <c r="K258" s="919"/>
      <c r="L258" s="919"/>
      <c r="M258" s="919"/>
      <c r="N258" s="919"/>
      <c r="O258" s="142"/>
      <c r="P258" s="142"/>
      <c r="Q258" s="964"/>
      <c r="S258" s="918"/>
      <c r="T258" s="142"/>
      <c r="U258" s="900"/>
      <c r="V258" s="900"/>
      <c r="W258" s="900"/>
      <c r="X258" s="900"/>
      <c r="Y258" s="901"/>
    </row>
    <row r="259" spans="1:25" s="913" customFormat="1" ht="12.75" customHeight="1" x14ac:dyDescent="0.2">
      <c r="A259" s="897"/>
      <c r="C259" s="919"/>
      <c r="D259" s="919"/>
      <c r="E259" s="919"/>
      <c r="F259" s="919"/>
      <c r="G259" s="919"/>
      <c r="H259" s="919"/>
      <c r="I259" s="919"/>
      <c r="J259" s="919"/>
      <c r="K259" s="919"/>
      <c r="L259" s="919"/>
      <c r="M259" s="919"/>
      <c r="N259" s="919"/>
      <c r="O259" s="142"/>
      <c r="P259" s="142"/>
      <c r="Q259" s="964"/>
      <c r="S259" s="918"/>
      <c r="T259" s="142"/>
      <c r="U259" s="900"/>
      <c r="V259" s="900"/>
      <c r="W259" s="900"/>
      <c r="X259" s="900"/>
      <c r="Y259" s="901"/>
    </row>
    <row r="260" spans="1:25" s="913" customFormat="1" ht="12.75" customHeight="1" x14ac:dyDescent="0.2">
      <c r="A260" s="897"/>
      <c r="B260" s="931"/>
      <c r="C260" s="919"/>
      <c r="D260" s="919"/>
      <c r="E260" s="919"/>
      <c r="F260" s="919"/>
      <c r="G260" s="919"/>
      <c r="H260" s="919"/>
      <c r="I260" s="919"/>
      <c r="J260" s="919"/>
      <c r="K260" s="919"/>
      <c r="L260" s="919"/>
      <c r="M260" s="919"/>
      <c r="N260" s="919"/>
      <c r="O260" s="142"/>
      <c r="P260" s="142"/>
      <c r="Q260" s="964"/>
      <c r="R260" s="965"/>
      <c r="S260" s="964"/>
      <c r="T260" s="142"/>
      <c r="U260" s="900"/>
      <c r="V260" s="900"/>
      <c r="W260" s="900"/>
      <c r="X260" s="900"/>
      <c r="Y260" s="901"/>
    </row>
    <row r="261" spans="1:25" x14ac:dyDescent="0.2">
      <c r="A261" s="893" t="s">
        <v>509</v>
      </c>
      <c r="Q261" s="898"/>
      <c r="R261" s="878"/>
      <c r="S261" s="898"/>
      <c r="T261" s="878"/>
    </row>
    <row r="262" spans="1:25" x14ac:dyDescent="0.2">
      <c r="A262" s="897" t="s">
        <v>483</v>
      </c>
      <c r="C262" s="953">
        <v>0</v>
      </c>
      <c r="D262" s="954">
        <v>0</v>
      </c>
      <c r="E262" s="954">
        <v>0</v>
      </c>
      <c r="F262" s="954">
        <v>0</v>
      </c>
      <c r="G262" s="954">
        <v>0</v>
      </c>
      <c r="H262" s="954">
        <v>0</v>
      </c>
      <c r="I262" s="954">
        <v>0</v>
      </c>
      <c r="J262" s="954">
        <v>0</v>
      </c>
      <c r="K262" s="954">
        <v>0</v>
      </c>
      <c r="L262" s="954">
        <v>0</v>
      </c>
      <c r="M262" s="954">
        <v>0</v>
      </c>
      <c r="N262" s="954">
        <v>0</v>
      </c>
      <c r="O262" s="955">
        <f>SUM(C262:N262)</f>
        <v>0</v>
      </c>
      <c r="P262" s="956"/>
      <c r="Q262" s="923"/>
      <c r="R262" s="966" t="s">
        <v>365</v>
      </c>
      <c r="S262" s="923"/>
      <c r="T262" s="956"/>
      <c r="U262" s="939">
        <f>C262+D262+E262</f>
        <v>0</v>
      </c>
      <c r="V262" s="940">
        <f>F262+G262+H262</f>
        <v>0</v>
      </c>
      <c r="W262" s="940">
        <f>I262+J262+K262</f>
        <v>0</v>
      </c>
      <c r="X262" s="940">
        <f>L262+M262+N262</f>
        <v>0</v>
      </c>
      <c r="Y262" s="941">
        <f>SUM(U262:X262)</f>
        <v>0</v>
      </c>
    </row>
    <row r="263" spans="1:25" ht="6" customHeight="1" x14ac:dyDescent="0.2">
      <c r="A263" s="896"/>
      <c r="C263" s="612"/>
      <c r="D263" s="612"/>
      <c r="E263" s="612"/>
      <c r="F263" s="612"/>
      <c r="G263" s="612"/>
      <c r="H263" s="612"/>
      <c r="I263" s="612"/>
      <c r="J263" s="612"/>
      <c r="K263" s="612"/>
      <c r="L263" s="612"/>
      <c r="M263" s="612"/>
      <c r="N263" s="612"/>
      <c r="O263" s="619"/>
      <c r="P263" s="619"/>
      <c r="Q263" s="923"/>
      <c r="R263" s="966"/>
      <c r="S263" s="923"/>
      <c r="T263" s="619"/>
      <c r="U263" s="900"/>
      <c r="V263" s="900"/>
      <c r="W263" s="900"/>
      <c r="X263" s="900"/>
      <c r="Y263" s="901"/>
    </row>
    <row r="264" spans="1:25" x14ac:dyDescent="0.2">
      <c r="A264" s="897" t="s">
        <v>490</v>
      </c>
      <c r="C264" s="967">
        <v>0</v>
      </c>
      <c r="D264" s="968">
        <v>0</v>
      </c>
      <c r="E264" s="968">
        <v>0</v>
      </c>
      <c r="F264" s="968">
        <v>0</v>
      </c>
      <c r="G264" s="968">
        <v>0</v>
      </c>
      <c r="H264" s="968">
        <v>0</v>
      </c>
      <c r="I264" s="968">
        <v>0</v>
      </c>
      <c r="J264" s="968">
        <v>0</v>
      </c>
      <c r="K264" s="968">
        <v>0</v>
      </c>
      <c r="L264" s="968">
        <v>0</v>
      </c>
      <c r="M264" s="968">
        <v>0</v>
      </c>
      <c r="N264" s="968">
        <v>0</v>
      </c>
      <c r="O264" s="969">
        <f>SUM(C264:N264)</f>
        <v>0</v>
      </c>
      <c r="P264" s="970"/>
      <c r="Q264" s="898"/>
      <c r="R264" s="899" t="s">
        <v>394</v>
      </c>
      <c r="S264" s="898"/>
      <c r="T264" s="970"/>
      <c r="U264" s="939">
        <f>C264+D264+E264</f>
        <v>0</v>
      </c>
      <c r="V264" s="940">
        <f>F264+G264+H264</f>
        <v>0</v>
      </c>
      <c r="W264" s="940">
        <f>I264+J264+K264</f>
        <v>0</v>
      </c>
      <c r="X264" s="940">
        <f>L264+M264+N264</f>
        <v>0</v>
      </c>
      <c r="Y264" s="941">
        <f>SUM(U264:X264)</f>
        <v>0</v>
      </c>
    </row>
    <row r="265" spans="1:25" ht="6" customHeight="1" x14ac:dyDescent="0.2">
      <c r="A265" s="896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98"/>
      <c r="R265" s="899"/>
      <c r="S265" s="898"/>
      <c r="T265" s="129"/>
      <c r="U265" s="900"/>
      <c r="V265" s="900"/>
      <c r="W265" s="900"/>
      <c r="X265" s="900"/>
      <c r="Y265" s="901"/>
    </row>
    <row r="266" spans="1:25" x14ac:dyDescent="0.2">
      <c r="A266" s="896" t="s">
        <v>377</v>
      </c>
      <c r="C266" s="901"/>
      <c r="D266" s="901"/>
      <c r="E266" s="901"/>
      <c r="F266" s="901"/>
      <c r="G266" s="901"/>
      <c r="H266" s="901"/>
      <c r="I266" s="901"/>
      <c r="J266" s="901"/>
      <c r="K266" s="901"/>
      <c r="L266" s="901"/>
      <c r="M266" s="901"/>
      <c r="N266" s="901"/>
      <c r="O266" s="900"/>
      <c r="P266" s="900"/>
      <c r="Q266" s="898"/>
      <c r="R266" s="901"/>
      <c r="S266" s="898"/>
      <c r="T266" s="900"/>
      <c r="U266" s="900"/>
      <c r="V266" s="900"/>
      <c r="W266" s="900"/>
      <c r="X266" s="900"/>
      <c r="Y266" s="901"/>
    </row>
    <row r="267" spans="1:25" x14ac:dyDescent="0.2">
      <c r="A267" s="897" t="s">
        <v>385</v>
      </c>
      <c r="C267" s="856">
        <f>-175-SUM(C268:C276)</f>
        <v>-75</v>
      </c>
      <c r="D267" s="856">
        <f>-209-SUM(D268:D276)</f>
        <v>-209</v>
      </c>
      <c r="E267" s="856">
        <f>-334-SUM(E268:E276)</f>
        <v>-234</v>
      </c>
      <c r="F267" s="856">
        <f>-64-SUM(F268:F276)</f>
        <v>-64</v>
      </c>
      <c r="G267" s="856">
        <f>-209-SUM(G268:G276)</f>
        <v>-209</v>
      </c>
      <c r="H267" s="856">
        <f>-284-SUM(H268:H276)</f>
        <v>-84</v>
      </c>
      <c r="I267" s="856">
        <f>-189-SUM(I268:I276)</f>
        <v>-89</v>
      </c>
      <c r="J267" s="856">
        <f>-306-SUM(J268:J276)</f>
        <v>-253</v>
      </c>
      <c r="K267" s="702">
        <v>-300</v>
      </c>
      <c r="L267" s="702">
        <v>-350</v>
      </c>
      <c r="M267" s="702">
        <v>-350</v>
      </c>
      <c r="N267" s="702">
        <v>-350</v>
      </c>
      <c r="O267" s="693">
        <f t="shared" ref="O267:O276" si="98">SUM(C267:N267)</f>
        <v>-2567</v>
      </c>
      <c r="P267" s="693"/>
      <c r="Q267" s="898"/>
      <c r="R267" s="904" t="s">
        <v>386</v>
      </c>
      <c r="S267" s="898"/>
      <c r="T267" s="693"/>
      <c r="U267" s="900">
        <f t="shared" ref="U267:U276" si="99">C267+D267+E267</f>
        <v>-518</v>
      </c>
      <c r="V267" s="900">
        <f t="shared" ref="V267:V276" si="100">F267+G267+H267</f>
        <v>-357</v>
      </c>
      <c r="W267" s="900">
        <f t="shared" ref="W267:W276" si="101">I267+J267+K267</f>
        <v>-642</v>
      </c>
      <c r="X267" s="900">
        <f t="shared" ref="X267:X276" si="102">L267+M267+N267</f>
        <v>-1050</v>
      </c>
      <c r="Y267" s="901">
        <f t="shared" ref="Y267:Y276" si="103">SUM(U267:X267)</f>
        <v>-2567</v>
      </c>
    </row>
    <row r="268" spans="1:25" x14ac:dyDescent="0.2">
      <c r="A268" s="897" t="s">
        <v>510</v>
      </c>
      <c r="C268" s="910">
        <v>0</v>
      </c>
      <c r="D268" s="910">
        <v>0</v>
      </c>
      <c r="E268" s="910">
        <v>0</v>
      </c>
      <c r="F268" s="910">
        <v>0</v>
      </c>
      <c r="G268" s="910">
        <v>0</v>
      </c>
      <c r="H268" s="910">
        <v>0</v>
      </c>
      <c r="I268" s="910">
        <v>0</v>
      </c>
      <c r="J268" s="910">
        <v>0</v>
      </c>
      <c r="K268" s="910">
        <v>0</v>
      </c>
      <c r="L268" s="910">
        <v>0</v>
      </c>
      <c r="M268" s="910">
        <v>0</v>
      </c>
      <c r="N268" s="910">
        <v>0</v>
      </c>
      <c r="O268" s="693">
        <f t="shared" si="98"/>
        <v>0</v>
      </c>
      <c r="P268" s="693"/>
      <c r="Q268" s="898"/>
      <c r="R268" s="904" t="s">
        <v>386</v>
      </c>
      <c r="S268" s="898"/>
      <c r="T268" s="693"/>
      <c r="U268" s="900">
        <f t="shared" si="99"/>
        <v>0</v>
      </c>
      <c r="V268" s="900">
        <f t="shared" si="100"/>
        <v>0</v>
      </c>
      <c r="W268" s="900">
        <f t="shared" si="101"/>
        <v>0</v>
      </c>
      <c r="X268" s="900">
        <f t="shared" si="102"/>
        <v>0</v>
      </c>
      <c r="Y268" s="901">
        <f t="shared" si="103"/>
        <v>0</v>
      </c>
    </row>
    <row r="269" spans="1:25" x14ac:dyDescent="0.2">
      <c r="A269" s="897" t="s">
        <v>431</v>
      </c>
      <c r="C269" s="910">
        <v>0</v>
      </c>
      <c r="D269" s="910">
        <v>0</v>
      </c>
      <c r="E269" s="910">
        <v>0</v>
      </c>
      <c r="F269" s="910">
        <v>0</v>
      </c>
      <c r="G269" s="910">
        <v>0</v>
      </c>
      <c r="H269" s="910">
        <v>0</v>
      </c>
      <c r="I269" s="910">
        <v>0</v>
      </c>
      <c r="J269" s="910">
        <v>0</v>
      </c>
      <c r="K269" s="910">
        <v>0</v>
      </c>
      <c r="L269" s="910">
        <v>0</v>
      </c>
      <c r="M269" s="910">
        <v>0</v>
      </c>
      <c r="N269" s="910">
        <v>0</v>
      </c>
      <c r="O269" s="693">
        <f t="shared" si="98"/>
        <v>0</v>
      </c>
      <c r="P269" s="693"/>
      <c r="Q269" s="898"/>
      <c r="R269" s="904" t="s">
        <v>386</v>
      </c>
      <c r="S269" s="898"/>
      <c r="T269" s="693"/>
      <c r="U269" s="900">
        <f t="shared" si="99"/>
        <v>0</v>
      </c>
      <c r="V269" s="900">
        <f t="shared" si="100"/>
        <v>0</v>
      </c>
      <c r="W269" s="900">
        <f t="shared" si="101"/>
        <v>0</v>
      </c>
      <c r="X269" s="900">
        <f t="shared" si="102"/>
        <v>0</v>
      </c>
      <c r="Y269" s="901">
        <f t="shared" si="103"/>
        <v>0</v>
      </c>
    </row>
    <row r="270" spans="1:25" x14ac:dyDescent="0.2">
      <c r="A270" s="897" t="s">
        <v>511</v>
      </c>
      <c r="C270" s="910">
        <v>0</v>
      </c>
      <c r="D270" s="910">
        <v>0</v>
      </c>
      <c r="E270" s="910">
        <v>0</v>
      </c>
      <c r="F270" s="910">
        <v>0</v>
      </c>
      <c r="G270" s="910">
        <v>0</v>
      </c>
      <c r="H270" s="910">
        <v>0</v>
      </c>
      <c r="I270" s="910">
        <v>0</v>
      </c>
      <c r="J270" s="910">
        <v>0</v>
      </c>
      <c r="K270" s="910">
        <v>0</v>
      </c>
      <c r="L270" s="910">
        <v>0</v>
      </c>
      <c r="M270" s="910">
        <v>0</v>
      </c>
      <c r="N270" s="910">
        <v>0</v>
      </c>
      <c r="O270" s="693">
        <f t="shared" si="98"/>
        <v>0</v>
      </c>
      <c r="P270" s="693"/>
      <c r="Q270" s="898"/>
      <c r="R270" s="904" t="s">
        <v>386</v>
      </c>
      <c r="S270" s="898"/>
      <c r="T270" s="693"/>
      <c r="U270" s="900">
        <f t="shared" si="99"/>
        <v>0</v>
      </c>
      <c r="V270" s="900">
        <f t="shared" si="100"/>
        <v>0</v>
      </c>
      <c r="W270" s="900">
        <f t="shared" si="101"/>
        <v>0</v>
      </c>
      <c r="X270" s="900">
        <f t="shared" si="102"/>
        <v>0</v>
      </c>
      <c r="Y270" s="901">
        <f t="shared" si="103"/>
        <v>0</v>
      </c>
    </row>
    <row r="271" spans="1:25" x14ac:dyDescent="0.2">
      <c r="A271" s="897" t="s">
        <v>512</v>
      </c>
      <c r="C271" s="910">
        <v>0</v>
      </c>
      <c r="D271" s="910">
        <v>0</v>
      </c>
      <c r="E271" s="910">
        <v>0</v>
      </c>
      <c r="F271" s="910">
        <v>0</v>
      </c>
      <c r="G271" s="910">
        <v>0</v>
      </c>
      <c r="H271" s="910">
        <v>0</v>
      </c>
      <c r="I271" s="910">
        <v>0</v>
      </c>
      <c r="J271" s="910">
        <v>0</v>
      </c>
      <c r="K271" s="910">
        <v>0</v>
      </c>
      <c r="L271" s="910">
        <v>0</v>
      </c>
      <c r="M271" s="910">
        <v>0</v>
      </c>
      <c r="N271" s="910">
        <v>0</v>
      </c>
      <c r="O271" s="693">
        <f t="shared" si="98"/>
        <v>0</v>
      </c>
      <c r="P271" s="693"/>
      <c r="Q271" s="898"/>
      <c r="R271" s="904" t="s">
        <v>386</v>
      </c>
      <c r="S271" s="898"/>
      <c r="T271" s="693"/>
      <c r="U271" s="900">
        <f t="shared" si="99"/>
        <v>0</v>
      </c>
      <c r="V271" s="900">
        <f t="shared" si="100"/>
        <v>0</v>
      </c>
      <c r="W271" s="900">
        <f t="shared" si="101"/>
        <v>0</v>
      </c>
      <c r="X271" s="900">
        <f t="shared" si="102"/>
        <v>0</v>
      </c>
      <c r="Y271" s="901">
        <f t="shared" si="103"/>
        <v>0</v>
      </c>
    </row>
    <row r="272" spans="1:25" x14ac:dyDescent="0.2">
      <c r="A272" s="897" t="s">
        <v>513</v>
      </c>
      <c r="C272" s="910">
        <v>-100</v>
      </c>
      <c r="D272" s="910">
        <v>0</v>
      </c>
      <c r="E272" s="910">
        <v>0</v>
      </c>
      <c r="F272" s="910">
        <v>0</v>
      </c>
      <c r="G272" s="910">
        <v>0</v>
      </c>
      <c r="H272" s="910">
        <v>-100</v>
      </c>
      <c r="I272" s="910">
        <v>-100</v>
      </c>
      <c r="J272" s="910">
        <v>-35</v>
      </c>
      <c r="K272" s="910">
        <v>-35</v>
      </c>
      <c r="L272" s="910">
        <v>-100</v>
      </c>
      <c r="M272" s="910">
        <v>0</v>
      </c>
      <c r="N272" s="910">
        <v>-100</v>
      </c>
      <c r="O272" s="693">
        <f t="shared" si="98"/>
        <v>-570</v>
      </c>
      <c r="P272" s="693"/>
      <c r="Q272" s="898"/>
      <c r="R272" s="904" t="s">
        <v>386</v>
      </c>
      <c r="S272" s="898"/>
      <c r="T272" s="693"/>
      <c r="U272" s="900">
        <f t="shared" si="99"/>
        <v>-100</v>
      </c>
      <c r="V272" s="900">
        <f t="shared" si="100"/>
        <v>-100</v>
      </c>
      <c r="W272" s="900">
        <f t="shared" si="101"/>
        <v>-170</v>
      </c>
      <c r="X272" s="900">
        <f t="shared" si="102"/>
        <v>-200</v>
      </c>
      <c r="Y272" s="901">
        <f t="shared" si="103"/>
        <v>-570</v>
      </c>
    </row>
    <row r="273" spans="1:25" x14ac:dyDescent="0.2">
      <c r="A273" s="897" t="s">
        <v>436</v>
      </c>
      <c r="C273" s="910">
        <f>0</f>
        <v>0</v>
      </c>
      <c r="D273" s="910">
        <f>0</f>
        <v>0</v>
      </c>
      <c r="E273" s="910">
        <f>0</f>
        <v>0</v>
      </c>
      <c r="F273" s="910">
        <f>0</f>
        <v>0</v>
      </c>
      <c r="G273" s="910">
        <f>0</f>
        <v>0</v>
      </c>
      <c r="H273" s="910">
        <f>0</f>
        <v>0</v>
      </c>
      <c r="I273" s="910">
        <f>0</f>
        <v>0</v>
      </c>
      <c r="J273" s="910">
        <f>0</f>
        <v>0</v>
      </c>
      <c r="K273" s="910">
        <f>0</f>
        <v>0</v>
      </c>
      <c r="L273" s="910">
        <f>0</f>
        <v>0</v>
      </c>
      <c r="M273" s="910">
        <f>0</f>
        <v>0</v>
      </c>
      <c r="N273" s="910">
        <f>0</f>
        <v>0</v>
      </c>
      <c r="O273" s="693">
        <f t="shared" si="98"/>
        <v>0</v>
      </c>
      <c r="P273" s="693"/>
      <c r="Q273" s="898"/>
      <c r="R273" s="904" t="s">
        <v>386</v>
      </c>
      <c r="S273" s="898"/>
      <c r="T273" s="693"/>
      <c r="U273" s="900">
        <f t="shared" si="99"/>
        <v>0</v>
      </c>
      <c r="V273" s="900">
        <f t="shared" si="100"/>
        <v>0</v>
      </c>
      <c r="W273" s="900">
        <f t="shared" si="101"/>
        <v>0</v>
      </c>
      <c r="X273" s="900">
        <f t="shared" si="102"/>
        <v>0</v>
      </c>
      <c r="Y273" s="901">
        <f t="shared" si="103"/>
        <v>0</v>
      </c>
    </row>
    <row r="274" spans="1:25" x14ac:dyDescent="0.2">
      <c r="A274" s="897" t="s">
        <v>514</v>
      </c>
      <c r="C274" s="910">
        <f>0</f>
        <v>0</v>
      </c>
      <c r="D274" s="910">
        <f>0</f>
        <v>0</v>
      </c>
      <c r="E274" s="910">
        <f>0</f>
        <v>0</v>
      </c>
      <c r="F274" s="910">
        <f>0</f>
        <v>0</v>
      </c>
      <c r="G274" s="910">
        <f>0</f>
        <v>0</v>
      </c>
      <c r="H274" s="910">
        <f>0</f>
        <v>0</v>
      </c>
      <c r="I274" s="910">
        <f>0</f>
        <v>0</v>
      </c>
      <c r="J274" s="910">
        <f>0</f>
        <v>0</v>
      </c>
      <c r="K274" s="910">
        <f>0</f>
        <v>0</v>
      </c>
      <c r="L274" s="910">
        <f>0</f>
        <v>0</v>
      </c>
      <c r="M274" s="910">
        <f>0</f>
        <v>0</v>
      </c>
      <c r="N274" s="910">
        <f>0</f>
        <v>0</v>
      </c>
      <c r="O274" s="693">
        <f t="shared" si="98"/>
        <v>0</v>
      </c>
      <c r="P274" s="693"/>
      <c r="Q274" s="898"/>
      <c r="R274" s="904" t="s">
        <v>386</v>
      </c>
      <c r="S274" s="898"/>
      <c r="T274" s="693"/>
      <c r="U274" s="900">
        <f t="shared" si="99"/>
        <v>0</v>
      </c>
      <c r="V274" s="900">
        <f t="shared" si="100"/>
        <v>0</v>
      </c>
      <c r="W274" s="900">
        <f t="shared" si="101"/>
        <v>0</v>
      </c>
      <c r="X274" s="900">
        <f t="shared" si="102"/>
        <v>0</v>
      </c>
      <c r="Y274" s="901">
        <f t="shared" si="103"/>
        <v>0</v>
      </c>
    </row>
    <row r="275" spans="1:25" x14ac:dyDescent="0.2">
      <c r="A275" s="897" t="s">
        <v>515</v>
      </c>
      <c r="C275" s="910">
        <v>0</v>
      </c>
      <c r="D275" s="910">
        <v>0</v>
      </c>
      <c r="E275" s="910">
        <v>0</v>
      </c>
      <c r="F275" s="910">
        <v>0</v>
      </c>
      <c r="G275" s="910">
        <v>0</v>
      </c>
      <c r="H275" s="910">
        <v>0</v>
      </c>
      <c r="I275" s="910">
        <v>0</v>
      </c>
      <c r="J275" s="910">
        <v>0</v>
      </c>
      <c r="K275" s="910">
        <v>0</v>
      </c>
      <c r="L275" s="910">
        <v>0</v>
      </c>
      <c r="M275" s="910">
        <v>0</v>
      </c>
      <c r="N275" s="910">
        <v>0</v>
      </c>
      <c r="O275" s="693">
        <f t="shared" si="98"/>
        <v>0</v>
      </c>
      <c r="P275" s="693"/>
      <c r="Q275" s="898"/>
      <c r="R275" s="904" t="s">
        <v>386</v>
      </c>
      <c r="S275" s="898"/>
      <c r="T275" s="693"/>
      <c r="U275" s="900">
        <f t="shared" si="99"/>
        <v>0</v>
      </c>
      <c r="V275" s="900">
        <f t="shared" si="100"/>
        <v>0</v>
      </c>
      <c r="W275" s="900">
        <f t="shared" si="101"/>
        <v>0</v>
      </c>
      <c r="X275" s="900">
        <f t="shared" si="102"/>
        <v>0</v>
      </c>
      <c r="Y275" s="901">
        <f t="shared" si="103"/>
        <v>0</v>
      </c>
    </row>
    <row r="276" spans="1:25" s="913" customFormat="1" ht="12.75" customHeight="1" x14ac:dyDescent="0.2">
      <c r="A276" s="909" t="s">
        <v>516</v>
      </c>
      <c r="C276" s="871">
        <v>0</v>
      </c>
      <c r="D276" s="871">
        <v>0</v>
      </c>
      <c r="E276" s="871">
        <v>-100</v>
      </c>
      <c r="F276" s="871">
        <v>0</v>
      </c>
      <c r="G276" s="871">
        <v>0</v>
      </c>
      <c r="H276" s="871">
        <v>-100</v>
      </c>
      <c r="I276" s="871">
        <v>0</v>
      </c>
      <c r="J276" s="871">
        <v>-18</v>
      </c>
      <c r="K276" s="871">
        <v>-17</v>
      </c>
      <c r="L276" s="871">
        <v>-17</v>
      </c>
      <c r="M276" s="871">
        <v>-18</v>
      </c>
      <c r="N276" s="871">
        <v>-17</v>
      </c>
      <c r="O276" s="695">
        <f t="shared" si="98"/>
        <v>-287</v>
      </c>
      <c r="P276" s="693"/>
      <c r="Q276" s="918"/>
      <c r="R276" s="904" t="s">
        <v>386</v>
      </c>
      <c r="S276" s="918"/>
      <c r="T276" s="693"/>
      <c r="U276" s="960">
        <f t="shared" si="99"/>
        <v>-100</v>
      </c>
      <c r="V276" s="960">
        <f t="shared" si="100"/>
        <v>-100</v>
      </c>
      <c r="W276" s="960">
        <f t="shared" si="101"/>
        <v>-35</v>
      </c>
      <c r="X276" s="960">
        <f t="shared" si="102"/>
        <v>-52</v>
      </c>
      <c r="Y276" s="908">
        <f t="shared" si="103"/>
        <v>-287</v>
      </c>
    </row>
    <row r="277" spans="1:25" s="913" customFormat="1" ht="12.75" customHeight="1" x14ac:dyDescent="0.2">
      <c r="A277" s="897" t="s">
        <v>393</v>
      </c>
      <c r="C277" s="919">
        <f t="shared" ref="C277:O277" si="104">SUM(C267:C276)</f>
        <v>-175</v>
      </c>
      <c r="D277" s="919">
        <f t="shared" si="104"/>
        <v>-209</v>
      </c>
      <c r="E277" s="919">
        <f t="shared" si="104"/>
        <v>-334</v>
      </c>
      <c r="F277" s="919">
        <f t="shared" si="104"/>
        <v>-64</v>
      </c>
      <c r="G277" s="919">
        <f t="shared" si="104"/>
        <v>-209</v>
      </c>
      <c r="H277" s="919">
        <f t="shared" si="104"/>
        <v>-284</v>
      </c>
      <c r="I277" s="919">
        <f t="shared" si="104"/>
        <v>-189</v>
      </c>
      <c r="J277" s="919">
        <f t="shared" si="104"/>
        <v>-306</v>
      </c>
      <c r="K277" s="919">
        <f t="shared" si="104"/>
        <v>-352</v>
      </c>
      <c r="L277" s="919">
        <f t="shared" si="104"/>
        <v>-467</v>
      </c>
      <c r="M277" s="919">
        <f t="shared" si="104"/>
        <v>-368</v>
      </c>
      <c r="N277" s="919">
        <f t="shared" si="104"/>
        <v>-467</v>
      </c>
      <c r="O277" s="919">
        <f t="shared" si="104"/>
        <v>-3424</v>
      </c>
      <c r="P277" s="693"/>
      <c r="Q277" s="918"/>
      <c r="R277" s="904"/>
      <c r="S277" s="918"/>
      <c r="T277" s="693"/>
      <c r="U277" s="919">
        <f>SUM(U267:U276)</f>
        <v>-718</v>
      </c>
      <c r="V277" s="919">
        <f>SUM(V267:V276)</f>
        <v>-557</v>
      </c>
      <c r="W277" s="919">
        <f>SUM(W267:W276)</f>
        <v>-847</v>
      </c>
      <c r="X277" s="919">
        <f>SUM(X267:X276)</f>
        <v>-1302</v>
      </c>
      <c r="Y277" s="919">
        <f>SUM(Y267:Y276)</f>
        <v>-3424</v>
      </c>
    </row>
    <row r="278" spans="1:25" s="913" customFormat="1" ht="3.95" customHeight="1" x14ac:dyDescent="0.2">
      <c r="A278" s="909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693"/>
      <c r="P278" s="693"/>
      <c r="Q278" s="918"/>
      <c r="R278" s="904"/>
      <c r="S278" s="918"/>
      <c r="T278" s="693"/>
      <c r="U278" s="917"/>
      <c r="V278" s="917"/>
      <c r="W278" s="917"/>
      <c r="X278" s="917"/>
      <c r="Y278" s="901"/>
    </row>
    <row r="279" spans="1:25" s="913" customFormat="1" ht="12.75" customHeight="1" x14ac:dyDescent="0.2">
      <c r="A279" s="897" t="s">
        <v>54</v>
      </c>
      <c r="B279" s="878"/>
      <c r="C279" s="128">
        <v>0</v>
      </c>
      <c r="D279" s="128">
        <v>0</v>
      </c>
      <c r="E279" s="128">
        <v>0</v>
      </c>
      <c r="F279" s="128">
        <v>0</v>
      </c>
      <c r="G279" s="128">
        <v>0</v>
      </c>
      <c r="H279" s="128">
        <v>0</v>
      </c>
      <c r="I279" s="128">
        <v>0</v>
      </c>
      <c r="J279" s="128">
        <v>0</v>
      </c>
      <c r="K279" s="128">
        <v>0</v>
      </c>
      <c r="L279" s="128">
        <v>0</v>
      </c>
      <c r="M279" s="128">
        <v>0</v>
      </c>
      <c r="N279" s="128">
        <v>0</v>
      </c>
      <c r="O279" s="129">
        <f>SUM(C279:N279)</f>
        <v>0</v>
      </c>
      <c r="P279" s="129"/>
      <c r="Q279" s="898"/>
      <c r="R279" s="903" t="s">
        <v>394</v>
      </c>
      <c r="S279" s="898"/>
      <c r="T279" s="129"/>
      <c r="U279" s="900">
        <f>C279+D279+E279</f>
        <v>0</v>
      </c>
      <c r="V279" s="900">
        <f>F279+G279+H279</f>
        <v>0</v>
      </c>
      <c r="W279" s="900">
        <f>I279+J279+K279</f>
        <v>0</v>
      </c>
      <c r="X279" s="900">
        <f>L279+M279+N279</f>
        <v>0</v>
      </c>
      <c r="Y279" s="901">
        <f>SUM(U279:X279)</f>
        <v>0</v>
      </c>
    </row>
    <row r="280" spans="1:25" s="913" customFormat="1" ht="3.95" customHeight="1" x14ac:dyDescent="0.2">
      <c r="A280" s="909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693"/>
      <c r="P280" s="693"/>
      <c r="Q280" s="918"/>
      <c r="R280" s="904"/>
      <c r="S280" s="918"/>
      <c r="T280" s="693"/>
      <c r="U280" s="917"/>
      <c r="V280" s="917"/>
      <c r="W280" s="917"/>
      <c r="X280" s="917"/>
      <c r="Y280" s="901"/>
    </row>
    <row r="281" spans="1:25" x14ac:dyDescent="0.2">
      <c r="A281" s="897" t="s">
        <v>396</v>
      </c>
      <c r="C281" s="128">
        <v>-12</v>
      </c>
      <c r="D281" s="128">
        <v>-24</v>
      </c>
      <c r="E281" s="128">
        <v>-10</v>
      </c>
      <c r="F281" s="128">
        <v>-9</v>
      </c>
      <c r="G281" s="128">
        <v>-8</v>
      </c>
      <c r="H281" s="128">
        <v>-20</v>
      </c>
      <c r="I281" s="128">
        <v>-9</v>
      </c>
      <c r="J281" s="128">
        <v>-10</v>
      </c>
      <c r="K281" s="128">
        <v>-10</v>
      </c>
      <c r="L281" s="128">
        <v>-10</v>
      </c>
      <c r="M281" s="128">
        <v>-10</v>
      </c>
      <c r="N281" s="128">
        <v>-10</v>
      </c>
      <c r="O281" s="129">
        <f>SUM(C281:N281)</f>
        <v>-142</v>
      </c>
      <c r="P281" s="129"/>
      <c r="Q281" s="898"/>
      <c r="R281" s="899" t="s">
        <v>397</v>
      </c>
      <c r="S281" s="898"/>
      <c r="T281" s="129"/>
      <c r="U281" s="900">
        <f>C281+D281+E281</f>
        <v>-46</v>
      </c>
      <c r="V281" s="900">
        <f>F281+G281+H281</f>
        <v>-37</v>
      </c>
      <c r="W281" s="900">
        <f>I281+J281+K281</f>
        <v>-29</v>
      </c>
      <c r="X281" s="900">
        <f>L281+M281+N281</f>
        <v>-30</v>
      </c>
      <c r="Y281" s="901">
        <f>SUM(U281:X281)</f>
        <v>-142</v>
      </c>
    </row>
    <row r="282" spans="1:25" ht="3.95" customHeight="1" x14ac:dyDescent="0.2">
      <c r="A282" s="897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98"/>
      <c r="R282" s="899"/>
      <c r="S282" s="898"/>
      <c r="T282" s="129"/>
      <c r="U282" s="900"/>
      <c r="V282" s="900"/>
      <c r="W282" s="900"/>
      <c r="X282" s="900"/>
      <c r="Y282" s="901"/>
    </row>
    <row r="283" spans="1:25" s="913" customFormat="1" ht="12.75" customHeight="1" x14ac:dyDescent="0.2">
      <c r="A283" s="930" t="s">
        <v>398</v>
      </c>
      <c r="C283" s="914">
        <f>SUM(C277:C281)</f>
        <v>-187</v>
      </c>
      <c r="D283" s="915">
        <f>SUM(D277:D281)</f>
        <v>-233</v>
      </c>
      <c r="E283" s="915">
        <f t="shared" ref="E283:O283" si="105">SUM(E277:E281)</f>
        <v>-344</v>
      </c>
      <c r="F283" s="915">
        <f t="shared" si="105"/>
        <v>-73</v>
      </c>
      <c r="G283" s="915">
        <f t="shared" si="105"/>
        <v>-217</v>
      </c>
      <c r="H283" s="915">
        <f t="shared" si="105"/>
        <v>-304</v>
      </c>
      <c r="I283" s="915">
        <f t="shared" si="105"/>
        <v>-198</v>
      </c>
      <c r="J283" s="915">
        <f t="shared" si="105"/>
        <v>-316</v>
      </c>
      <c r="K283" s="915">
        <f t="shared" si="105"/>
        <v>-362</v>
      </c>
      <c r="L283" s="915">
        <f t="shared" si="105"/>
        <v>-477</v>
      </c>
      <c r="M283" s="915">
        <f t="shared" si="105"/>
        <v>-378</v>
      </c>
      <c r="N283" s="915">
        <f t="shared" si="105"/>
        <v>-477</v>
      </c>
      <c r="O283" s="916">
        <f t="shared" si="105"/>
        <v>-3566</v>
      </c>
      <c r="P283" s="917"/>
      <c r="Q283" s="923"/>
      <c r="R283" s="919"/>
      <c r="S283" s="923"/>
      <c r="T283" s="917"/>
      <c r="U283" s="914">
        <f>SUM(U277:U281)</f>
        <v>-764</v>
      </c>
      <c r="V283" s="915">
        <f>SUM(V277:V281)</f>
        <v>-594</v>
      </c>
      <c r="W283" s="915">
        <f>SUM(W277:W281)</f>
        <v>-876</v>
      </c>
      <c r="X283" s="915">
        <f>SUM(X277:X281)</f>
        <v>-1332</v>
      </c>
      <c r="Y283" s="916">
        <f>SUM(Y277:Y281)</f>
        <v>-3566</v>
      </c>
    </row>
    <row r="284" spans="1:25" s="913" customFormat="1" ht="12.75" customHeight="1" x14ac:dyDescent="0.2">
      <c r="A284" s="930"/>
      <c r="C284" s="911"/>
      <c r="D284" s="911"/>
      <c r="E284" s="911"/>
      <c r="F284" s="911"/>
      <c r="G284" s="911"/>
      <c r="H284" s="911"/>
      <c r="I284" s="911"/>
      <c r="J284" s="911"/>
      <c r="K284" s="911"/>
      <c r="L284" s="911"/>
      <c r="M284" s="911"/>
      <c r="N284" s="911"/>
      <c r="O284" s="925"/>
      <c r="P284" s="925"/>
      <c r="Q284" s="918"/>
      <c r="R284" s="911"/>
      <c r="S284" s="918"/>
      <c r="T284" s="925"/>
      <c r="U284" s="925"/>
      <c r="V284" s="925"/>
      <c r="W284" s="925"/>
      <c r="X284" s="925"/>
      <c r="Y284" s="911"/>
    </row>
    <row r="285" spans="1:25" s="913" customFormat="1" ht="12.75" customHeight="1" x14ac:dyDescent="0.2">
      <c r="A285" s="946" t="s">
        <v>517</v>
      </c>
      <c r="B285" s="931"/>
      <c r="C285" s="932">
        <f t="shared" ref="C285:O285" si="106">+C262+C264+C283</f>
        <v>-187</v>
      </c>
      <c r="D285" s="933">
        <f t="shared" si="106"/>
        <v>-233</v>
      </c>
      <c r="E285" s="933">
        <f t="shared" si="106"/>
        <v>-344</v>
      </c>
      <c r="F285" s="933">
        <f t="shared" si="106"/>
        <v>-73</v>
      </c>
      <c r="G285" s="933">
        <f t="shared" si="106"/>
        <v>-217</v>
      </c>
      <c r="H285" s="933">
        <f t="shared" si="106"/>
        <v>-304</v>
      </c>
      <c r="I285" s="933">
        <f t="shared" si="106"/>
        <v>-198</v>
      </c>
      <c r="J285" s="933">
        <f t="shared" si="106"/>
        <v>-316</v>
      </c>
      <c r="K285" s="933">
        <f t="shared" si="106"/>
        <v>-362</v>
      </c>
      <c r="L285" s="933">
        <f t="shared" si="106"/>
        <v>-477</v>
      </c>
      <c r="M285" s="933">
        <f t="shared" si="106"/>
        <v>-378</v>
      </c>
      <c r="N285" s="933">
        <f t="shared" si="106"/>
        <v>-477</v>
      </c>
      <c r="O285" s="934">
        <f t="shared" si="106"/>
        <v>-3566</v>
      </c>
      <c r="P285" s="935"/>
      <c r="Q285" s="964"/>
      <c r="R285" s="965"/>
      <c r="S285" s="964"/>
      <c r="T285" s="935"/>
      <c r="U285" s="932">
        <f>+U262+U264+U283</f>
        <v>-764</v>
      </c>
      <c r="V285" s="933">
        <f>+V262+V264+V283</f>
        <v>-594</v>
      </c>
      <c r="W285" s="933">
        <f>+W262+W264+W283</f>
        <v>-876</v>
      </c>
      <c r="X285" s="933">
        <f>+X262+X264+X283</f>
        <v>-1332</v>
      </c>
      <c r="Y285" s="934">
        <f>+Y262+Y264+Y283</f>
        <v>-3566</v>
      </c>
    </row>
    <row r="286" spans="1:25" x14ac:dyDescent="0.2">
      <c r="A286" s="938"/>
      <c r="C286" s="901"/>
      <c r="D286" s="901"/>
      <c r="E286" s="901"/>
      <c r="F286" s="901"/>
      <c r="G286" s="901"/>
      <c r="H286" s="901"/>
      <c r="I286" s="901"/>
      <c r="J286" s="901"/>
      <c r="K286" s="901"/>
      <c r="L286" s="901"/>
      <c r="M286" s="901"/>
      <c r="N286" s="901"/>
      <c r="O286" s="900"/>
      <c r="P286" s="900"/>
      <c r="Q286" s="898"/>
      <c r="R286" s="901"/>
      <c r="S286" s="898"/>
      <c r="T286" s="900"/>
      <c r="U286" s="900"/>
      <c r="V286" s="900"/>
      <c r="W286" s="900"/>
      <c r="X286" s="900"/>
      <c r="Y286" s="901"/>
    </row>
    <row r="287" spans="1:25" x14ac:dyDescent="0.2">
      <c r="A287" s="893" t="s">
        <v>518</v>
      </c>
      <c r="C287" s="901"/>
      <c r="D287" s="901"/>
      <c r="E287" s="901"/>
      <c r="F287" s="901"/>
      <c r="G287" s="901"/>
      <c r="H287" s="901"/>
      <c r="I287" s="901"/>
      <c r="J287" s="901"/>
      <c r="K287" s="901"/>
      <c r="L287" s="901"/>
      <c r="M287" s="901"/>
      <c r="N287" s="901"/>
      <c r="O287" s="900"/>
      <c r="P287" s="900"/>
      <c r="Q287" s="898"/>
      <c r="R287" s="901"/>
      <c r="S287" s="898"/>
      <c r="T287" s="900"/>
      <c r="U287" s="900"/>
      <c r="V287" s="900"/>
      <c r="W287" s="900"/>
      <c r="X287" s="900"/>
      <c r="Y287" s="901"/>
    </row>
    <row r="288" spans="1:25" x14ac:dyDescent="0.2">
      <c r="A288" s="896" t="s">
        <v>377</v>
      </c>
      <c r="C288" s="901"/>
      <c r="D288" s="901"/>
      <c r="E288" s="901"/>
      <c r="F288" s="901"/>
      <c r="G288" s="901"/>
      <c r="H288" s="901"/>
      <c r="I288" s="901"/>
      <c r="J288" s="901"/>
      <c r="K288" s="901"/>
      <c r="L288" s="901"/>
      <c r="M288" s="901"/>
      <c r="N288" s="901"/>
      <c r="O288" s="900"/>
      <c r="P288" s="900"/>
      <c r="Q288" s="898"/>
      <c r="R288" s="901"/>
      <c r="S288" s="898"/>
      <c r="T288" s="900"/>
      <c r="U288" s="900"/>
      <c r="V288" s="900"/>
      <c r="W288" s="900"/>
      <c r="X288" s="900"/>
      <c r="Y288" s="901"/>
    </row>
    <row r="289" spans="1:25" x14ac:dyDescent="0.2">
      <c r="A289" s="897" t="s">
        <v>519</v>
      </c>
      <c r="C289" s="702">
        <v>-60</v>
      </c>
      <c r="D289" s="702">
        <v>-84</v>
      </c>
      <c r="E289" s="702">
        <v>-75</v>
      </c>
      <c r="F289" s="702">
        <v>-81</v>
      </c>
      <c r="G289" s="702">
        <v>-67</v>
      </c>
      <c r="H289" s="702">
        <v>-70</v>
      </c>
      <c r="I289" s="702">
        <v>-62</v>
      </c>
      <c r="J289" s="702">
        <v>-75</v>
      </c>
      <c r="K289" s="702">
        <v>-126</v>
      </c>
      <c r="L289" s="702">
        <v>-126</v>
      </c>
      <c r="M289" s="702">
        <v>-126</v>
      </c>
      <c r="N289" s="702">
        <v>-130</v>
      </c>
      <c r="O289" s="693">
        <f>SUM(C289:N289)</f>
        <v>-1082</v>
      </c>
      <c r="P289" s="693"/>
      <c r="Q289" s="898"/>
      <c r="R289" s="904" t="s">
        <v>386</v>
      </c>
      <c r="S289" s="898"/>
      <c r="T289" s="693"/>
      <c r="U289" s="900">
        <f>C289+D289+E289</f>
        <v>-219</v>
      </c>
      <c r="V289" s="900">
        <f>F289+G289+H289</f>
        <v>-218</v>
      </c>
      <c r="W289" s="900">
        <f>I289+J289+K289</f>
        <v>-263</v>
      </c>
      <c r="X289" s="900">
        <f>L289+M289+N289</f>
        <v>-382</v>
      </c>
      <c r="Y289" s="901">
        <f>SUM(U289:X289)</f>
        <v>-1082</v>
      </c>
    </row>
    <row r="290" spans="1:25" x14ac:dyDescent="0.2">
      <c r="A290" s="897" t="s">
        <v>520</v>
      </c>
      <c r="C290" s="910">
        <v>0</v>
      </c>
      <c r="D290" s="910">
        <v>0</v>
      </c>
      <c r="E290" s="910">
        <v>0</v>
      </c>
      <c r="F290" s="910">
        <v>0</v>
      </c>
      <c r="G290" s="910">
        <v>0</v>
      </c>
      <c r="H290" s="910">
        <v>0</v>
      </c>
      <c r="I290" s="910">
        <v>0</v>
      </c>
      <c r="J290" s="910">
        <v>0</v>
      </c>
      <c r="K290" s="910">
        <v>0</v>
      </c>
      <c r="L290" s="910">
        <v>0</v>
      </c>
      <c r="M290" s="910">
        <v>0</v>
      </c>
      <c r="N290" s="910">
        <v>0</v>
      </c>
      <c r="O290" s="693">
        <f>SUM(C290:N290)</f>
        <v>0</v>
      </c>
      <c r="P290" s="693"/>
      <c r="Q290" s="898"/>
      <c r="R290" s="904" t="s">
        <v>386</v>
      </c>
      <c r="S290" s="898"/>
      <c r="T290" s="693"/>
      <c r="U290" s="900">
        <f>C290+D290+E290</f>
        <v>0</v>
      </c>
      <c r="V290" s="900">
        <f>F290+G290+H290</f>
        <v>0</v>
      </c>
      <c r="W290" s="900">
        <f>I290+J290+K290</f>
        <v>0</v>
      </c>
      <c r="X290" s="900">
        <f>L290+M290+N290</f>
        <v>0</v>
      </c>
      <c r="Y290" s="901">
        <f>SUM(U290:X290)</f>
        <v>0</v>
      </c>
    </row>
    <row r="291" spans="1:25" ht="12.75" customHeight="1" x14ac:dyDescent="0.2">
      <c r="A291" s="897" t="s">
        <v>521</v>
      </c>
      <c r="C291" s="871">
        <v>0</v>
      </c>
      <c r="D291" s="871">
        <v>0</v>
      </c>
      <c r="E291" s="871">
        <v>0</v>
      </c>
      <c r="F291" s="871">
        <v>0</v>
      </c>
      <c r="G291" s="871">
        <v>0</v>
      </c>
      <c r="H291" s="871">
        <v>0</v>
      </c>
      <c r="I291" s="871">
        <v>0</v>
      </c>
      <c r="J291" s="871">
        <v>0</v>
      </c>
      <c r="K291" s="871">
        <v>0</v>
      </c>
      <c r="L291" s="871">
        <v>0</v>
      </c>
      <c r="M291" s="871">
        <v>0</v>
      </c>
      <c r="N291" s="871">
        <v>0</v>
      </c>
      <c r="O291" s="695">
        <f>SUM(C291:N291)</f>
        <v>0</v>
      </c>
      <c r="P291" s="693"/>
      <c r="Q291" s="918"/>
      <c r="R291" s="904" t="s">
        <v>386</v>
      </c>
      <c r="S291" s="918"/>
      <c r="T291" s="693"/>
      <c r="U291" s="960">
        <f>C291+D291+E291</f>
        <v>0</v>
      </c>
      <c r="V291" s="960">
        <f>F291+G291+H291</f>
        <v>0</v>
      </c>
      <c r="W291" s="960">
        <f>I291+J291+K291</f>
        <v>0</v>
      </c>
      <c r="X291" s="960">
        <f>L291+M291+N291</f>
        <v>0</v>
      </c>
      <c r="Y291" s="908">
        <f>SUM(U291:X291)</f>
        <v>0</v>
      </c>
    </row>
    <row r="292" spans="1:25" ht="12.75" customHeight="1" x14ac:dyDescent="0.2">
      <c r="A292" s="897" t="s">
        <v>393</v>
      </c>
      <c r="C292" s="919">
        <f t="shared" ref="C292:O292" si="107">SUM(C289:C291)</f>
        <v>-60</v>
      </c>
      <c r="D292" s="919">
        <f t="shared" si="107"/>
        <v>-84</v>
      </c>
      <c r="E292" s="919">
        <f t="shared" si="107"/>
        <v>-75</v>
      </c>
      <c r="F292" s="919">
        <f t="shared" si="107"/>
        <v>-81</v>
      </c>
      <c r="G292" s="919">
        <f t="shared" si="107"/>
        <v>-67</v>
      </c>
      <c r="H292" s="919">
        <f t="shared" si="107"/>
        <v>-70</v>
      </c>
      <c r="I292" s="919">
        <f t="shared" si="107"/>
        <v>-62</v>
      </c>
      <c r="J292" s="919">
        <f t="shared" si="107"/>
        <v>-75</v>
      </c>
      <c r="K292" s="919">
        <f t="shared" si="107"/>
        <v>-126</v>
      </c>
      <c r="L292" s="919">
        <f t="shared" si="107"/>
        <v>-126</v>
      </c>
      <c r="M292" s="919">
        <f t="shared" si="107"/>
        <v>-126</v>
      </c>
      <c r="N292" s="919">
        <f t="shared" si="107"/>
        <v>-130</v>
      </c>
      <c r="O292" s="919">
        <f t="shared" si="107"/>
        <v>-1082</v>
      </c>
      <c r="P292" s="693"/>
      <c r="Q292" s="918"/>
      <c r="R292" s="904"/>
      <c r="S292" s="918"/>
      <c r="T292" s="693"/>
      <c r="U292" s="919">
        <f>SUM(U289:U291)</f>
        <v>-219</v>
      </c>
      <c r="V292" s="919">
        <f>SUM(V289:V291)</f>
        <v>-218</v>
      </c>
      <c r="W292" s="919">
        <f>SUM(W289:W291)</f>
        <v>-263</v>
      </c>
      <c r="X292" s="919">
        <f>SUM(X289:X291)</f>
        <v>-382</v>
      </c>
      <c r="Y292" s="919">
        <f>SUM(Y289:Y291)</f>
        <v>-1082</v>
      </c>
    </row>
    <row r="293" spans="1:25" ht="3.95" customHeight="1" x14ac:dyDescent="0.2">
      <c r="A293" s="897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693"/>
      <c r="P293" s="693"/>
      <c r="Q293" s="918"/>
      <c r="R293" s="904"/>
      <c r="S293" s="918"/>
      <c r="T293" s="693"/>
      <c r="U293" s="917"/>
      <c r="V293" s="917"/>
      <c r="W293" s="917"/>
      <c r="X293" s="917"/>
      <c r="Y293" s="901"/>
    </row>
    <row r="294" spans="1:25" ht="12.75" customHeight="1" x14ac:dyDescent="0.2">
      <c r="A294" s="897" t="s">
        <v>54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98"/>
      <c r="R294" s="903" t="s">
        <v>394</v>
      </c>
      <c r="S294" s="898"/>
      <c r="T294" s="129"/>
      <c r="U294" s="900">
        <f>C294+D294+E294</f>
        <v>0</v>
      </c>
      <c r="V294" s="900">
        <f>F294+G294+H294</f>
        <v>0</v>
      </c>
      <c r="W294" s="900">
        <f>I294+J294+K294</f>
        <v>0</v>
      </c>
      <c r="X294" s="900">
        <f>L294+M294+N294</f>
        <v>0</v>
      </c>
      <c r="Y294" s="901">
        <f>SUM(U294:X294)</f>
        <v>0</v>
      </c>
    </row>
    <row r="295" spans="1:25" ht="3.95" customHeight="1" x14ac:dyDescent="0.2">
      <c r="A295" s="897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693"/>
      <c r="P295" s="693"/>
      <c r="Q295" s="918"/>
      <c r="R295" s="904"/>
      <c r="S295" s="918"/>
      <c r="T295" s="693"/>
      <c r="U295" s="917"/>
      <c r="V295" s="917"/>
      <c r="W295" s="917"/>
      <c r="X295" s="917"/>
      <c r="Y295" s="901"/>
    </row>
    <row r="296" spans="1:25" s="971" customFormat="1" ht="12.75" customHeight="1" x14ac:dyDescent="0.2">
      <c r="A296" s="897" t="s">
        <v>396</v>
      </c>
      <c r="C296" s="128">
        <v>-4</v>
      </c>
      <c r="D296" s="128">
        <v>-12</v>
      </c>
      <c r="E296" s="128">
        <v>-3</v>
      </c>
      <c r="F296" s="128">
        <v>-2</v>
      </c>
      <c r="G296" s="128">
        <v>-2</v>
      </c>
      <c r="H296" s="128">
        <v>-2</v>
      </c>
      <c r="I296" s="128">
        <v>-1</v>
      </c>
      <c r="J296" s="128">
        <v>-2</v>
      </c>
      <c r="K296" s="128">
        <v>-2</v>
      </c>
      <c r="L296" s="128">
        <v>-2</v>
      </c>
      <c r="M296" s="128">
        <v>-2</v>
      </c>
      <c r="N296" s="128">
        <v>-2</v>
      </c>
      <c r="O296" s="129">
        <f>SUM(C296:N296)</f>
        <v>-36</v>
      </c>
      <c r="P296" s="129"/>
      <c r="Q296" s="898"/>
      <c r="R296" s="899" t="s">
        <v>397</v>
      </c>
      <c r="S296" s="898"/>
      <c r="T296" s="129"/>
      <c r="U296" s="900">
        <f>C296+D296+E296</f>
        <v>-19</v>
      </c>
      <c r="V296" s="900">
        <f>F296+G296+H296</f>
        <v>-6</v>
      </c>
      <c r="W296" s="900">
        <f>I296+J296+K296</f>
        <v>-5</v>
      </c>
      <c r="X296" s="900">
        <f>L296+M296+N296</f>
        <v>-6</v>
      </c>
      <c r="Y296" s="901">
        <f>SUM(U296:X296)</f>
        <v>-36</v>
      </c>
    </row>
    <row r="297" spans="1:25" s="971" customFormat="1" ht="3.95" customHeight="1" x14ac:dyDescent="0.2">
      <c r="A297" s="897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98"/>
      <c r="R297" s="899"/>
      <c r="S297" s="898"/>
      <c r="T297" s="129"/>
      <c r="U297" s="900"/>
      <c r="V297" s="900"/>
      <c r="W297" s="900"/>
      <c r="X297" s="900"/>
      <c r="Y297" s="901"/>
    </row>
    <row r="298" spans="1:25" s="971" customFormat="1" ht="12.75" customHeight="1" x14ac:dyDescent="0.2">
      <c r="A298" s="912" t="s">
        <v>398</v>
      </c>
      <c r="C298" s="914">
        <f>SUM(C292:C296)</f>
        <v>-64</v>
      </c>
      <c r="D298" s="915">
        <f>SUM(D292:D296)</f>
        <v>-96</v>
      </c>
      <c r="E298" s="915">
        <f t="shared" ref="E298:O298" si="108">SUM(E292:E296)</f>
        <v>-78</v>
      </c>
      <c r="F298" s="915">
        <f t="shared" si="108"/>
        <v>-83</v>
      </c>
      <c r="G298" s="915">
        <f t="shared" si="108"/>
        <v>-69</v>
      </c>
      <c r="H298" s="915">
        <f t="shared" si="108"/>
        <v>-72</v>
      </c>
      <c r="I298" s="915">
        <f t="shared" si="108"/>
        <v>-63</v>
      </c>
      <c r="J298" s="915">
        <f t="shared" si="108"/>
        <v>-77</v>
      </c>
      <c r="K298" s="915">
        <f t="shared" si="108"/>
        <v>-128</v>
      </c>
      <c r="L298" s="915">
        <f t="shared" si="108"/>
        <v>-128</v>
      </c>
      <c r="M298" s="915">
        <f t="shared" si="108"/>
        <v>-128</v>
      </c>
      <c r="N298" s="915">
        <f t="shared" si="108"/>
        <v>-132</v>
      </c>
      <c r="O298" s="916">
        <f t="shared" si="108"/>
        <v>-1118</v>
      </c>
      <c r="P298" s="917"/>
      <c r="Q298" s="923"/>
      <c r="R298" s="919"/>
      <c r="S298" s="923"/>
      <c r="T298" s="917"/>
      <c r="U298" s="914">
        <f>SUM(U292:U296)</f>
        <v>-238</v>
      </c>
      <c r="V298" s="915">
        <f>SUM(V292:V296)</f>
        <v>-224</v>
      </c>
      <c r="W298" s="915">
        <f>SUM(W292:W296)</f>
        <v>-268</v>
      </c>
      <c r="X298" s="915">
        <f>SUM(X292:X296)</f>
        <v>-388</v>
      </c>
      <c r="Y298" s="916">
        <f>SUM(Y292:Y296)</f>
        <v>-1118</v>
      </c>
    </row>
    <row r="299" spans="1:25" x14ac:dyDescent="0.2">
      <c r="A299" s="938"/>
      <c r="C299" s="901"/>
      <c r="D299" s="901"/>
      <c r="E299" s="901"/>
      <c r="F299" s="901"/>
      <c r="G299" s="901"/>
      <c r="H299" s="901"/>
      <c r="I299" s="901"/>
      <c r="J299" s="901"/>
      <c r="K299" s="901"/>
      <c r="L299" s="901"/>
      <c r="M299" s="901"/>
      <c r="N299" s="901"/>
      <c r="O299" s="900"/>
      <c r="P299" s="900"/>
      <c r="Q299" s="898"/>
      <c r="R299" s="901"/>
      <c r="S299" s="898"/>
      <c r="T299" s="900"/>
      <c r="U299" s="900"/>
      <c r="V299" s="900"/>
      <c r="W299" s="900"/>
      <c r="X299" s="900"/>
      <c r="Y299" s="901"/>
    </row>
    <row r="300" spans="1:25" x14ac:dyDescent="0.2">
      <c r="C300" s="901"/>
      <c r="D300" s="901"/>
      <c r="E300" s="901"/>
      <c r="F300" s="901"/>
      <c r="G300" s="901"/>
      <c r="H300" s="901"/>
      <c r="I300" s="901"/>
      <c r="J300" s="901"/>
      <c r="K300" s="901"/>
      <c r="L300" s="901"/>
      <c r="M300" s="901"/>
      <c r="N300" s="901"/>
      <c r="O300" s="900"/>
      <c r="P300" s="900"/>
      <c r="Q300" s="898"/>
      <c r="R300" s="901"/>
      <c r="S300" s="898"/>
      <c r="T300" s="900"/>
      <c r="U300" s="900"/>
      <c r="V300" s="900"/>
      <c r="W300" s="900"/>
      <c r="X300" s="900"/>
      <c r="Y300" s="901"/>
    </row>
    <row r="301" spans="1:25" x14ac:dyDescent="0.2">
      <c r="A301" s="893" t="s">
        <v>522</v>
      </c>
      <c r="C301" s="901"/>
      <c r="D301" s="901"/>
      <c r="E301" s="901"/>
      <c r="F301" s="901"/>
      <c r="G301" s="901"/>
      <c r="H301" s="901"/>
      <c r="I301" s="901"/>
      <c r="J301" s="901"/>
      <c r="K301" s="901"/>
      <c r="L301" s="901"/>
      <c r="M301" s="901"/>
      <c r="N301" s="901"/>
      <c r="O301" s="900"/>
      <c r="P301" s="900"/>
      <c r="Q301" s="898"/>
      <c r="R301" s="901"/>
      <c r="S301" s="898"/>
      <c r="T301" s="900"/>
      <c r="U301" s="900"/>
      <c r="V301" s="900"/>
      <c r="W301" s="900"/>
      <c r="X301" s="900"/>
      <c r="Y301" s="901"/>
    </row>
    <row r="302" spans="1:25" x14ac:dyDescent="0.2">
      <c r="A302" s="896" t="s">
        <v>377</v>
      </c>
      <c r="C302" s="901"/>
      <c r="D302" s="901"/>
      <c r="E302" s="901"/>
      <c r="F302" s="901"/>
      <c r="G302" s="901"/>
      <c r="H302" s="901"/>
      <c r="I302" s="901"/>
      <c r="J302" s="901"/>
      <c r="K302" s="901"/>
      <c r="L302" s="901"/>
      <c r="M302" s="901"/>
      <c r="N302" s="901"/>
      <c r="O302" s="900"/>
      <c r="P302" s="900"/>
      <c r="Q302" s="898"/>
      <c r="R302" s="901"/>
      <c r="S302" s="898"/>
      <c r="T302" s="900"/>
      <c r="U302" s="900"/>
      <c r="V302" s="900"/>
      <c r="W302" s="900"/>
      <c r="X302" s="900"/>
      <c r="Y302" s="901"/>
    </row>
    <row r="303" spans="1:25" x14ac:dyDescent="0.2">
      <c r="A303" s="897" t="s">
        <v>523</v>
      </c>
      <c r="C303" s="702">
        <v>-21</v>
      </c>
      <c r="D303" s="702">
        <v>-29</v>
      </c>
      <c r="E303" s="702">
        <v>-30</v>
      </c>
      <c r="F303" s="702">
        <v>-24</v>
      </c>
      <c r="G303" s="702">
        <v>-22</v>
      </c>
      <c r="H303" s="702">
        <v>-25</v>
      </c>
      <c r="I303" s="702">
        <v>-20</v>
      </c>
      <c r="J303" s="702">
        <v>-23</v>
      </c>
      <c r="K303" s="702">
        <v>-23</v>
      </c>
      <c r="L303" s="702">
        <v>-23</v>
      </c>
      <c r="M303" s="702">
        <v>-23</v>
      </c>
      <c r="N303" s="702">
        <v>-26</v>
      </c>
      <c r="O303" s="693">
        <f>SUM(C303:N303)</f>
        <v>-289</v>
      </c>
      <c r="P303" s="693"/>
      <c r="Q303" s="898"/>
      <c r="R303" s="904" t="s">
        <v>386</v>
      </c>
      <c r="S303" s="898"/>
      <c r="T303" s="693"/>
      <c r="U303" s="900">
        <f>C303+D303+E303</f>
        <v>-80</v>
      </c>
      <c r="V303" s="900">
        <f>F303+G303+H303</f>
        <v>-71</v>
      </c>
      <c r="W303" s="900">
        <f>I303+J303+K303</f>
        <v>-66</v>
      </c>
      <c r="X303" s="900">
        <f>L303+M303+N303</f>
        <v>-72</v>
      </c>
      <c r="Y303" s="901">
        <f>SUM(U303:X303)</f>
        <v>-289</v>
      </c>
    </row>
    <row r="304" spans="1:25" x14ac:dyDescent="0.2">
      <c r="A304" s="897" t="s">
        <v>387</v>
      </c>
      <c r="C304" s="910">
        <v>0</v>
      </c>
      <c r="D304" s="910">
        <v>0</v>
      </c>
      <c r="E304" s="910">
        <v>0</v>
      </c>
      <c r="F304" s="910">
        <v>0</v>
      </c>
      <c r="G304" s="910">
        <v>0</v>
      </c>
      <c r="H304" s="910">
        <v>0</v>
      </c>
      <c r="I304" s="910">
        <v>0</v>
      </c>
      <c r="J304" s="910">
        <v>0</v>
      </c>
      <c r="K304" s="910">
        <v>0</v>
      </c>
      <c r="L304" s="910">
        <v>0</v>
      </c>
      <c r="M304" s="910">
        <v>0</v>
      </c>
      <c r="N304" s="910">
        <v>0</v>
      </c>
      <c r="O304" s="900">
        <f>C304+D304+E304+F304+G304+H304+I304+J304+K304+L304+M304+N304</f>
        <v>0</v>
      </c>
      <c r="P304" s="900"/>
      <c r="Q304" s="898"/>
      <c r="R304" s="904" t="s">
        <v>386</v>
      </c>
      <c r="S304" s="898"/>
      <c r="T304" s="900"/>
      <c r="U304" s="900">
        <f>C304+D304+E304</f>
        <v>0</v>
      </c>
      <c r="V304" s="900">
        <f>F304+G304+H304</f>
        <v>0</v>
      </c>
      <c r="W304" s="900">
        <f>I304+J304+K304</f>
        <v>0</v>
      </c>
      <c r="X304" s="900">
        <f>L304+M304+N304</f>
        <v>0</v>
      </c>
      <c r="Y304" s="901">
        <f>SUM(U304:X304)</f>
        <v>0</v>
      </c>
    </row>
    <row r="305" spans="1:25" s="913" customFormat="1" ht="12.75" customHeight="1" x14ac:dyDescent="0.2">
      <c r="A305" s="909" t="s">
        <v>524</v>
      </c>
      <c r="C305" s="871">
        <v>0</v>
      </c>
      <c r="D305" s="871">
        <v>0</v>
      </c>
      <c r="E305" s="871">
        <v>0</v>
      </c>
      <c r="F305" s="871">
        <v>0</v>
      </c>
      <c r="G305" s="871">
        <v>0</v>
      </c>
      <c r="H305" s="871">
        <v>0</v>
      </c>
      <c r="I305" s="871">
        <v>0</v>
      </c>
      <c r="J305" s="871">
        <v>0</v>
      </c>
      <c r="K305" s="871">
        <v>0</v>
      </c>
      <c r="L305" s="871">
        <v>0</v>
      </c>
      <c r="M305" s="871">
        <v>0</v>
      </c>
      <c r="N305" s="871">
        <v>0</v>
      </c>
      <c r="O305" s="695">
        <f>SUM(C305:N305)</f>
        <v>0</v>
      </c>
      <c r="P305" s="693"/>
      <c r="Q305" s="918"/>
      <c r="R305" s="904" t="s">
        <v>386</v>
      </c>
      <c r="S305" s="918"/>
      <c r="T305" s="693"/>
      <c r="U305" s="960">
        <f>C305+D305+E305</f>
        <v>0</v>
      </c>
      <c r="V305" s="960">
        <f>F305+G305+H305</f>
        <v>0</v>
      </c>
      <c r="W305" s="960">
        <f>I305+J305+K305</f>
        <v>0</v>
      </c>
      <c r="X305" s="960">
        <f>L305+M305+N305</f>
        <v>0</v>
      </c>
      <c r="Y305" s="908">
        <f>SUM(U305:X305)</f>
        <v>0</v>
      </c>
    </row>
    <row r="306" spans="1:25" s="913" customFormat="1" ht="12.75" customHeight="1" x14ac:dyDescent="0.2">
      <c r="A306" s="897" t="s">
        <v>393</v>
      </c>
      <c r="C306" s="919">
        <f t="shared" ref="C306:O306" si="109">SUM(C303:C305)</f>
        <v>-21</v>
      </c>
      <c r="D306" s="919">
        <f t="shared" si="109"/>
        <v>-29</v>
      </c>
      <c r="E306" s="919">
        <f t="shared" si="109"/>
        <v>-30</v>
      </c>
      <c r="F306" s="919">
        <f t="shared" si="109"/>
        <v>-24</v>
      </c>
      <c r="G306" s="919">
        <f t="shared" si="109"/>
        <v>-22</v>
      </c>
      <c r="H306" s="919">
        <f t="shared" si="109"/>
        <v>-25</v>
      </c>
      <c r="I306" s="919">
        <f t="shared" si="109"/>
        <v>-20</v>
      </c>
      <c r="J306" s="919">
        <f t="shared" si="109"/>
        <v>-23</v>
      </c>
      <c r="K306" s="919">
        <f t="shared" si="109"/>
        <v>-23</v>
      </c>
      <c r="L306" s="919">
        <f t="shared" si="109"/>
        <v>-23</v>
      </c>
      <c r="M306" s="919">
        <f t="shared" si="109"/>
        <v>-23</v>
      </c>
      <c r="N306" s="919">
        <f t="shared" si="109"/>
        <v>-26</v>
      </c>
      <c r="O306" s="919">
        <f t="shared" si="109"/>
        <v>-289</v>
      </c>
      <c r="P306" s="693"/>
      <c r="Q306" s="918"/>
      <c r="R306" s="904"/>
      <c r="S306" s="918"/>
      <c r="T306" s="693"/>
      <c r="U306" s="919">
        <f>SUM(U303:U305)</f>
        <v>-80</v>
      </c>
      <c r="V306" s="919">
        <f>SUM(V303:V305)</f>
        <v>-71</v>
      </c>
      <c r="W306" s="919">
        <f>SUM(W303:W305)</f>
        <v>-66</v>
      </c>
      <c r="X306" s="919">
        <f>SUM(X303:X305)</f>
        <v>-72</v>
      </c>
      <c r="Y306" s="919">
        <f>SUM(Y303:Y305)</f>
        <v>-289</v>
      </c>
    </row>
    <row r="307" spans="1:25" s="913" customFormat="1" ht="3.95" customHeight="1" x14ac:dyDescent="0.2">
      <c r="A307" s="909"/>
      <c r="C307" s="870"/>
      <c r="D307" s="870"/>
      <c r="E307" s="870"/>
      <c r="F307" s="870"/>
      <c r="G307" s="870"/>
      <c r="H307" s="870"/>
      <c r="I307" s="870"/>
      <c r="J307" s="870"/>
      <c r="K307" s="870"/>
      <c r="L307" s="870"/>
      <c r="M307" s="870"/>
      <c r="N307" s="870"/>
      <c r="O307" s="693"/>
      <c r="P307" s="693"/>
      <c r="Q307" s="918"/>
      <c r="R307" s="904"/>
      <c r="S307" s="918"/>
      <c r="T307" s="693"/>
      <c r="U307" s="917"/>
      <c r="V307" s="917"/>
      <c r="W307" s="917"/>
      <c r="X307" s="917"/>
      <c r="Y307" s="901"/>
    </row>
    <row r="308" spans="1:25" s="913" customFormat="1" ht="12.75" customHeight="1" x14ac:dyDescent="0.2">
      <c r="A308" s="897" t="s">
        <v>54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8"/>
      <c r="R308" s="903" t="s">
        <v>394</v>
      </c>
      <c r="S308" s="898"/>
      <c r="T308" s="129"/>
      <c r="U308" s="900">
        <f>C308+D308+E308</f>
        <v>0</v>
      </c>
      <c r="V308" s="900">
        <f>F308+G308+H308</f>
        <v>0</v>
      </c>
      <c r="W308" s="900">
        <f>I308+J308+K308</f>
        <v>0</v>
      </c>
      <c r="X308" s="900">
        <f>L308+M308+N308</f>
        <v>0</v>
      </c>
      <c r="Y308" s="901">
        <f>SUM(U308:X308)</f>
        <v>0</v>
      </c>
    </row>
    <row r="309" spans="1:25" s="913" customFormat="1" ht="3.95" customHeight="1" x14ac:dyDescent="0.2">
      <c r="A309" s="909"/>
      <c r="C309" s="870"/>
      <c r="D309" s="870"/>
      <c r="E309" s="870"/>
      <c r="F309" s="870"/>
      <c r="G309" s="870"/>
      <c r="H309" s="870"/>
      <c r="I309" s="870"/>
      <c r="J309" s="870"/>
      <c r="K309" s="870"/>
      <c r="L309" s="870"/>
      <c r="M309" s="870"/>
      <c r="N309" s="870"/>
      <c r="O309" s="693"/>
      <c r="P309" s="693"/>
      <c r="Q309" s="918"/>
      <c r="R309" s="904"/>
      <c r="S309" s="918"/>
      <c r="T309" s="693"/>
      <c r="U309" s="917"/>
      <c r="V309" s="917"/>
      <c r="W309" s="917"/>
      <c r="X309" s="917"/>
      <c r="Y309" s="901"/>
    </row>
    <row r="310" spans="1:25" s="913" customFormat="1" ht="12.75" customHeight="1" x14ac:dyDescent="0.2">
      <c r="A310" s="897" t="s">
        <v>396</v>
      </c>
      <c r="B310" s="971"/>
      <c r="C310" s="128">
        <v>-3</v>
      </c>
      <c r="D310" s="128">
        <v>-3</v>
      </c>
      <c r="E310" s="128">
        <v>-2</v>
      </c>
      <c r="F310" s="128">
        <v>-1</v>
      </c>
      <c r="G310" s="128">
        <v>-1</v>
      </c>
      <c r="H310" s="128">
        <v>-1</v>
      </c>
      <c r="I310" s="128">
        <v>-1</v>
      </c>
      <c r="J310" s="128">
        <v>-1</v>
      </c>
      <c r="K310" s="128">
        <v>-1</v>
      </c>
      <c r="L310" s="128">
        <v>-1</v>
      </c>
      <c r="M310" s="128">
        <v>-1</v>
      </c>
      <c r="N310" s="128">
        <v>-1</v>
      </c>
      <c r="O310" s="129">
        <f>SUM(C310:N310)</f>
        <v>-17</v>
      </c>
      <c r="P310" s="129"/>
      <c r="Q310" s="898"/>
      <c r="R310" s="899" t="s">
        <v>397</v>
      </c>
      <c r="S310" s="898"/>
      <c r="T310" s="129"/>
      <c r="U310" s="900">
        <f>C310+D310+E310</f>
        <v>-8</v>
      </c>
      <c r="V310" s="900">
        <f>F310+G310+H310</f>
        <v>-3</v>
      </c>
      <c r="W310" s="900">
        <f>I310+J310+K310</f>
        <v>-3</v>
      </c>
      <c r="X310" s="900">
        <f>L310+M310+N310</f>
        <v>-3</v>
      </c>
      <c r="Y310" s="901">
        <f>SUM(U310:X310)</f>
        <v>-17</v>
      </c>
    </row>
    <row r="311" spans="1:25" s="913" customFormat="1" ht="3.95" customHeight="1" x14ac:dyDescent="0.2">
      <c r="A311" s="897"/>
      <c r="B311" s="971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8"/>
      <c r="R311" s="899"/>
      <c r="S311" s="898"/>
      <c r="T311" s="129"/>
      <c r="U311" s="900"/>
      <c r="V311" s="900"/>
      <c r="W311" s="900"/>
      <c r="X311" s="900"/>
      <c r="Y311" s="901"/>
    </row>
    <row r="312" spans="1:25" s="913" customFormat="1" ht="12.75" customHeight="1" x14ac:dyDescent="0.2">
      <c r="A312" s="912" t="s">
        <v>398</v>
      </c>
      <c r="B312" s="971"/>
      <c r="C312" s="914">
        <f>SUM(C306:C310)</f>
        <v>-24</v>
      </c>
      <c r="D312" s="915">
        <f>SUM(D306:D310)</f>
        <v>-32</v>
      </c>
      <c r="E312" s="915">
        <f t="shared" ref="E312:O312" si="110">SUM(E306:E310)</f>
        <v>-32</v>
      </c>
      <c r="F312" s="915">
        <f t="shared" si="110"/>
        <v>-25</v>
      </c>
      <c r="G312" s="915">
        <f t="shared" si="110"/>
        <v>-23</v>
      </c>
      <c r="H312" s="915">
        <f t="shared" si="110"/>
        <v>-26</v>
      </c>
      <c r="I312" s="915">
        <f t="shared" si="110"/>
        <v>-21</v>
      </c>
      <c r="J312" s="915">
        <f t="shared" si="110"/>
        <v>-24</v>
      </c>
      <c r="K312" s="915">
        <f t="shared" si="110"/>
        <v>-24</v>
      </c>
      <c r="L312" s="915">
        <f t="shared" si="110"/>
        <v>-24</v>
      </c>
      <c r="M312" s="915">
        <f t="shared" si="110"/>
        <v>-24</v>
      </c>
      <c r="N312" s="915">
        <f t="shared" si="110"/>
        <v>-27</v>
      </c>
      <c r="O312" s="916">
        <f t="shared" si="110"/>
        <v>-306</v>
      </c>
      <c r="P312" s="917"/>
      <c r="Q312" s="923"/>
      <c r="R312" s="919"/>
      <c r="S312" s="923"/>
      <c r="T312" s="917"/>
      <c r="U312" s="914">
        <f>SUM(U306:U310)</f>
        <v>-88</v>
      </c>
      <c r="V312" s="915">
        <f>SUM(V306:V310)</f>
        <v>-74</v>
      </c>
      <c r="W312" s="915">
        <f>SUM(W306:W310)</f>
        <v>-69</v>
      </c>
      <c r="X312" s="915">
        <f>SUM(X306:X310)</f>
        <v>-75</v>
      </c>
      <c r="Y312" s="916">
        <f>SUM(Y306:Y310)</f>
        <v>-306</v>
      </c>
    </row>
    <row r="313" spans="1:25" s="913" customFormat="1" ht="12.75" customHeight="1" x14ac:dyDescent="0.2">
      <c r="A313" s="928"/>
      <c r="C313" s="919"/>
      <c r="D313" s="919"/>
      <c r="E313" s="919"/>
      <c r="F313" s="919"/>
      <c r="G313" s="919"/>
      <c r="H313" s="919"/>
      <c r="I313" s="919"/>
      <c r="J313" s="919"/>
      <c r="K313" s="919"/>
      <c r="L313" s="919"/>
      <c r="M313" s="919"/>
      <c r="N313" s="919"/>
      <c r="O313" s="917"/>
      <c r="P313" s="917"/>
      <c r="Q313" s="923"/>
      <c r="R313" s="919"/>
      <c r="S313" s="923"/>
      <c r="T313" s="917"/>
      <c r="U313" s="917"/>
      <c r="V313" s="917"/>
      <c r="W313" s="917"/>
      <c r="X313" s="917"/>
      <c r="Y313" s="919"/>
    </row>
    <row r="314" spans="1:25" x14ac:dyDescent="0.2">
      <c r="A314" s="952" t="s">
        <v>525</v>
      </c>
      <c r="C314" s="901"/>
      <c r="D314" s="901"/>
      <c r="E314" s="901"/>
      <c r="F314" s="901"/>
      <c r="G314" s="901"/>
      <c r="H314" s="901"/>
      <c r="I314" s="901"/>
      <c r="J314" s="901"/>
      <c r="K314" s="901"/>
      <c r="L314" s="901"/>
      <c r="M314" s="901"/>
      <c r="N314" s="901"/>
      <c r="O314" s="900"/>
      <c r="P314" s="900"/>
      <c r="Q314" s="898"/>
      <c r="R314" s="901"/>
      <c r="S314" s="898"/>
      <c r="T314" s="900"/>
      <c r="U314" s="900"/>
      <c r="V314" s="900"/>
      <c r="W314" s="900"/>
      <c r="X314" s="900"/>
      <c r="Y314" s="901"/>
    </row>
    <row r="315" spans="1:25" x14ac:dyDescent="0.2">
      <c r="A315" s="896" t="s">
        <v>377</v>
      </c>
      <c r="C315" s="901"/>
      <c r="D315" s="901"/>
      <c r="E315" s="901"/>
      <c r="F315" s="901"/>
      <c r="G315" s="901"/>
      <c r="H315" s="901"/>
      <c r="I315" s="901"/>
      <c r="J315" s="901"/>
      <c r="K315" s="901"/>
      <c r="L315" s="901"/>
      <c r="M315" s="901"/>
      <c r="N315" s="901"/>
      <c r="O315" s="900"/>
      <c r="P315" s="900"/>
      <c r="Q315" s="898"/>
      <c r="R315" s="901"/>
      <c r="S315" s="898"/>
      <c r="T315" s="900"/>
      <c r="U315" s="900"/>
      <c r="V315" s="900"/>
      <c r="W315" s="900"/>
      <c r="X315" s="900"/>
      <c r="Y315" s="901"/>
    </row>
    <row r="316" spans="1:25" x14ac:dyDescent="0.2">
      <c r="A316" s="897" t="s">
        <v>385</v>
      </c>
      <c r="C316" s="702">
        <v>-193</v>
      </c>
      <c r="D316" s="702">
        <v>-155</v>
      </c>
      <c r="E316" s="702">
        <v>-163</v>
      </c>
      <c r="F316" s="702">
        <v>-108</v>
      </c>
      <c r="G316" s="702">
        <v>-127</v>
      </c>
      <c r="H316" s="702">
        <v>-225</v>
      </c>
      <c r="I316" s="702">
        <v>150</v>
      </c>
      <c r="J316" s="702">
        <v>-49</v>
      </c>
      <c r="K316" s="702">
        <v>0</v>
      </c>
      <c r="L316" s="702">
        <v>0</v>
      </c>
      <c r="M316" s="702">
        <v>0</v>
      </c>
      <c r="N316" s="702">
        <v>0</v>
      </c>
      <c r="O316" s="693">
        <f t="shared" ref="O316:O322" si="111">SUM(C316:N316)</f>
        <v>-870</v>
      </c>
      <c r="P316" s="693"/>
      <c r="Q316" s="898"/>
      <c r="R316" s="966" t="s">
        <v>386</v>
      </c>
      <c r="S316" s="898"/>
      <c r="T316" s="693"/>
      <c r="U316" s="900">
        <f t="shared" ref="U316:U322" si="112">C316+D316+E316</f>
        <v>-511</v>
      </c>
      <c r="V316" s="900">
        <f t="shared" ref="V316:V322" si="113">F316+G316+H316</f>
        <v>-460</v>
      </c>
      <c r="W316" s="900">
        <f t="shared" ref="W316:W322" si="114">I316+J316+K316</f>
        <v>101</v>
      </c>
      <c r="X316" s="900">
        <f t="shared" ref="X316:X322" si="115">L316+M316+N316</f>
        <v>0</v>
      </c>
      <c r="Y316" s="901">
        <f t="shared" ref="Y316:Y322" si="116">SUM(U316:X316)</f>
        <v>-870</v>
      </c>
    </row>
    <row r="317" spans="1:25" x14ac:dyDescent="0.2">
      <c r="A317" s="897" t="s">
        <v>526</v>
      </c>
      <c r="C317" s="910"/>
      <c r="D317" s="910"/>
      <c r="E317" s="910"/>
      <c r="F317" s="910"/>
      <c r="G317" s="910"/>
      <c r="H317" s="910"/>
      <c r="I317" s="910"/>
      <c r="J317" s="910">
        <v>0</v>
      </c>
      <c r="K317" s="910">
        <v>-9</v>
      </c>
      <c r="L317" s="910">
        <v>-9</v>
      </c>
      <c r="M317" s="910">
        <v>-9</v>
      </c>
      <c r="N317" s="910">
        <v>-9</v>
      </c>
      <c r="O317" s="693">
        <f t="shared" si="111"/>
        <v>-36</v>
      </c>
      <c r="P317" s="693"/>
      <c r="Q317" s="898"/>
      <c r="R317" s="966" t="s">
        <v>386</v>
      </c>
      <c r="S317" s="898"/>
      <c r="T317" s="693"/>
      <c r="U317" s="900">
        <f t="shared" si="112"/>
        <v>0</v>
      </c>
      <c r="V317" s="900">
        <f t="shared" si="113"/>
        <v>0</v>
      </c>
      <c r="W317" s="900">
        <f t="shared" si="114"/>
        <v>-9</v>
      </c>
      <c r="X317" s="900">
        <f t="shared" si="115"/>
        <v>-27</v>
      </c>
      <c r="Y317" s="901">
        <f t="shared" si="116"/>
        <v>-36</v>
      </c>
    </row>
    <row r="318" spans="1:25" x14ac:dyDescent="0.2">
      <c r="A318" s="897" t="s">
        <v>527</v>
      </c>
      <c r="C318" s="910"/>
      <c r="D318" s="910"/>
      <c r="E318" s="910"/>
      <c r="F318" s="910"/>
      <c r="G318" s="910"/>
      <c r="H318" s="910"/>
      <c r="I318" s="910"/>
      <c r="J318" s="910"/>
      <c r="K318" s="910"/>
      <c r="L318" s="910"/>
      <c r="M318" s="910"/>
      <c r="N318" s="910">
        <v>-4</v>
      </c>
      <c r="O318" s="693">
        <f t="shared" si="111"/>
        <v>-4</v>
      </c>
      <c r="P318" s="693"/>
      <c r="Q318" s="898"/>
      <c r="R318" s="966" t="s">
        <v>386</v>
      </c>
      <c r="S318" s="898"/>
      <c r="T318" s="693"/>
      <c r="U318" s="900">
        <f t="shared" si="112"/>
        <v>0</v>
      </c>
      <c r="V318" s="900">
        <f t="shared" si="113"/>
        <v>0</v>
      </c>
      <c r="W318" s="900">
        <f t="shared" si="114"/>
        <v>0</v>
      </c>
      <c r="X318" s="900">
        <f t="shared" si="115"/>
        <v>-4</v>
      </c>
      <c r="Y318" s="901">
        <f t="shared" si="116"/>
        <v>-4</v>
      </c>
    </row>
    <row r="319" spans="1:25" x14ac:dyDescent="0.2">
      <c r="A319" s="897" t="s">
        <v>528</v>
      </c>
      <c r="C319" s="910"/>
      <c r="D319" s="910"/>
      <c r="E319" s="910"/>
      <c r="F319" s="910"/>
      <c r="G319" s="910"/>
      <c r="H319" s="910"/>
      <c r="I319" s="910"/>
      <c r="J319" s="910"/>
      <c r="K319" s="910"/>
      <c r="L319" s="910"/>
      <c r="M319" s="910"/>
      <c r="N319" s="910"/>
      <c r="O319" s="693">
        <f t="shared" si="111"/>
        <v>0</v>
      </c>
      <c r="P319" s="693"/>
      <c r="Q319" s="898"/>
      <c r="R319" s="966" t="s">
        <v>386</v>
      </c>
      <c r="S319" s="898"/>
      <c r="T319" s="693"/>
      <c r="U319" s="900">
        <f t="shared" si="112"/>
        <v>0</v>
      </c>
      <c r="V319" s="900">
        <f t="shared" si="113"/>
        <v>0</v>
      </c>
      <c r="W319" s="900">
        <f t="shared" si="114"/>
        <v>0</v>
      </c>
      <c r="X319" s="900">
        <f t="shared" si="115"/>
        <v>0</v>
      </c>
      <c r="Y319" s="901">
        <f t="shared" si="116"/>
        <v>0</v>
      </c>
    </row>
    <row r="320" spans="1:25" x14ac:dyDescent="0.2">
      <c r="A320" s="897" t="s">
        <v>529</v>
      </c>
      <c r="C320" s="910"/>
      <c r="D320" s="910"/>
      <c r="E320" s="910"/>
      <c r="F320" s="910"/>
      <c r="G320" s="910"/>
      <c r="H320" s="910"/>
      <c r="I320" s="910"/>
      <c r="J320" s="910">
        <v>0</v>
      </c>
      <c r="K320" s="910">
        <v>-10</v>
      </c>
      <c r="L320" s="910">
        <v>-12</v>
      </c>
      <c r="M320" s="910">
        <v>-10</v>
      </c>
      <c r="N320" s="910">
        <v>-10</v>
      </c>
      <c r="O320" s="693">
        <f t="shared" si="111"/>
        <v>-42</v>
      </c>
      <c r="P320" s="693"/>
      <c r="Q320" s="898"/>
      <c r="R320" s="966" t="s">
        <v>386</v>
      </c>
      <c r="S320" s="898"/>
      <c r="T320" s="693"/>
      <c r="U320" s="900">
        <f t="shared" si="112"/>
        <v>0</v>
      </c>
      <c r="V320" s="900">
        <f t="shared" si="113"/>
        <v>0</v>
      </c>
      <c r="W320" s="900">
        <f t="shared" si="114"/>
        <v>-10</v>
      </c>
      <c r="X320" s="900">
        <f t="shared" si="115"/>
        <v>-32</v>
      </c>
      <c r="Y320" s="901">
        <f t="shared" si="116"/>
        <v>-42</v>
      </c>
    </row>
    <row r="321" spans="1:25" x14ac:dyDescent="0.2">
      <c r="A321" s="897" t="s">
        <v>530</v>
      </c>
      <c r="C321" s="910"/>
      <c r="D321" s="910"/>
      <c r="E321" s="910"/>
      <c r="F321" s="910"/>
      <c r="G321" s="910"/>
      <c r="H321" s="910"/>
      <c r="I321" s="910"/>
      <c r="J321" s="910">
        <v>0</v>
      </c>
      <c r="K321" s="910">
        <v>-4</v>
      </c>
      <c r="L321" s="910">
        <v>-4</v>
      </c>
      <c r="M321" s="910">
        <v>-4</v>
      </c>
      <c r="N321" s="910">
        <v>-6</v>
      </c>
      <c r="O321" s="693">
        <f t="shared" si="111"/>
        <v>-18</v>
      </c>
      <c r="P321" s="693"/>
      <c r="Q321" s="898"/>
      <c r="R321" s="966" t="s">
        <v>386</v>
      </c>
      <c r="S321" s="898"/>
      <c r="T321" s="693"/>
      <c r="U321" s="900">
        <f t="shared" si="112"/>
        <v>0</v>
      </c>
      <c r="V321" s="900">
        <f t="shared" si="113"/>
        <v>0</v>
      </c>
      <c r="W321" s="900">
        <f t="shared" si="114"/>
        <v>-4</v>
      </c>
      <c r="X321" s="900">
        <f t="shared" si="115"/>
        <v>-14</v>
      </c>
      <c r="Y321" s="901">
        <f t="shared" si="116"/>
        <v>-18</v>
      </c>
    </row>
    <row r="322" spans="1:25" ht="12.75" customHeight="1" x14ac:dyDescent="0.2">
      <c r="A322" s="909" t="s">
        <v>531</v>
      </c>
      <c r="B322" s="913"/>
      <c r="C322" s="871">
        <v>0</v>
      </c>
      <c r="D322" s="871">
        <v>0</v>
      </c>
      <c r="E322" s="871">
        <v>0</v>
      </c>
      <c r="F322" s="871">
        <v>0</v>
      </c>
      <c r="G322" s="871">
        <v>0</v>
      </c>
      <c r="H322" s="871">
        <v>0</v>
      </c>
      <c r="I322" s="871">
        <v>0</v>
      </c>
      <c r="J322" s="871">
        <v>0</v>
      </c>
      <c r="K322" s="871">
        <v>0</v>
      </c>
      <c r="L322" s="871">
        <v>0</v>
      </c>
      <c r="M322" s="871">
        <v>0</v>
      </c>
      <c r="N322" s="871">
        <v>0</v>
      </c>
      <c r="O322" s="695">
        <f t="shared" si="111"/>
        <v>0</v>
      </c>
      <c r="P322" s="693"/>
      <c r="Q322" s="918"/>
      <c r="R322" s="904" t="s">
        <v>386</v>
      </c>
      <c r="S322" s="918"/>
      <c r="T322" s="693"/>
      <c r="U322" s="960">
        <f t="shared" si="112"/>
        <v>0</v>
      </c>
      <c r="V322" s="960">
        <f t="shared" si="113"/>
        <v>0</v>
      </c>
      <c r="W322" s="960">
        <f t="shared" si="114"/>
        <v>0</v>
      </c>
      <c r="X322" s="960">
        <f t="shared" si="115"/>
        <v>0</v>
      </c>
      <c r="Y322" s="908">
        <f t="shared" si="116"/>
        <v>0</v>
      </c>
    </row>
    <row r="323" spans="1:25" ht="12.75" customHeight="1" x14ac:dyDescent="0.2">
      <c r="A323" s="897" t="s">
        <v>393</v>
      </c>
      <c r="B323" s="913"/>
      <c r="C323" s="919">
        <f t="shared" ref="C323:O323" si="117">SUM(C316:C322)</f>
        <v>-193</v>
      </c>
      <c r="D323" s="919">
        <f t="shared" si="117"/>
        <v>-155</v>
      </c>
      <c r="E323" s="919">
        <f t="shared" si="117"/>
        <v>-163</v>
      </c>
      <c r="F323" s="919">
        <f t="shared" si="117"/>
        <v>-108</v>
      </c>
      <c r="G323" s="919">
        <f t="shared" si="117"/>
        <v>-127</v>
      </c>
      <c r="H323" s="919">
        <f t="shared" si="117"/>
        <v>-225</v>
      </c>
      <c r="I323" s="919">
        <f t="shared" si="117"/>
        <v>150</v>
      </c>
      <c r="J323" s="919">
        <f t="shared" si="117"/>
        <v>-49</v>
      </c>
      <c r="K323" s="919">
        <f t="shared" si="117"/>
        <v>-23</v>
      </c>
      <c r="L323" s="919">
        <f t="shared" si="117"/>
        <v>-25</v>
      </c>
      <c r="M323" s="919">
        <f t="shared" si="117"/>
        <v>-23</v>
      </c>
      <c r="N323" s="919">
        <f t="shared" si="117"/>
        <v>-29</v>
      </c>
      <c r="O323" s="919">
        <f t="shared" si="117"/>
        <v>-970</v>
      </c>
      <c r="P323" s="693"/>
      <c r="Q323" s="918"/>
      <c r="R323" s="904"/>
      <c r="S323" s="918"/>
      <c r="T323" s="693"/>
      <c r="U323" s="919">
        <f>SUM(U316:U322)</f>
        <v>-511</v>
      </c>
      <c r="V323" s="919">
        <f>SUM(V316:V322)</f>
        <v>-460</v>
      </c>
      <c r="W323" s="919">
        <f>SUM(W316:W322)</f>
        <v>78</v>
      </c>
      <c r="X323" s="919">
        <f>SUM(X316:X322)</f>
        <v>-77</v>
      </c>
      <c r="Y323" s="919">
        <f>SUM(Y316:Y322)</f>
        <v>-970</v>
      </c>
    </row>
    <row r="324" spans="1:25" ht="3.95" customHeight="1" x14ac:dyDescent="0.2">
      <c r="A324" s="909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693"/>
      <c r="P324" s="693"/>
      <c r="Q324" s="923"/>
      <c r="R324" s="966"/>
      <c r="S324" s="923"/>
      <c r="T324" s="693"/>
      <c r="U324" s="900"/>
      <c r="V324" s="900"/>
      <c r="W324" s="900"/>
      <c r="X324" s="900"/>
      <c r="Y324" s="901"/>
    </row>
    <row r="325" spans="1:25" ht="12.75" customHeight="1" x14ac:dyDescent="0.2">
      <c r="A325" s="897" t="s">
        <v>54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98"/>
      <c r="R325" s="903" t="s">
        <v>394</v>
      </c>
      <c r="S325" s="898"/>
      <c r="T325" s="129"/>
      <c r="U325" s="900">
        <f>C325+D325+E325</f>
        <v>0</v>
      </c>
      <c r="V325" s="900">
        <f>F325+G325+H325</f>
        <v>0</v>
      </c>
      <c r="W325" s="900">
        <f>I325+J325+K325</f>
        <v>0</v>
      </c>
      <c r="X325" s="900">
        <f>L325+M325+N325</f>
        <v>0</v>
      </c>
      <c r="Y325" s="901">
        <f>SUM(U325:X325)</f>
        <v>0</v>
      </c>
    </row>
    <row r="326" spans="1:25" ht="3.95" customHeight="1" x14ac:dyDescent="0.2">
      <c r="A326" s="909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693"/>
      <c r="P326" s="693"/>
      <c r="Q326" s="923"/>
      <c r="R326" s="966"/>
      <c r="S326" s="923"/>
      <c r="T326" s="693"/>
      <c r="U326" s="900"/>
      <c r="V326" s="900"/>
      <c r="W326" s="900"/>
      <c r="X326" s="900"/>
      <c r="Y326" s="901"/>
    </row>
    <row r="327" spans="1:25" x14ac:dyDescent="0.2">
      <c r="A327" s="897" t="s">
        <v>396</v>
      </c>
      <c r="B327" s="971"/>
      <c r="C327" s="128">
        <v>-2</v>
      </c>
      <c r="D327" s="128">
        <v>-3</v>
      </c>
      <c r="E327" s="128">
        <v>-3</v>
      </c>
      <c r="F327" s="128">
        <v>-2</v>
      </c>
      <c r="G327" s="128">
        <v>-2</v>
      </c>
      <c r="H327" s="128">
        <v>-2</v>
      </c>
      <c r="I327" s="128">
        <v>-2</v>
      </c>
      <c r="J327" s="128">
        <v>-2</v>
      </c>
      <c r="K327" s="128">
        <v>-2</v>
      </c>
      <c r="L327" s="128">
        <v>-2</v>
      </c>
      <c r="M327" s="128">
        <v>-2</v>
      </c>
      <c r="N327" s="128">
        <v>-2</v>
      </c>
      <c r="O327" s="129">
        <f>SUM(C327:N327)</f>
        <v>-26</v>
      </c>
      <c r="P327" s="129"/>
      <c r="Q327" s="923"/>
      <c r="R327" s="899" t="s">
        <v>397</v>
      </c>
      <c r="S327" s="923"/>
      <c r="T327" s="129"/>
      <c r="U327" s="917">
        <f>C327+D327+E327</f>
        <v>-8</v>
      </c>
      <c r="V327" s="917">
        <f>F327+G327+H327</f>
        <v>-6</v>
      </c>
      <c r="W327" s="917">
        <f>I327+J327+K327</f>
        <v>-6</v>
      </c>
      <c r="X327" s="917">
        <f>L327+M327+N327</f>
        <v>-6</v>
      </c>
      <c r="Y327" s="901">
        <f>SUM(U327:X327)</f>
        <v>-26</v>
      </c>
    </row>
    <row r="328" spans="1:25" ht="3.95" customHeight="1" x14ac:dyDescent="0.2">
      <c r="A328" s="897"/>
      <c r="B328" s="971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23"/>
      <c r="R328" s="899"/>
      <c r="S328" s="923"/>
      <c r="T328" s="129"/>
      <c r="U328" s="917"/>
      <c r="V328" s="917"/>
      <c r="W328" s="917"/>
      <c r="X328" s="917"/>
      <c r="Y328" s="901"/>
    </row>
    <row r="329" spans="1:25" ht="12.75" customHeight="1" x14ac:dyDescent="0.2">
      <c r="A329" s="912" t="s">
        <v>398</v>
      </c>
      <c r="B329" s="971"/>
      <c r="C329" s="914">
        <f>SUM(C323:C327)</f>
        <v>-195</v>
      </c>
      <c r="D329" s="915">
        <f>SUM(D323:D327)</f>
        <v>-158</v>
      </c>
      <c r="E329" s="915">
        <f t="shared" ref="E329:O329" si="118">SUM(E323:E327)</f>
        <v>-166</v>
      </c>
      <c r="F329" s="915">
        <f t="shared" si="118"/>
        <v>-110</v>
      </c>
      <c r="G329" s="915">
        <f t="shared" si="118"/>
        <v>-129</v>
      </c>
      <c r="H329" s="915">
        <f t="shared" si="118"/>
        <v>-227</v>
      </c>
      <c r="I329" s="915">
        <f t="shared" si="118"/>
        <v>148</v>
      </c>
      <c r="J329" s="915">
        <f t="shared" si="118"/>
        <v>-51</v>
      </c>
      <c r="K329" s="915">
        <f t="shared" si="118"/>
        <v>-25</v>
      </c>
      <c r="L329" s="915">
        <f t="shared" si="118"/>
        <v>-27</v>
      </c>
      <c r="M329" s="915">
        <f t="shared" si="118"/>
        <v>-25</v>
      </c>
      <c r="N329" s="915">
        <f t="shared" si="118"/>
        <v>-31</v>
      </c>
      <c r="O329" s="916">
        <f t="shared" si="118"/>
        <v>-996</v>
      </c>
      <c r="P329" s="917"/>
      <c r="Q329" s="923"/>
      <c r="R329" s="919"/>
      <c r="S329" s="923"/>
      <c r="T329" s="917"/>
      <c r="U329" s="914">
        <f>SUM(U323:U327)</f>
        <v>-519</v>
      </c>
      <c r="V329" s="915">
        <f>SUM(V323:V327)</f>
        <v>-466</v>
      </c>
      <c r="W329" s="915">
        <f>SUM(W323:W327)</f>
        <v>72</v>
      </c>
      <c r="X329" s="915">
        <f>SUM(X323:X327)</f>
        <v>-83</v>
      </c>
      <c r="Y329" s="916">
        <f>SUM(Y323:Y327)</f>
        <v>-996</v>
      </c>
    </row>
    <row r="330" spans="1:25" x14ac:dyDescent="0.2">
      <c r="A330" s="938"/>
      <c r="C330" s="901"/>
      <c r="D330" s="901"/>
      <c r="E330" s="901"/>
      <c r="F330" s="901"/>
      <c r="G330" s="901"/>
      <c r="H330" s="901"/>
      <c r="I330" s="901"/>
      <c r="J330" s="901"/>
      <c r="K330" s="901"/>
      <c r="L330" s="901"/>
      <c r="M330" s="901"/>
      <c r="N330" s="901"/>
      <c r="O330" s="900"/>
      <c r="P330" s="900"/>
      <c r="Q330" s="898"/>
      <c r="R330" s="901"/>
      <c r="S330" s="898"/>
      <c r="T330" s="900"/>
      <c r="U330" s="900"/>
      <c r="V330" s="900"/>
      <c r="W330" s="900"/>
      <c r="X330" s="900"/>
      <c r="Y330" s="901"/>
    </row>
    <row r="331" spans="1:25" s="971" customFormat="1" ht="12.75" customHeight="1" x14ac:dyDescent="0.2">
      <c r="A331" s="972" t="s">
        <v>532</v>
      </c>
      <c r="C331" s="932">
        <f t="shared" ref="C331:O331" si="119">C128+C150+C178+C256+C285+C298+C312+C329</f>
        <v>11959.029</v>
      </c>
      <c r="D331" s="933">
        <f t="shared" si="119"/>
        <v>15034.098</v>
      </c>
      <c r="E331" s="933">
        <f t="shared" si="119"/>
        <v>1338</v>
      </c>
      <c r="F331" s="933">
        <f t="shared" si="119"/>
        <v>12359</v>
      </c>
      <c r="G331" s="933">
        <f t="shared" si="119"/>
        <v>11795</v>
      </c>
      <c r="H331" s="933">
        <f t="shared" si="119"/>
        <v>9740</v>
      </c>
      <c r="I331" s="933">
        <f t="shared" si="119"/>
        <v>10603</v>
      </c>
      <c r="J331" s="933">
        <f t="shared" si="119"/>
        <v>9845</v>
      </c>
      <c r="K331" s="933">
        <f t="shared" si="119"/>
        <v>10087</v>
      </c>
      <c r="L331" s="933">
        <f t="shared" si="119"/>
        <v>9164</v>
      </c>
      <c r="M331" s="933">
        <f t="shared" si="119"/>
        <v>8328</v>
      </c>
      <c r="N331" s="933">
        <f t="shared" si="119"/>
        <v>9150</v>
      </c>
      <c r="O331" s="934">
        <f t="shared" si="119"/>
        <v>119402.12700000001</v>
      </c>
      <c r="P331" s="935"/>
      <c r="Q331" s="936"/>
      <c r="R331" s="937"/>
      <c r="S331" s="936"/>
      <c r="T331" s="935"/>
      <c r="U331" s="932">
        <f>U128+U150+U178+U256+U285+U298+U312+U329</f>
        <v>28331.127</v>
      </c>
      <c r="V331" s="933">
        <f>V128+V150+V178+V256+V285+V298+V312+V329</f>
        <v>33894</v>
      </c>
      <c r="W331" s="933" t="e">
        <f>W128+W150+W178+W256+W285+W298+W312+W329</f>
        <v>#REF!</v>
      </c>
      <c r="X331" s="933">
        <f>X128+X150+X178+X256+X285+X298+X312+X329</f>
        <v>26642</v>
      </c>
      <c r="Y331" s="934" t="e">
        <f>Y128+Y150+Y178+Y256+Y285+Y298+Y312+Y329</f>
        <v>#REF!</v>
      </c>
    </row>
    <row r="332" spans="1:25" s="971" customFormat="1" ht="6" customHeight="1" x14ac:dyDescent="0.2">
      <c r="A332" s="972"/>
      <c r="C332" s="935"/>
      <c r="D332" s="935"/>
      <c r="E332" s="935"/>
      <c r="F332" s="935"/>
      <c r="G332" s="935"/>
      <c r="H332" s="935"/>
      <c r="I332" s="935"/>
      <c r="J332" s="935"/>
      <c r="K332" s="935"/>
      <c r="L332" s="935"/>
      <c r="M332" s="935"/>
      <c r="N332" s="935"/>
      <c r="O332" s="935"/>
      <c r="P332" s="935"/>
      <c r="Q332" s="936"/>
      <c r="R332" s="937"/>
      <c r="S332" s="936"/>
      <c r="T332" s="935"/>
      <c r="U332" s="935"/>
      <c r="V332" s="935"/>
      <c r="W332" s="935"/>
      <c r="X332" s="935"/>
      <c r="Y332" s="935"/>
    </row>
    <row r="333" spans="1:25" x14ac:dyDescent="0.2">
      <c r="A333" s="896" t="s">
        <v>533</v>
      </c>
      <c r="C333" s="901"/>
      <c r="D333" s="901"/>
      <c r="E333" s="901"/>
      <c r="F333" s="901"/>
      <c r="G333" s="901"/>
      <c r="H333" s="901"/>
      <c r="I333" s="901"/>
      <c r="J333" s="901"/>
      <c r="K333" s="901"/>
      <c r="L333" s="901"/>
      <c r="M333" s="901"/>
      <c r="N333" s="901"/>
      <c r="O333" s="900"/>
      <c r="P333" s="900"/>
      <c r="Q333" s="898"/>
      <c r="R333" s="901"/>
      <c r="S333" s="898"/>
      <c r="T333" s="900"/>
      <c r="U333" s="900"/>
      <c r="V333" s="900"/>
      <c r="W333" s="900"/>
      <c r="X333" s="900"/>
      <c r="Y333" s="901"/>
    </row>
    <row r="334" spans="1:25" x14ac:dyDescent="0.2">
      <c r="A334" s="897" t="s">
        <v>534</v>
      </c>
      <c r="C334" s="910"/>
      <c r="D334" s="910"/>
      <c r="E334" s="910"/>
      <c r="F334" s="910"/>
      <c r="G334" s="910"/>
      <c r="H334" s="910"/>
      <c r="I334" s="910"/>
      <c r="J334" s="910"/>
      <c r="K334" s="910"/>
      <c r="L334" s="910"/>
      <c r="M334" s="910"/>
      <c r="N334" s="910"/>
      <c r="O334" s="142">
        <f t="shared" ref="O334:O340" si="120">SUM(C334:N334)</f>
        <v>0</v>
      </c>
      <c r="P334" s="142"/>
      <c r="Q334" s="898"/>
      <c r="R334" s="901"/>
      <c r="S334" s="898"/>
      <c r="T334" s="142"/>
      <c r="U334" s="900">
        <f t="shared" ref="U334:U340" si="121">C334+D334+E334</f>
        <v>0</v>
      </c>
      <c r="V334" s="900">
        <f t="shared" ref="V334:V340" si="122">F334+G334+H334</f>
        <v>0</v>
      </c>
      <c r="W334" s="900">
        <f t="shared" ref="W334:W340" si="123">I334+J334+K334</f>
        <v>0</v>
      </c>
      <c r="X334" s="900">
        <f t="shared" ref="X334:X340" si="124">L334+M334+N334</f>
        <v>0</v>
      </c>
      <c r="Y334" s="901">
        <f t="shared" ref="Y334:Y340" si="125">SUM(U334:X334)</f>
        <v>0</v>
      </c>
    </row>
    <row r="335" spans="1:25" x14ac:dyDescent="0.2">
      <c r="A335" s="897" t="s">
        <v>535</v>
      </c>
      <c r="C335" s="910"/>
      <c r="D335" s="910"/>
      <c r="E335" s="910"/>
      <c r="F335" s="910"/>
      <c r="G335" s="910"/>
      <c r="H335" s="910"/>
      <c r="I335" s="910"/>
      <c r="J335" s="910"/>
      <c r="K335" s="910"/>
      <c r="L335" s="910"/>
      <c r="M335" s="910"/>
      <c r="N335" s="910"/>
      <c r="O335" s="142">
        <f t="shared" si="120"/>
        <v>0</v>
      </c>
      <c r="P335" s="142"/>
      <c r="Q335" s="898"/>
      <c r="R335" s="901"/>
      <c r="S335" s="898"/>
      <c r="T335" s="142"/>
      <c r="U335" s="900">
        <f t="shared" si="121"/>
        <v>0</v>
      </c>
      <c r="V335" s="900">
        <f t="shared" si="122"/>
        <v>0</v>
      </c>
      <c r="W335" s="900">
        <f t="shared" si="123"/>
        <v>0</v>
      </c>
      <c r="X335" s="900">
        <f t="shared" si="124"/>
        <v>0</v>
      </c>
      <c r="Y335" s="901">
        <f t="shared" si="125"/>
        <v>0</v>
      </c>
    </row>
    <row r="336" spans="1:25" x14ac:dyDescent="0.2">
      <c r="A336" s="897" t="s">
        <v>536</v>
      </c>
      <c r="C336" s="910"/>
      <c r="D336" s="910"/>
      <c r="E336" s="910"/>
      <c r="F336" s="910"/>
      <c r="G336" s="910"/>
      <c r="H336" s="910"/>
      <c r="I336" s="910"/>
      <c r="J336" s="910"/>
      <c r="K336" s="910"/>
      <c r="L336" s="910"/>
      <c r="M336" s="910"/>
      <c r="N336" s="910"/>
      <c r="O336" s="142">
        <f t="shared" si="120"/>
        <v>0</v>
      </c>
      <c r="P336" s="142"/>
      <c r="Q336" s="898"/>
      <c r="R336" s="901"/>
      <c r="S336" s="898"/>
      <c r="T336" s="142"/>
      <c r="U336" s="900">
        <f t="shared" si="121"/>
        <v>0</v>
      </c>
      <c r="V336" s="900">
        <f t="shared" si="122"/>
        <v>0</v>
      </c>
      <c r="W336" s="900">
        <f t="shared" si="123"/>
        <v>0</v>
      </c>
      <c r="X336" s="900">
        <f t="shared" si="124"/>
        <v>0</v>
      </c>
      <c r="Y336" s="901">
        <f t="shared" si="125"/>
        <v>0</v>
      </c>
    </row>
    <row r="337" spans="1:25" x14ac:dyDescent="0.2">
      <c r="A337" s="897" t="s">
        <v>537</v>
      </c>
      <c r="C337" s="910"/>
      <c r="D337" s="910"/>
      <c r="E337" s="910"/>
      <c r="F337" s="910"/>
      <c r="G337" s="910"/>
      <c r="H337" s="910"/>
      <c r="I337" s="910"/>
      <c r="J337" s="910"/>
      <c r="K337" s="910"/>
      <c r="L337" s="910"/>
      <c r="M337" s="910"/>
      <c r="N337" s="910"/>
      <c r="O337" s="142">
        <f t="shared" si="120"/>
        <v>0</v>
      </c>
      <c r="P337" s="142"/>
      <c r="Q337" s="898"/>
      <c r="R337" s="901"/>
      <c r="S337" s="898"/>
      <c r="T337" s="142"/>
      <c r="U337" s="900">
        <f t="shared" si="121"/>
        <v>0</v>
      </c>
      <c r="V337" s="900">
        <f t="shared" si="122"/>
        <v>0</v>
      </c>
      <c r="W337" s="900">
        <f t="shared" si="123"/>
        <v>0</v>
      </c>
      <c r="X337" s="900">
        <f t="shared" si="124"/>
        <v>0</v>
      </c>
      <c r="Y337" s="901">
        <f t="shared" si="125"/>
        <v>0</v>
      </c>
    </row>
    <row r="338" spans="1:25" x14ac:dyDescent="0.2">
      <c r="A338" s="897" t="s">
        <v>538</v>
      </c>
      <c r="C338" s="910"/>
      <c r="D338" s="910"/>
      <c r="E338" s="910"/>
      <c r="F338" s="910"/>
      <c r="G338" s="910"/>
      <c r="H338" s="910"/>
      <c r="I338" s="910"/>
      <c r="J338" s="910"/>
      <c r="K338" s="910"/>
      <c r="L338" s="910"/>
      <c r="M338" s="910"/>
      <c r="N338" s="910"/>
      <c r="O338" s="142">
        <f t="shared" si="120"/>
        <v>0</v>
      </c>
      <c r="P338" s="142"/>
      <c r="Q338" s="898"/>
      <c r="R338" s="901"/>
      <c r="S338" s="898"/>
      <c r="T338" s="142"/>
      <c r="U338" s="900">
        <f t="shared" si="121"/>
        <v>0</v>
      </c>
      <c r="V338" s="900">
        <f t="shared" si="122"/>
        <v>0</v>
      </c>
      <c r="W338" s="900">
        <f t="shared" si="123"/>
        <v>0</v>
      </c>
      <c r="X338" s="900">
        <f t="shared" si="124"/>
        <v>0</v>
      </c>
      <c r="Y338" s="901">
        <f t="shared" si="125"/>
        <v>0</v>
      </c>
    </row>
    <row r="339" spans="1:25" x14ac:dyDescent="0.2">
      <c r="A339" s="897" t="s">
        <v>539</v>
      </c>
      <c r="C339" s="910"/>
      <c r="D339" s="910"/>
      <c r="E339" s="910"/>
      <c r="F339" s="910"/>
      <c r="G339" s="910"/>
      <c r="H339" s="910"/>
      <c r="I339" s="910"/>
      <c r="J339" s="910"/>
      <c r="K339" s="910"/>
      <c r="L339" s="910"/>
      <c r="M339" s="910"/>
      <c r="N339" s="910"/>
      <c r="O339" s="142">
        <f t="shared" si="120"/>
        <v>0</v>
      </c>
      <c r="P339" s="142"/>
      <c r="Q339" s="898"/>
      <c r="R339" s="901"/>
      <c r="S339" s="898"/>
      <c r="T339" s="142"/>
      <c r="U339" s="900">
        <f t="shared" si="121"/>
        <v>0</v>
      </c>
      <c r="V339" s="900">
        <f t="shared" si="122"/>
        <v>0</v>
      </c>
      <c r="W339" s="900">
        <f t="shared" si="123"/>
        <v>0</v>
      </c>
      <c r="X339" s="900">
        <f t="shared" si="124"/>
        <v>0</v>
      </c>
      <c r="Y339" s="901">
        <f t="shared" si="125"/>
        <v>0</v>
      </c>
    </row>
    <row r="340" spans="1:25" s="913" customFormat="1" ht="12.75" customHeight="1" x14ac:dyDescent="0.2">
      <c r="A340" s="945" t="s">
        <v>540</v>
      </c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142">
        <f t="shared" si="120"/>
        <v>0</v>
      </c>
      <c r="P340" s="142"/>
      <c r="Q340" s="936"/>
      <c r="R340" s="924"/>
      <c r="S340" s="936"/>
      <c r="T340" s="142"/>
      <c r="U340" s="917">
        <f t="shared" si="121"/>
        <v>0</v>
      </c>
      <c r="V340" s="917">
        <f t="shared" si="122"/>
        <v>0</v>
      </c>
      <c r="W340" s="917">
        <f t="shared" si="123"/>
        <v>0</v>
      </c>
      <c r="X340" s="917">
        <f t="shared" si="124"/>
        <v>0</v>
      </c>
      <c r="Y340" s="901">
        <f t="shared" si="125"/>
        <v>0</v>
      </c>
    </row>
    <row r="341" spans="1:25" s="913" customFormat="1" ht="6" customHeight="1" thickBot="1" x14ac:dyDescent="0.25">
      <c r="A341" s="928"/>
      <c r="C341" s="919"/>
      <c r="D341" s="919"/>
      <c r="E341" s="919"/>
      <c r="F341" s="919"/>
      <c r="G341" s="919"/>
      <c r="H341" s="919"/>
      <c r="I341" s="919"/>
      <c r="J341" s="919"/>
      <c r="K341" s="919"/>
      <c r="L341" s="919"/>
      <c r="M341" s="919"/>
      <c r="N341" s="919"/>
      <c r="O341" s="917"/>
      <c r="P341" s="917"/>
      <c r="Q341" s="923"/>
      <c r="R341" s="919"/>
      <c r="S341" s="923"/>
      <c r="T341" s="917"/>
      <c r="U341" s="917"/>
      <c r="V341" s="917"/>
      <c r="W341" s="917"/>
      <c r="X341" s="917"/>
      <c r="Y341" s="919"/>
    </row>
    <row r="342" spans="1:25" s="913" customFormat="1" ht="12.75" customHeight="1" thickBot="1" x14ac:dyDescent="0.25">
      <c r="A342" s="946" t="s">
        <v>541</v>
      </c>
      <c r="C342" s="973">
        <f t="shared" ref="C342:O342" si="126">SUM(C331:C340)</f>
        <v>11959.029</v>
      </c>
      <c r="D342" s="974">
        <f t="shared" si="126"/>
        <v>15034.098</v>
      </c>
      <c r="E342" s="974">
        <f t="shared" si="126"/>
        <v>1338</v>
      </c>
      <c r="F342" s="974">
        <f t="shared" si="126"/>
        <v>12359</v>
      </c>
      <c r="G342" s="974">
        <f t="shared" si="126"/>
        <v>11795</v>
      </c>
      <c r="H342" s="974">
        <f t="shared" si="126"/>
        <v>9740</v>
      </c>
      <c r="I342" s="974">
        <f t="shared" si="126"/>
        <v>10603</v>
      </c>
      <c r="J342" s="974">
        <f t="shared" si="126"/>
        <v>9845</v>
      </c>
      <c r="K342" s="974">
        <f t="shared" si="126"/>
        <v>10087</v>
      </c>
      <c r="L342" s="974">
        <f t="shared" si="126"/>
        <v>9164</v>
      </c>
      <c r="M342" s="974">
        <f t="shared" si="126"/>
        <v>8328</v>
      </c>
      <c r="N342" s="974">
        <f t="shared" si="126"/>
        <v>9150</v>
      </c>
      <c r="O342" s="975">
        <f t="shared" si="126"/>
        <v>119402.12700000001</v>
      </c>
      <c r="P342" s="935"/>
      <c r="Q342" s="976"/>
      <c r="R342" s="935"/>
      <c r="S342" s="976"/>
      <c r="T342" s="935"/>
      <c r="U342" s="973">
        <f>SUM(U331:U340)</f>
        <v>28331.127</v>
      </c>
      <c r="V342" s="974">
        <f>SUM(V331:V340)</f>
        <v>33894</v>
      </c>
      <c r="W342" s="974" t="e">
        <f>SUM(W331:W340)</f>
        <v>#REF!</v>
      </c>
      <c r="X342" s="974">
        <f>SUM(X331:X340)</f>
        <v>26642</v>
      </c>
      <c r="Y342" s="975" t="e">
        <f>SUM(Y331:Y340)</f>
        <v>#REF!</v>
      </c>
    </row>
    <row r="343" spans="1:25" s="913" customFormat="1" ht="6" customHeight="1" x14ac:dyDescent="0.2">
      <c r="A343" s="946"/>
      <c r="C343" s="935"/>
      <c r="D343" s="935"/>
      <c r="E343" s="935"/>
      <c r="F343" s="935"/>
      <c r="G343" s="935"/>
      <c r="H343" s="935"/>
      <c r="I343" s="935"/>
      <c r="J343" s="935"/>
      <c r="K343" s="935"/>
      <c r="L343" s="935"/>
      <c r="M343" s="935"/>
      <c r="N343" s="935"/>
      <c r="O343" s="935"/>
      <c r="P343" s="935"/>
      <c r="Q343" s="976"/>
      <c r="R343" s="935"/>
      <c r="S343" s="976"/>
      <c r="T343" s="935"/>
      <c r="U343" s="935"/>
      <c r="V343" s="935"/>
      <c r="W343" s="935"/>
      <c r="X343" s="935"/>
      <c r="Y343" s="935"/>
    </row>
    <row r="344" spans="1:25" x14ac:dyDescent="0.2">
      <c r="A344" s="897" t="s">
        <v>542</v>
      </c>
      <c r="C344" s="900">
        <f>-IntDeduct!C7</f>
        <v>0</v>
      </c>
      <c r="D344" s="900">
        <f>-IntDeduct!D7</f>
        <v>0</v>
      </c>
      <c r="E344" s="900">
        <f>-IntDeduct!E7</f>
        <v>0</v>
      </c>
      <c r="F344" s="900">
        <f>-IntDeduct!F7</f>
        <v>0</v>
      </c>
      <c r="G344" s="900">
        <f>-IntDeduct!G7</f>
        <v>0</v>
      </c>
      <c r="H344" s="900">
        <f>-IntDeduct!H7</f>
        <v>0</v>
      </c>
      <c r="I344" s="900">
        <f>-IntDeduct!I7</f>
        <v>0</v>
      </c>
      <c r="J344" s="900">
        <f>-IntDeduct!J7</f>
        <v>0</v>
      </c>
      <c r="K344" s="900">
        <f>-IntDeduct!K7</f>
        <v>0</v>
      </c>
      <c r="L344" s="900">
        <f>-IntDeduct!L7</f>
        <v>0</v>
      </c>
      <c r="M344" s="900">
        <f>-IntDeduct!M7</f>
        <v>0</v>
      </c>
      <c r="N344" s="900">
        <f>-IntDeduct!N7</f>
        <v>0</v>
      </c>
      <c r="O344" s="142">
        <f t="shared" ref="O344:O352" si="127">SUM(C344:N344)</f>
        <v>0</v>
      </c>
      <c r="P344" s="142"/>
      <c r="Q344" s="977"/>
      <c r="R344" s="961" t="s">
        <v>543</v>
      </c>
      <c r="S344" s="977"/>
      <c r="T344" s="142"/>
      <c r="U344" s="917">
        <f t="shared" ref="U344:U352" si="128">C344+D344+E344</f>
        <v>0</v>
      </c>
      <c r="V344" s="917">
        <f t="shared" ref="V344:V352" si="129">F344+G344+H344</f>
        <v>0</v>
      </c>
      <c r="W344" s="917">
        <f t="shared" ref="W344:W352" si="130">I344+J344+K344</f>
        <v>0</v>
      </c>
      <c r="X344" s="917">
        <f t="shared" ref="X344:X352" si="131">L344+M344+N344</f>
        <v>0</v>
      </c>
      <c r="Y344" s="901">
        <f t="shared" ref="Y344:Y352" si="132">SUM(U344:X344)</f>
        <v>0</v>
      </c>
    </row>
    <row r="345" spans="1:25" x14ac:dyDescent="0.2">
      <c r="A345" s="897" t="s">
        <v>544</v>
      </c>
      <c r="C345" s="900">
        <f>-IntDeduct!C8</f>
        <v>0</v>
      </c>
      <c r="D345" s="900">
        <f>-IntDeduct!D8</f>
        <v>0</v>
      </c>
      <c r="E345" s="900">
        <f>-IntDeduct!E8</f>
        <v>0</v>
      </c>
      <c r="F345" s="900">
        <f>-IntDeduct!F8</f>
        <v>0</v>
      </c>
      <c r="G345" s="900">
        <f>-IntDeduct!G8</f>
        <v>0</v>
      </c>
      <c r="H345" s="900">
        <f>-IntDeduct!H8</f>
        <v>0</v>
      </c>
      <c r="I345" s="900">
        <f>-IntDeduct!I8</f>
        <v>0</v>
      </c>
      <c r="J345" s="900">
        <f>-IntDeduct!J8</f>
        <v>0</v>
      </c>
      <c r="K345" s="900">
        <f>-IntDeduct!K8</f>
        <v>0</v>
      </c>
      <c r="L345" s="900">
        <f>-IntDeduct!L8</f>
        <v>0</v>
      </c>
      <c r="M345" s="900">
        <f>-IntDeduct!M8</f>
        <v>0</v>
      </c>
      <c r="N345" s="900">
        <f>-IntDeduct!N8</f>
        <v>0</v>
      </c>
      <c r="O345" s="142">
        <f t="shared" si="127"/>
        <v>0</v>
      </c>
      <c r="P345" s="142"/>
      <c r="Q345" s="977"/>
      <c r="R345" s="961" t="s">
        <v>543</v>
      </c>
      <c r="S345" s="977"/>
      <c r="T345" s="142"/>
      <c r="U345" s="917">
        <f t="shared" si="128"/>
        <v>0</v>
      </c>
      <c r="V345" s="917">
        <f t="shared" si="129"/>
        <v>0</v>
      </c>
      <c r="W345" s="917">
        <f t="shared" si="130"/>
        <v>0</v>
      </c>
      <c r="X345" s="917">
        <f t="shared" si="131"/>
        <v>0</v>
      </c>
      <c r="Y345" s="901">
        <f t="shared" si="132"/>
        <v>0</v>
      </c>
    </row>
    <row r="346" spans="1:25" x14ac:dyDescent="0.2">
      <c r="A346" s="897" t="s">
        <v>545</v>
      </c>
      <c r="C346" s="900">
        <f>-IntDeduct!C9</f>
        <v>0</v>
      </c>
      <c r="D346" s="900">
        <f>-IntDeduct!D9</f>
        <v>0</v>
      </c>
      <c r="E346" s="900">
        <f>-IntDeduct!E9</f>
        <v>0</v>
      </c>
      <c r="F346" s="900">
        <f>-IntDeduct!F9</f>
        <v>0</v>
      </c>
      <c r="G346" s="900">
        <f>-IntDeduct!G9</f>
        <v>0</v>
      </c>
      <c r="H346" s="900">
        <f>-IntDeduct!H9</f>
        <v>0</v>
      </c>
      <c r="I346" s="900">
        <f>-IntDeduct!I9</f>
        <v>0</v>
      </c>
      <c r="J346" s="900">
        <f>-IntDeduct!J9</f>
        <v>0</v>
      </c>
      <c r="K346" s="900">
        <f>-IntDeduct!K9</f>
        <v>0</v>
      </c>
      <c r="L346" s="900">
        <f>-IntDeduct!L9</f>
        <v>0</v>
      </c>
      <c r="M346" s="900">
        <f>-IntDeduct!M9</f>
        <v>0</v>
      </c>
      <c r="N346" s="900">
        <f>-IntDeduct!N9</f>
        <v>0</v>
      </c>
      <c r="O346" s="142">
        <f t="shared" si="127"/>
        <v>0</v>
      </c>
      <c r="P346" s="142"/>
      <c r="Q346" s="977"/>
      <c r="R346" s="961" t="s">
        <v>543</v>
      </c>
      <c r="S346" s="977"/>
      <c r="T346" s="142"/>
      <c r="U346" s="917">
        <f t="shared" si="128"/>
        <v>0</v>
      </c>
      <c r="V346" s="917">
        <f t="shared" si="129"/>
        <v>0</v>
      </c>
      <c r="W346" s="917">
        <f t="shared" si="130"/>
        <v>0</v>
      </c>
      <c r="X346" s="917">
        <f t="shared" si="131"/>
        <v>0</v>
      </c>
      <c r="Y346" s="901">
        <f t="shared" si="132"/>
        <v>0</v>
      </c>
    </row>
    <row r="347" spans="1:25" x14ac:dyDescent="0.2">
      <c r="A347" s="897" t="s">
        <v>546</v>
      </c>
      <c r="C347" s="900">
        <f>-IntDeduct!C10</f>
        <v>0</v>
      </c>
      <c r="D347" s="900">
        <f>-IntDeduct!D10</f>
        <v>0</v>
      </c>
      <c r="E347" s="900">
        <f>-IntDeduct!E10</f>
        <v>0</v>
      </c>
      <c r="F347" s="900">
        <f>-IntDeduct!F10</f>
        <v>0</v>
      </c>
      <c r="G347" s="900">
        <f>-IntDeduct!G10</f>
        <v>0</v>
      </c>
      <c r="H347" s="900">
        <f>-IntDeduct!H10</f>
        <v>0</v>
      </c>
      <c r="I347" s="900">
        <f>-IntDeduct!I10</f>
        <v>0</v>
      </c>
      <c r="J347" s="900">
        <f>-IntDeduct!J10</f>
        <v>0</v>
      </c>
      <c r="K347" s="900">
        <f>-IntDeduct!K10</f>
        <v>0</v>
      </c>
      <c r="L347" s="900">
        <f>-IntDeduct!L10</f>
        <v>0</v>
      </c>
      <c r="M347" s="900">
        <f>-IntDeduct!M10</f>
        <v>0</v>
      </c>
      <c r="N347" s="900">
        <f>-IntDeduct!N10</f>
        <v>0</v>
      </c>
      <c r="O347" s="142">
        <f t="shared" si="127"/>
        <v>0</v>
      </c>
      <c r="P347" s="142"/>
      <c r="Q347" s="977"/>
      <c r="R347" s="961" t="s">
        <v>543</v>
      </c>
      <c r="S347" s="977"/>
      <c r="T347" s="142"/>
      <c r="U347" s="917">
        <f t="shared" si="128"/>
        <v>0</v>
      </c>
      <c r="V347" s="917">
        <f t="shared" si="129"/>
        <v>0</v>
      </c>
      <c r="W347" s="917">
        <f t="shared" si="130"/>
        <v>0</v>
      </c>
      <c r="X347" s="917">
        <f t="shared" si="131"/>
        <v>0</v>
      </c>
      <c r="Y347" s="901">
        <f t="shared" si="132"/>
        <v>0</v>
      </c>
    </row>
    <row r="348" spans="1:25" x14ac:dyDescent="0.2">
      <c r="A348" s="897" t="s">
        <v>50</v>
      </c>
      <c r="C348" s="900">
        <f>-IntDeduct!C11</f>
        <v>0</v>
      </c>
      <c r="D348" s="900">
        <f>-IntDeduct!D11</f>
        <v>0</v>
      </c>
      <c r="E348" s="900">
        <f>-IntDeduct!E11</f>
        <v>0</v>
      </c>
      <c r="F348" s="900">
        <f>-IntDeduct!F11</f>
        <v>0</v>
      </c>
      <c r="G348" s="900">
        <f>-IntDeduct!G11</f>
        <v>0</v>
      </c>
      <c r="H348" s="900">
        <f>-IntDeduct!H11</f>
        <v>0</v>
      </c>
      <c r="I348" s="900">
        <f>-IntDeduct!I11</f>
        <v>0</v>
      </c>
      <c r="J348" s="900">
        <f>-IntDeduct!J11</f>
        <v>0</v>
      </c>
      <c r="K348" s="900">
        <f>-IntDeduct!K11</f>
        <v>0</v>
      </c>
      <c r="L348" s="900">
        <f>-IntDeduct!L11</f>
        <v>0</v>
      </c>
      <c r="M348" s="900">
        <f>-IntDeduct!M11</f>
        <v>0</v>
      </c>
      <c r="N348" s="900">
        <f>-IntDeduct!N11</f>
        <v>0</v>
      </c>
      <c r="O348" s="142">
        <f t="shared" si="127"/>
        <v>0</v>
      </c>
      <c r="P348" s="142"/>
      <c r="Q348" s="977"/>
      <c r="R348" s="961" t="s">
        <v>543</v>
      </c>
      <c r="S348" s="977"/>
      <c r="T348" s="142"/>
      <c r="U348" s="917">
        <f t="shared" si="128"/>
        <v>0</v>
      </c>
      <c r="V348" s="917">
        <f t="shared" si="129"/>
        <v>0</v>
      </c>
      <c r="W348" s="917">
        <f t="shared" si="130"/>
        <v>0</v>
      </c>
      <c r="X348" s="917">
        <f t="shared" si="131"/>
        <v>0</v>
      </c>
      <c r="Y348" s="901">
        <f t="shared" si="132"/>
        <v>0</v>
      </c>
    </row>
    <row r="349" spans="1:25" x14ac:dyDescent="0.2">
      <c r="A349" s="897" t="s">
        <v>547</v>
      </c>
      <c r="C349" s="900">
        <f>-IntDeduct!C12</f>
        <v>1</v>
      </c>
      <c r="D349" s="900">
        <f>-IntDeduct!D12</f>
        <v>1</v>
      </c>
      <c r="E349" s="900">
        <f>-IntDeduct!E12</f>
        <v>1</v>
      </c>
      <c r="F349" s="900">
        <f>-IntDeduct!F12</f>
        <v>1</v>
      </c>
      <c r="G349" s="900">
        <f>-IntDeduct!G12</f>
        <v>1</v>
      </c>
      <c r="H349" s="900">
        <f>-IntDeduct!H12</f>
        <v>1</v>
      </c>
      <c r="I349" s="900">
        <f>-IntDeduct!I12</f>
        <v>5</v>
      </c>
      <c r="J349" s="900">
        <f>-IntDeduct!J12</f>
        <v>4</v>
      </c>
      <c r="K349" s="900">
        <f>-IntDeduct!K12</f>
        <v>3</v>
      </c>
      <c r="L349" s="900">
        <f>-IntDeduct!L12</f>
        <v>2</v>
      </c>
      <c r="M349" s="900">
        <f>-IntDeduct!M12</f>
        <v>3</v>
      </c>
      <c r="N349" s="900">
        <f>-IntDeduct!N12</f>
        <v>3</v>
      </c>
      <c r="O349" s="142">
        <f t="shared" si="127"/>
        <v>26</v>
      </c>
      <c r="P349" s="142"/>
      <c r="Q349" s="977"/>
      <c r="R349" s="961" t="s">
        <v>543</v>
      </c>
      <c r="S349" s="977"/>
      <c r="T349" s="142"/>
      <c r="U349" s="917">
        <f t="shared" si="128"/>
        <v>3</v>
      </c>
      <c r="V349" s="917">
        <f t="shared" si="129"/>
        <v>3</v>
      </c>
      <c r="W349" s="917">
        <f t="shared" si="130"/>
        <v>12</v>
      </c>
      <c r="X349" s="917">
        <f t="shared" si="131"/>
        <v>8</v>
      </c>
      <c r="Y349" s="901">
        <f t="shared" si="132"/>
        <v>26</v>
      </c>
    </row>
    <row r="350" spans="1:25" x14ac:dyDescent="0.2">
      <c r="A350" s="897" t="s">
        <v>548</v>
      </c>
      <c r="C350" s="900">
        <f>-IntDeduct!C13</f>
        <v>0</v>
      </c>
      <c r="D350" s="900">
        <f>-IntDeduct!D13</f>
        <v>0</v>
      </c>
      <c r="E350" s="900">
        <f>-IntDeduct!E13</f>
        <v>0</v>
      </c>
      <c r="F350" s="900">
        <f>-IntDeduct!F13</f>
        <v>0</v>
      </c>
      <c r="G350" s="900">
        <f>-IntDeduct!G13</f>
        <v>0</v>
      </c>
      <c r="H350" s="900">
        <f>-IntDeduct!H13</f>
        <v>0</v>
      </c>
      <c r="I350" s="900">
        <f>-IntDeduct!I13</f>
        <v>0</v>
      </c>
      <c r="J350" s="900">
        <f>-IntDeduct!J13</f>
        <v>0</v>
      </c>
      <c r="K350" s="900">
        <f>-IntDeduct!K13</f>
        <v>0</v>
      </c>
      <c r="L350" s="900">
        <f>-IntDeduct!L13</f>
        <v>0</v>
      </c>
      <c r="M350" s="900">
        <f>-IntDeduct!M13</f>
        <v>0</v>
      </c>
      <c r="N350" s="900">
        <f>-IntDeduct!N13</f>
        <v>0</v>
      </c>
      <c r="O350" s="142">
        <f t="shared" si="127"/>
        <v>0</v>
      </c>
      <c r="P350" s="142"/>
      <c r="Q350" s="977"/>
      <c r="R350" s="961" t="s">
        <v>543</v>
      </c>
      <c r="S350" s="977"/>
      <c r="T350" s="142"/>
      <c r="U350" s="917">
        <f t="shared" si="128"/>
        <v>0</v>
      </c>
      <c r="V350" s="917">
        <f t="shared" si="129"/>
        <v>0</v>
      </c>
      <c r="W350" s="917">
        <f t="shared" si="130"/>
        <v>0</v>
      </c>
      <c r="X350" s="917">
        <f t="shared" si="131"/>
        <v>0</v>
      </c>
      <c r="Y350" s="901">
        <f t="shared" si="132"/>
        <v>0</v>
      </c>
    </row>
    <row r="351" spans="1:25" x14ac:dyDescent="0.2">
      <c r="A351" s="897" t="s">
        <v>368</v>
      </c>
      <c r="C351" s="900">
        <f>-IntDeduct!C14</f>
        <v>0</v>
      </c>
      <c r="D351" s="900">
        <f>-IntDeduct!D14</f>
        <v>1</v>
      </c>
      <c r="E351" s="900">
        <f>-IntDeduct!E14</f>
        <v>0</v>
      </c>
      <c r="F351" s="900">
        <f>-IntDeduct!F14</f>
        <v>1</v>
      </c>
      <c r="G351" s="900">
        <f>-IntDeduct!G14</f>
        <v>0</v>
      </c>
      <c r="H351" s="900">
        <f>-IntDeduct!H14</f>
        <v>0</v>
      </c>
      <c r="I351" s="900">
        <f>-IntDeduct!I14</f>
        <v>0</v>
      </c>
      <c r="J351" s="900">
        <f>-IntDeduct!J14</f>
        <v>0</v>
      </c>
      <c r="K351" s="900">
        <f>-IntDeduct!K14</f>
        <v>0</v>
      </c>
      <c r="L351" s="900">
        <f>-IntDeduct!L14</f>
        <v>0</v>
      </c>
      <c r="M351" s="900">
        <f>-IntDeduct!M14</f>
        <v>0</v>
      </c>
      <c r="N351" s="900">
        <f>-IntDeduct!N14</f>
        <v>0</v>
      </c>
      <c r="O351" s="142">
        <f t="shared" si="127"/>
        <v>2</v>
      </c>
      <c r="P351" s="142"/>
      <c r="Q351" s="977"/>
      <c r="R351" s="961" t="s">
        <v>543</v>
      </c>
      <c r="S351" s="977"/>
      <c r="T351" s="142"/>
      <c r="U351" s="917">
        <f t="shared" si="128"/>
        <v>1</v>
      </c>
      <c r="V351" s="917">
        <f t="shared" si="129"/>
        <v>1</v>
      </c>
      <c r="W351" s="917">
        <f t="shared" si="130"/>
        <v>0</v>
      </c>
      <c r="X351" s="917">
        <f t="shared" si="131"/>
        <v>0</v>
      </c>
      <c r="Y351" s="901">
        <f t="shared" si="132"/>
        <v>2</v>
      </c>
    </row>
    <row r="352" spans="1:25" x14ac:dyDescent="0.2">
      <c r="A352" s="897" t="s">
        <v>359</v>
      </c>
      <c r="C352" s="900">
        <f>-IntDeduct!C15</f>
        <v>0</v>
      </c>
      <c r="D352" s="900">
        <f>-IntDeduct!D15</f>
        <v>0</v>
      </c>
      <c r="E352" s="900">
        <f>-IntDeduct!E15</f>
        <v>0</v>
      </c>
      <c r="F352" s="900">
        <f>-IntDeduct!F15</f>
        <v>0</v>
      </c>
      <c r="G352" s="900">
        <f>-IntDeduct!G15</f>
        <v>0</v>
      </c>
      <c r="H352" s="900">
        <f>-IntDeduct!H15</f>
        <v>0</v>
      </c>
      <c r="I352" s="900">
        <f>-IntDeduct!I15</f>
        <v>0</v>
      </c>
      <c r="J352" s="900">
        <f>-IntDeduct!J15</f>
        <v>0</v>
      </c>
      <c r="K352" s="900">
        <f>-IntDeduct!K15</f>
        <v>0</v>
      </c>
      <c r="L352" s="900">
        <f>-IntDeduct!L15</f>
        <v>0</v>
      </c>
      <c r="M352" s="900">
        <f>-IntDeduct!M15</f>
        <v>0</v>
      </c>
      <c r="N352" s="900">
        <f>-IntDeduct!N15</f>
        <v>0</v>
      </c>
      <c r="O352" s="143">
        <f t="shared" si="127"/>
        <v>0</v>
      </c>
      <c r="P352" s="142"/>
      <c r="Q352" s="977"/>
      <c r="R352" s="961" t="s">
        <v>543</v>
      </c>
      <c r="S352" s="977"/>
      <c r="T352" s="142"/>
      <c r="U352" s="960">
        <f t="shared" si="128"/>
        <v>0</v>
      </c>
      <c r="V352" s="960">
        <f t="shared" si="129"/>
        <v>0</v>
      </c>
      <c r="W352" s="960">
        <f t="shared" si="130"/>
        <v>0</v>
      </c>
      <c r="X352" s="960">
        <f t="shared" si="131"/>
        <v>0</v>
      </c>
      <c r="Y352" s="908">
        <f t="shared" si="132"/>
        <v>0</v>
      </c>
    </row>
    <row r="353" spans="1:25" x14ac:dyDescent="0.2">
      <c r="A353" s="897" t="s">
        <v>203</v>
      </c>
      <c r="C353" s="907">
        <f>SUM(C344:C352)</f>
        <v>1</v>
      </c>
      <c r="D353" s="907">
        <f t="shared" ref="D353:O353" si="133">SUM(D344:D352)</f>
        <v>2</v>
      </c>
      <c r="E353" s="907">
        <f t="shared" si="133"/>
        <v>1</v>
      </c>
      <c r="F353" s="907">
        <f t="shared" si="133"/>
        <v>2</v>
      </c>
      <c r="G353" s="907">
        <f t="shared" si="133"/>
        <v>1</v>
      </c>
      <c r="H353" s="907">
        <f t="shared" si="133"/>
        <v>1</v>
      </c>
      <c r="I353" s="907">
        <f t="shared" si="133"/>
        <v>5</v>
      </c>
      <c r="J353" s="907">
        <f t="shared" si="133"/>
        <v>4</v>
      </c>
      <c r="K353" s="907">
        <f t="shared" si="133"/>
        <v>3</v>
      </c>
      <c r="L353" s="907">
        <f t="shared" si="133"/>
        <v>2</v>
      </c>
      <c r="M353" s="907">
        <f t="shared" si="133"/>
        <v>3</v>
      </c>
      <c r="N353" s="907">
        <f t="shared" si="133"/>
        <v>3</v>
      </c>
      <c r="O353" s="907">
        <f t="shared" si="133"/>
        <v>28</v>
      </c>
      <c r="P353" s="142"/>
      <c r="Q353" s="977"/>
      <c r="R353" s="961"/>
      <c r="S353" s="977"/>
      <c r="T353" s="142"/>
      <c r="U353" s="907">
        <f>SUM(U344:U352)</f>
        <v>4</v>
      </c>
      <c r="V353" s="907">
        <f>SUM(V344:V352)</f>
        <v>4</v>
      </c>
      <c r="W353" s="907">
        <f>SUM(W344:W352)</f>
        <v>12</v>
      </c>
      <c r="X353" s="907">
        <f>SUM(X344:X352)</f>
        <v>8</v>
      </c>
      <c r="Y353" s="907">
        <f>SUM(Y344:Y352)</f>
        <v>28</v>
      </c>
    </row>
    <row r="354" spans="1:25" ht="6" customHeight="1" x14ac:dyDescent="0.2">
      <c r="A354" s="897"/>
      <c r="C354" s="978"/>
      <c r="D354" s="978"/>
      <c r="E354" s="978"/>
      <c r="F354" s="978"/>
      <c r="G354" s="978"/>
      <c r="H354" s="978"/>
      <c r="I354" s="978"/>
      <c r="J354" s="978"/>
      <c r="K354" s="978"/>
      <c r="L354" s="978"/>
      <c r="M354" s="978"/>
      <c r="N354" s="978"/>
      <c r="O354" s="978"/>
      <c r="P354" s="978"/>
      <c r="Q354" s="977"/>
      <c r="R354" s="961"/>
      <c r="S354" s="977"/>
      <c r="T354" s="978"/>
      <c r="U354" s="978"/>
      <c r="V354" s="978"/>
      <c r="W354" s="978"/>
      <c r="X354" s="978"/>
      <c r="Y354" s="978"/>
    </row>
    <row r="355" spans="1:25" x14ac:dyDescent="0.2">
      <c r="A355" s="897" t="s">
        <v>549</v>
      </c>
      <c r="C355" s="900">
        <f>-IntDeduct!C24</f>
        <v>0</v>
      </c>
      <c r="D355" s="900">
        <f>-IntDeduct!D24</f>
        <v>0</v>
      </c>
      <c r="E355" s="900">
        <f>-IntDeduct!E24</f>
        <v>5198</v>
      </c>
      <c r="F355" s="900">
        <f>-IntDeduct!F24</f>
        <v>1785</v>
      </c>
      <c r="G355" s="900">
        <f>-IntDeduct!G24</f>
        <v>1429</v>
      </c>
      <c r="H355" s="900">
        <f>-IntDeduct!H24</f>
        <v>1319</v>
      </c>
      <c r="I355" s="900">
        <f>-IntDeduct!I24</f>
        <v>825</v>
      </c>
      <c r="J355" s="900">
        <f>-IntDeduct!J24</f>
        <v>825</v>
      </c>
      <c r="K355" s="900">
        <f>-IntDeduct!K24</f>
        <v>770</v>
      </c>
      <c r="L355" s="900">
        <f>-IntDeduct!L24</f>
        <v>788</v>
      </c>
      <c r="M355" s="900">
        <f>-IntDeduct!M24</f>
        <v>743</v>
      </c>
      <c r="N355" s="900">
        <f>-IntDeduct!N24</f>
        <v>730</v>
      </c>
      <c r="O355" s="142">
        <f>SUM(C355:N355)</f>
        <v>14412</v>
      </c>
      <c r="P355" s="142"/>
      <c r="Q355" s="977"/>
      <c r="R355" s="957" t="s">
        <v>550</v>
      </c>
      <c r="S355" s="977"/>
      <c r="T355" s="142"/>
      <c r="U355" s="917">
        <f>C355+D355+E355</f>
        <v>5198</v>
      </c>
      <c r="V355" s="917">
        <f>F355+G355+H355</f>
        <v>4533</v>
      </c>
      <c r="W355" s="917">
        <f>I355+J355+K355</f>
        <v>2420</v>
      </c>
      <c r="X355" s="917">
        <f>L355+M355+N355</f>
        <v>2261</v>
      </c>
      <c r="Y355" s="901">
        <f>SUM(U355:X355)</f>
        <v>14412</v>
      </c>
    </row>
    <row r="356" spans="1:25" ht="6" customHeight="1" x14ac:dyDescent="0.2">
      <c r="A356" s="897"/>
      <c r="C356" s="978"/>
      <c r="D356" s="978"/>
      <c r="E356" s="978"/>
      <c r="F356" s="978"/>
      <c r="G356" s="978"/>
      <c r="H356" s="978"/>
      <c r="I356" s="978"/>
      <c r="J356" s="978"/>
      <c r="K356" s="978"/>
      <c r="L356" s="978"/>
      <c r="M356" s="978"/>
      <c r="N356" s="978"/>
      <c r="O356" s="978"/>
      <c r="P356" s="978"/>
      <c r="Q356" s="977"/>
      <c r="R356" s="961"/>
      <c r="S356" s="977"/>
      <c r="T356" s="978"/>
      <c r="U356" s="978"/>
      <c r="V356" s="978"/>
      <c r="W356" s="978"/>
      <c r="X356" s="978"/>
      <c r="Y356" s="978"/>
    </row>
    <row r="357" spans="1:25" x14ac:dyDescent="0.2">
      <c r="A357" s="897" t="s">
        <v>551</v>
      </c>
      <c r="C357" s="900">
        <f>-IntDeduct!C21</f>
        <v>-118</v>
      </c>
      <c r="D357" s="900">
        <f>-IntDeduct!D21</f>
        <v>-118</v>
      </c>
      <c r="E357" s="900">
        <f>-IntDeduct!E21</f>
        <v>-119</v>
      </c>
      <c r="F357" s="900">
        <f>-IntDeduct!F21</f>
        <v>-118</v>
      </c>
      <c r="G357" s="900">
        <f>-IntDeduct!G21</f>
        <v>-118</v>
      </c>
      <c r="H357" s="900">
        <f>-IntDeduct!H21</f>
        <v>-118</v>
      </c>
      <c r="I357" s="900">
        <f>-IntDeduct!I21</f>
        <v>-118</v>
      </c>
      <c r="J357" s="900">
        <f>-IntDeduct!J21</f>
        <v>-118</v>
      </c>
      <c r="K357" s="900">
        <f>-IntDeduct!K21</f>
        <v>-119</v>
      </c>
      <c r="L357" s="900">
        <f>-IntDeduct!L21</f>
        <v>-118</v>
      </c>
      <c r="M357" s="900">
        <f>-IntDeduct!M21</f>
        <v>-89</v>
      </c>
      <c r="N357" s="900">
        <f>-IntDeduct!N21</f>
        <v>-89</v>
      </c>
      <c r="O357" s="142">
        <f>SUM(C357:N357)</f>
        <v>-1360</v>
      </c>
      <c r="P357" s="142"/>
      <c r="Q357" s="977"/>
      <c r="R357" s="961" t="s">
        <v>543</v>
      </c>
      <c r="S357" s="977"/>
      <c r="T357" s="142"/>
      <c r="U357" s="917">
        <f>C357+D357+E357</f>
        <v>-355</v>
      </c>
      <c r="V357" s="917">
        <f>F357+G357+H357</f>
        <v>-354</v>
      </c>
      <c r="W357" s="917">
        <f>I357+J357+K357</f>
        <v>-355</v>
      </c>
      <c r="X357" s="917">
        <f>L357+M357+N357</f>
        <v>-296</v>
      </c>
      <c r="Y357" s="901">
        <f>SUM(U357:X357)</f>
        <v>-1360</v>
      </c>
    </row>
    <row r="358" spans="1:25" x14ac:dyDescent="0.2">
      <c r="A358" s="897" t="s">
        <v>552</v>
      </c>
      <c r="C358" s="900">
        <f>-IntDeduct!C22</f>
        <v>-1</v>
      </c>
      <c r="D358" s="900">
        <f>-IntDeduct!D22</f>
        <v>-1</v>
      </c>
      <c r="E358" s="900">
        <f>-IntDeduct!E22</f>
        <v>-1</v>
      </c>
      <c r="F358" s="900">
        <f>-IntDeduct!F22</f>
        <v>-1</v>
      </c>
      <c r="G358" s="900">
        <f>-IntDeduct!G22</f>
        <v>-1</v>
      </c>
      <c r="H358" s="900">
        <f>-IntDeduct!H22</f>
        <v>-1</v>
      </c>
      <c r="I358" s="900">
        <f>-IntDeduct!I22</f>
        <v>-1</v>
      </c>
      <c r="J358" s="900">
        <f>-IntDeduct!J22</f>
        <v>-1</v>
      </c>
      <c r="K358" s="900">
        <f>-IntDeduct!K22</f>
        <v>-1</v>
      </c>
      <c r="L358" s="900">
        <f>-IntDeduct!L22</f>
        <v>-1</v>
      </c>
      <c r="M358" s="900">
        <f>-IntDeduct!M22</f>
        <v>-1</v>
      </c>
      <c r="N358" s="900">
        <f>-IntDeduct!N22</f>
        <v>-1</v>
      </c>
      <c r="O358" s="142">
        <f>SUM(C358:N358)</f>
        <v>-12</v>
      </c>
      <c r="P358" s="142"/>
      <c r="Q358" s="977"/>
      <c r="R358" s="961" t="s">
        <v>543</v>
      </c>
      <c r="S358" s="977"/>
      <c r="T358" s="142"/>
      <c r="U358" s="917">
        <f>C358+D358+E358</f>
        <v>-3</v>
      </c>
      <c r="V358" s="917">
        <f>F358+G358+H358</f>
        <v>-3</v>
      </c>
      <c r="W358" s="917">
        <f>I358+J358+K358</f>
        <v>-3</v>
      </c>
      <c r="X358" s="917">
        <f>L358+M358+N358</f>
        <v>-3</v>
      </c>
      <c r="Y358" s="901">
        <f>SUM(U358:X358)</f>
        <v>-12</v>
      </c>
    </row>
    <row r="359" spans="1:25" x14ac:dyDescent="0.2">
      <c r="A359" s="897" t="s">
        <v>555</v>
      </c>
      <c r="C359" s="900">
        <f>-IntDeduct!C23</f>
        <v>-925</v>
      </c>
      <c r="D359" s="900">
        <f>-IntDeduct!D23</f>
        <v>-925</v>
      </c>
      <c r="E359" s="900">
        <f>-IntDeduct!E23</f>
        <v>-925</v>
      </c>
      <c r="F359" s="900">
        <f>-IntDeduct!F23</f>
        <v>-657</v>
      </c>
      <c r="G359" s="900">
        <f>-IntDeduct!G23</f>
        <v>-678</v>
      </c>
      <c r="H359" s="900">
        <f>-IntDeduct!H23</f>
        <v>-613</v>
      </c>
      <c r="I359" s="900">
        <f>-IntDeduct!I23</f>
        <v>0</v>
      </c>
      <c r="J359" s="900">
        <f>-IntDeduct!J23</f>
        <v>0</v>
      </c>
      <c r="K359" s="900">
        <f>-IntDeduct!K23</f>
        <v>0</v>
      </c>
      <c r="L359" s="900">
        <f>-IntDeduct!L23</f>
        <v>0</v>
      </c>
      <c r="M359" s="900">
        <f>-IntDeduct!M23</f>
        <v>0</v>
      </c>
      <c r="N359" s="900">
        <f>-IntDeduct!N23</f>
        <v>0</v>
      </c>
      <c r="O359" s="142">
        <f>SUM(C359:N359)</f>
        <v>-4723</v>
      </c>
      <c r="P359" s="142"/>
      <c r="Q359" s="977"/>
      <c r="R359" s="961" t="s">
        <v>543</v>
      </c>
      <c r="S359" s="977"/>
      <c r="T359" s="142"/>
      <c r="U359" s="917">
        <f>C359+D359+E359</f>
        <v>-2775</v>
      </c>
      <c r="V359" s="917">
        <f>F359+G359+H359</f>
        <v>-1948</v>
      </c>
      <c r="W359" s="917">
        <f>I359+J359+K359</f>
        <v>0</v>
      </c>
      <c r="X359" s="917">
        <f>L359+M359+N359</f>
        <v>0</v>
      </c>
      <c r="Y359" s="901">
        <f>SUM(U359:X359)</f>
        <v>-4723</v>
      </c>
    </row>
    <row r="360" spans="1:25" x14ac:dyDescent="0.2">
      <c r="A360" s="897" t="s">
        <v>552</v>
      </c>
      <c r="C360" s="900"/>
      <c r="D360" s="900"/>
      <c r="E360" s="900"/>
      <c r="F360" s="900"/>
      <c r="G360" s="900"/>
      <c r="H360" s="900"/>
      <c r="I360" s="900"/>
      <c r="J360" s="900"/>
      <c r="K360" s="900"/>
      <c r="L360" s="900"/>
      <c r="M360" s="900"/>
      <c r="N360" s="900"/>
      <c r="O360" s="142">
        <f>SUM(C360:N360)</f>
        <v>0</v>
      </c>
      <c r="P360" s="142"/>
      <c r="Q360" s="977"/>
      <c r="R360" s="961" t="s">
        <v>543</v>
      </c>
      <c r="S360" s="977"/>
      <c r="T360" s="142"/>
      <c r="U360" s="917">
        <f>C360+D360+E360</f>
        <v>0</v>
      </c>
      <c r="V360" s="917">
        <f>F360+G360+H360</f>
        <v>0</v>
      </c>
      <c r="W360" s="917">
        <f>I360+J360+K360</f>
        <v>0</v>
      </c>
      <c r="X360" s="917">
        <f>L360+M360+N360</f>
        <v>0</v>
      </c>
      <c r="Y360" s="901">
        <f>SUM(U360:X360)</f>
        <v>0</v>
      </c>
    </row>
    <row r="361" spans="1:25" ht="6" customHeight="1" x14ac:dyDescent="0.2">
      <c r="A361" s="938"/>
      <c r="C361" s="978"/>
      <c r="D361" s="978"/>
      <c r="E361" s="978"/>
      <c r="F361" s="978"/>
      <c r="G361" s="978"/>
      <c r="H361" s="978"/>
      <c r="I361" s="978"/>
      <c r="J361" s="978"/>
      <c r="K361" s="978"/>
      <c r="L361" s="978"/>
      <c r="M361" s="978"/>
      <c r="N361" s="978"/>
      <c r="O361" s="978"/>
      <c r="P361" s="978"/>
      <c r="Q361" s="977"/>
      <c r="R361" s="961"/>
      <c r="S361" s="977"/>
      <c r="T361" s="978"/>
      <c r="U361" s="978"/>
      <c r="V361" s="978"/>
      <c r="W361" s="978"/>
      <c r="X361" s="978"/>
      <c r="Y361" s="978"/>
    </row>
    <row r="362" spans="1:25" x14ac:dyDescent="0.2">
      <c r="A362" s="897" t="s">
        <v>269</v>
      </c>
      <c r="C362" s="900">
        <f>-IntDeduct!C31</f>
        <v>11</v>
      </c>
      <c r="D362" s="900">
        <f>-IntDeduct!D31</f>
        <v>10</v>
      </c>
      <c r="E362" s="900">
        <f>-IntDeduct!E31</f>
        <v>9</v>
      </c>
      <c r="F362" s="900">
        <f>-IntDeduct!F31</f>
        <v>7</v>
      </c>
      <c r="G362" s="900">
        <f>-IntDeduct!G31</f>
        <v>8</v>
      </c>
      <c r="H362" s="900">
        <f>-IntDeduct!H31</f>
        <v>11</v>
      </c>
      <c r="I362" s="900">
        <f>-IntDeduct!I31</f>
        <v>35</v>
      </c>
      <c r="J362" s="900">
        <f>-IntDeduct!J31</f>
        <v>34</v>
      </c>
      <c r="K362" s="900">
        <f>-IntDeduct!K31</f>
        <v>25</v>
      </c>
      <c r="L362" s="900">
        <f>-IntDeduct!L31</f>
        <v>15</v>
      </c>
      <c r="M362" s="900">
        <f>-IntDeduct!M31</f>
        <v>27</v>
      </c>
      <c r="N362" s="900">
        <f>-IntDeduct!N31</f>
        <v>22</v>
      </c>
      <c r="O362" s="142">
        <f>SUM(C362:N362)</f>
        <v>214</v>
      </c>
      <c r="P362" s="142"/>
      <c r="Q362" s="927"/>
      <c r="R362" s="924" t="s">
        <v>125</v>
      </c>
      <c r="S362" s="927"/>
      <c r="T362" s="142"/>
      <c r="U362" s="917">
        <f>C362+D362+E362</f>
        <v>30</v>
      </c>
      <c r="V362" s="917">
        <f>F362+G362+H362</f>
        <v>26</v>
      </c>
      <c r="W362" s="917">
        <f>I362+J362+K362</f>
        <v>94</v>
      </c>
      <c r="X362" s="917">
        <f>L362+M362+N362</f>
        <v>64</v>
      </c>
      <c r="Y362" s="901">
        <f>SUM(U362:X362)</f>
        <v>214</v>
      </c>
    </row>
    <row r="363" spans="1:25" ht="6" customHeight="1" thickBot="1" x14ac:dyDescent="0.25">
      <c r="A363" s="897"/>
      <c r="C363" s="900"/>
      <c r="D363" s="900"/>
      <c r="E363" s="900"/>
      <c r="F363" s="900"/>
      <c r="G363" s="900"/>
      <c r="H363" s="900"/>
      <c r="I363" s="900"/>
      <c r="J363" s="900"/>
      <c r="K363" s="900"/>
      <c r="L363" s="900"/>
      <c r="M363" s="900"/>
      <c r="N363" s="900"/>
      <c r="O363" s="142"/>
      <c r="P363" s="142"/>
      <c r="Q363" s="927"/>
      <c r="R363" s="924"/>
      <c r="S363" s="927"/>
      <c r="T363" s="142"/>
      <c r="U363" s="900"/>
      <c r="V363" s="900"/>
      <c r="W363" s="900"/>
      <c r="X363" s="900"/>
      <c r="Y363" s="901"/>
    </row>
    <row r="364" spans="1:25" ht="13.5" thickBot="1" x14ac:dyDescent="0.25">
      <c r="A364" s="951" t="s">
        <v>556</v>
      </c>
      <c r="C364" s="979">
        <f t="shared" ref="C364:O364" si="134">C342+SUM(C353:C362)</f>
        <v>10927.029</v>
      </c>
      <c r="D364" s="979">
        <f t="shared" si="134"/>
        <v>14002.098</v>
      </c>
      <c r="E364" s="979">
        <f t="shared" si="134"/>
        <v>5501</v>
      </c>
      <c r="F364" s="979">
        <f t="shared" si="134"/>
        <v>13377</v>
      </c>
      <c r="G364" s="979">
        <f t="shared" si="134"/>
        <v>12436</v>
      </c>
      <c r="H364" s="979">
        <f t="shared" si="134"/>
        <v>10339</v>
      </c>
      <c r="I364" s="979">
        <f t="shared" si="134"/>
        <v>11349</v>
      </c>
      <c r="J364" s="979">
        <f t="shared" si="134"/>
        <v>10589</v>
      </c>
      <c r="K364" s="979">
        <f t="shared" si="134"/>
        <v>10765</v>
      </c>
      <c r="L364" s="979">
        <f t="shared" si="134"/>
        <v>9850</v>
      </c>
      <c r="M364" s="979">
        <f t="shared" si="134"/>
        <v>9011</v>
      </c>
      <c r="N364" s="979">
        <f t="shared" si="134"/>
        <v>9815</v>
      </c>
      <c r="O364" s="979">
        <f t="shared" si="134"/>
        <v>127961.12700000001</v>
      </c>
      <c r="P364" s="978"/>
      <c r="Q364" s="977"/>
      <c r="R364" s="978"/>
      <c r="S364" s="977"/>
      <c r="T364" s="978"/>
      <c r="U364" s="983">
        <f>U342+SUM(U353:U362)</f>
        <v>30430.127</v>
      </c>
      <c r="V364" s="980">
        <f>V342+SUM(V353:V362)</f>
        <v>36152</v>
      </c>
      <c r="W364" s="980" t="e">
        <f>W342+SUM(W353:W362)</f>
        <v>#REF!</v>
      </c>
      <c r="X364" s="980">
        <f>X342+SUM(X353:X362)</f>
        <v>28676</v>
      </c>
      <c r="Y364" s="984" t="e">
        <f>Y342+SUM(Y353:Y362)</f>
        <v>#REF!</v>
      </c>
    </row>
    <row r="365" spans="1:25" ht="6" customHeight="1" x14ac:dyDescent="0.2">
      <c r="A365" s="951"/>
      <c r="C365" s="978"/>
      <c r="D365" s="978"/>
      <c r="E365" s="978"/>
      <c r="F365" s="978"/>
      <c r="G365" s="978"/>
      <c r="H365" s="978"/>
      <c r="I365" s="978"/>
      <c r="J365" s="978"/>
      <c r="K365" s="978"/>
      <c r="L365" s="978"/>
      <c r="M365" s="978"/>
      <c r="N365" s="978"/>
      <c r="O365" s="978"/>
      <c r="P365" s="978"/>
      <c r="Q365" s="977"/>
      <c r="R365" s="978"/>
      <c r="S365" s="977"/>
      <c r="T365" s="978"/>
      <c r="U365" s="978"/>
      <c r="V365" s="978"/>
      <c r="W365" s="978"/>
      <c r="X365" s="978"/>
      <c r="Y365" s="978"/>
    </row>
    <row r="366" spans="1:25" s="913" customFormat="1" ht="12.75" customHeight="1" x14ac:dyDescent="0.2">
      <c r="A366" s="909" t="s">
        <v>557</v>
      </c>
      <c r="C366" s="917">
        <f>-IncomeState!C51</f>
        <v>-4119</v>
      </c>
      <c r="D366" s="917">
        <f>-IncomeState!D51</f>
        <v>-5370</v>
      </c>
      <c r="E366" s="917">
        <f>-IncomeState!E51</f>
        <v>-6853</v>
      </c>
      <c r="F366" s="917">
        <f>-IncomeState!F51</f>
        <v>-4421</v>
      </c>
      <c r="G366" s="917">
        <f>-IncomeState!G51</f>
        <v>-4599</v>
      </c>
      <c r="H366" s="917">
        <f>-IncomeState!H51</f>
        <v>-4037</v>
      </c>
      <c r="I366" s="917">
        <f>-IncomeState!I51</f>
        <v>-4178</v>
      </c>
      <c r="J366" s="917">
        <f>-IncomeState!J51</f>
        <v>-4037</v>
      </c>
      <c r="K366" s="917">
        <f>-IncomeState!K51</f>
        <v>-3460</v>
      </c>
      <c r="L366" s="917">
        <f>-IncomeState!L51</f>
        <v>-595</v>
      </c>
      <c r="M366" s="917">
        <f>-IncomeState!M51</f>
        <v>-4278</v>
      </c>
      <c r="N366" s="917">
        <f>-IncomeState!N51</f>
        <v>-3898</v>
      </c>
      <c r="O366" s="142">
        <f>SUM(C366:N366)</f>
        <v>-49845</v>
      </c>
      <c r="P366" s="142"/>
      <c r="Q366" s="976"/>
      <c r="R366" s="957" t="s">
        <v>558</v>
      </c>
      <c r="S366" s="976"/>
      <c r="T366" s="142"/>
      <c r="U366" s="917">
        <f>C366+D366+E366</f>
        <v>-16342</v>
      </c>
      <c r="V366" s="917">
        <f>F366+G366+H366</f>
        <v>-13057</v>
      </c>
      <c r="W366" s="917">
        <f>I366+J366+K366</f>
        <v>-11675</v>
      </c>
      <c r="X366" s="917">
        <f>L366+M366+N366</f>
        <v>-8771</v>
      </c>
      <c r="Y366" s="901">
        <f>SUM(U366:X366)</f>
        <v>-49845</v>
      </c>
    </row>
    <row r="367" spans="1:25" s="913" customFormat="1" ht="12.75" customHeight="1" x14ac:dyDescent="0.2">
      <c r="A367" s="909" t="s">
        <v>559</v>
      </c>
      <c r="C367" s="960">
        <f>-IncomeState!C52</f>
        <v>-150</v>
      </c>
      <c r="D367" s="960">
        <f>-IncomeState!D52</f>
        <v>-92</v>
      </c>
      <c r="E367" s="960">
        <f>-IncomeState!E52</f>
        <v>4693</v>
      </c>
      <c r="F367" s="960">
        <f>-IncomeState!F52</f>
        <v>-802</v>
      </c>
      <c r="G367" s="960">
        <f>-IncomeState!G52</f>
        <v>-259</v>
      </c>
      <c r="H367" s="960">
        <f>-IncomeState!H52</f>
        <v>-6</v>
      </c>
      <c r="I367" s="960">
        <f>-IncomeState!I52</f>
        <v>-256</v>
      </c>
      <c r="J367" s="960">
        <f>-IncomeState!J52</f>
        <v>-100</v>
      </c>
      <c r="K367" s="960">
        <f>-IncomeState!K52</f>
        <v>-747</v>
      </c>
      <c r="L367" s="960">
        <f>-IncomeState!L52</f>
        <v>-3257</v>
      </c>
      <c r="M367" s="960">
        <f>-IncomeState!M52</f>
        <v>753</v>
      </c>
      <c r="N367" s="960">
        <f>-IncomeState!N52</f>
        <v>60</v>
      </c>
      <c r="O367" s="143">
        <f>SUM(C367:N367)</f>
        <v>-163</v>
      </c>
      <c r="P367" s="143"/>
      <c r="Q367" s="976"/>
      <c r="R367" s="957" t="s">
        <v>560</v>
      </c>
      <c r="S367" s="976"/>
      <c r="T367" s="143"/>
      <c r="U367" s="960">
        <f>C367+D367+E367</f>
        <v>4451</v>
      </c>
      <c r="V367" s="960">
        <f>F367+G367+H367</f>
        <v>-1067</v>
      </c>
      <c r="W367" s="960">
        <f>I367+J367+K367</f>
        <v>-1103</v>
      </c>
      <c r="X367" s="960">
        <f>L367+M367+N367</f>
        <v>-2444</v>
      </c>
      <c r="Y367" s="908">
        <f>SUM(U367:X367)</f>
        <v>-163</v>
      </c>
    </row>
    <row r="368" spans="1:25" s="913" customFormat="1" ht="12.75" customHeight="1" x14ac:dyDescent="0.2">
      <c r="A368" s="909" t="s">
        <v>561</v>
      </c>
      <c r="C368" s="917">
        <f t="shared" ref="C368:N368" si="135">+C366+C367</f>
        <v>-4269</v>
      </c>
      <c r="D368" s="917">
        <f t="shared" si="135"/>
        <v>-5462</v>
      </c>
      <c r="E368" s="917">
        <f t="shared" si="135"/>
        <v>-2160</v>
      </c>
      <c r="F368" s="917">
        <f t="shared" si="135"/>
        <v>-5223</v>
      </c>
      <c r="G368" s="917">
        <f t="shared" si="135"/>
        <v>-4858</v>
      </c>
      <c r="H368" s="917">
        <f t="shared" si="135"/>
        <v>-4043</v>
      </c>
      <c r="I368" s="917">
        <f t="shared" si="135"/>
        <v>-4434</v>
      </c>
      <c r="J368" s="917">
        <f t="shared" si="135"/>
        <v>-4137</v>
      </c>
      <c r="K368" s="917">
        <f t="shared" si="135"/>
        <v>-4207</v>
      </c>
      <c r="L368" s="917">
        <f t="shared" si="135"/>
        <v>-3852</v>
      </c>
      <c r="M368" s="917">
        <f t="shared" si="135"/>
        <v>-3525</v>
      </c>
      <c r="N368" s="917">
        <f t="shared" si="135"/>
        <v>-3838</v>
      </c>
      <c r="O368" s="917">
        <f>C368+D368+E368+F368+G368+H368+I368+J368+K368+L368+M368+N368</f>
        <v>-50008</v>
      </c>
      <c r="P368" s="917"/>
      <c r="Q368" s="981"/>
      <c r="R368" s="924" t="s">
        <v>562</v>
      </c>
      <c r="S368" s="981"/>
      <c r="T368" s="917"/>
      <c r="U368" s="917">
        <f>C368+D368+E368</f>
        <v>-11891</v>
      </c>
      <c r="V368" s="917">
        <f>F368+G368+H368</f>
        <v>-14124</v>
      </c>
      <c r="W368" s="917">
        <f>I368+J368+K368</f>
        <v>-12778</v>
      </c>
      <c r="X368" s="917">
        <f>L368+M368+N368</f>
        <v>-11215</v>
      </c>
      <c r="Y368" s="901">
        <f>SUM(U368:X368)</f>
        <v>-50008</v>
      </c>
    </row>
    <row r="369" spans="1:26" ht="6" customHeight="1" thickBot="1" x14ac:dyDescent="0.25">
      <c r="A369" s="951"/>
      <c r="C369" s="978"/>
      <c r="D369" s="978"/>
      <c r="E369" s="978"/>
      <c r="F369" s="978"/>
      <c r="G369" s="978"/>
      <c r="H369" s="978"/>
      <c r="I369" s="978"/>
      <c r="J369" s="978"/>
      <c r="K369" s="978"/>
      <c r="L369" s="978"/>
      <c r="M369" s="978"/>
      <c r="N369" s="978"/>
      <c r="O369" s="978"/>
      <c r="P369" s="978"/>
      <c r="Q369" s="977"/>
      <c r="R369" s="978"/>
      <c r="S369" s="977"/>
      <c r="T369" s="978"/>
      <c r="U369" s="978"/>
      <c r="V369" s="978"/>
      <c r="W369" s="978"/>
      <c r="X369" s="978"/>
      <c r="Y369" s="978"/>
    </row>
    <row r="370" spans="1:26" ht="13.5" thickBot="1" x14ac:dyDescent="0.25">
      <c r="A370" s="896" t="s">
        <v>204</v>
      </c>
      <c r="C370" s="979">
        <f t="shared" ref="C370:O370" si="136">+C364+C368</f>
        <v>6658.0290000000005</v>
      </c>
      <c r="D370" s="979">
        <f t="shared" si="136"/>
        <v>8540.098</v>
      </c>
      <c r="E370" s="979">
        <f t="shared" si="136"/>
        <v>3341</v>
      </c>
      <c r="F370" s="979">
        <f t="shared" si="136"/>
        <v>8154</v>
      </c>
      <c r="G370" s="979">
        <f t="shared" si="136"/>
        <v>7578</v>
      </c>
      <c r="H370" s="979">
        <f t="shared" si="136"/>
        <v>6296</v>
      </c>
      <c r="I370" s="979">
        <f t="shared" si="136"/>
        <v>6915</v>
      </c>
      <c r="J370" s="979">
        <f t="shared" si="136"/>
        <v>6452</v>
      </c>
      <c r="K370" s="979">
        <f t="shared" si="136"/>
        <v>6558</v>
      </c>
      <c r="L370" s="979">
        <f t="shared" si="136"/>
        <v>5998</v>
      </c>
      <c r="M370" s="979">
        <f t="shared" si="136"/>
        <v>5486</v>
      </c>
      <c r="N370" s="979">
        <f t="shared" si="136"/>
        <v>5977</v>
      </c>
      <c r="O370" s="980">
        <f t="shared" si="136"/>
        <v>77953.127000000008</v>
      </c>
      <c r="P370" s="978"/>
      <c r="Q370" s="977"/>
      <c r="R370" s="978"/>
      <c r="S370" s="977"/>
      <c r="T370" s="978"/>
      <c r="U370" s="983">
        <f>+U364+U368</f>
        <v>18539.127</v>
      </c>
      <c r="V370" s="980">
        <f>+V364+V368</f>
        <v>22028</v>
      </c>
      <c r="W370" s="980" t="e">
        <f>+W364+W368</f>
        <v>#REF!</v>
      </c>
      <c r="X370" s="980">
        <f>+X364+X368</f>
        <v>17461</v>
      </c>
      <c r="Y370" s="984" t="e">
        <f>+Y364+Y368</f>
        <v>#REF!</v>
      </c>
    </row>
    <row r="371" spans="1:26" ht="6" customHeight="1" x14ac:dyDescent="0.2">
      <c r="A371" s="896"/>
      <c r="C371" s="978"/>
      <c r="D371" s="978"/>
      <c r="E371" s="978"/>
      <c r="F371" s="978"/>
      <c r="G371" s="978"/>
      <c r="H371" s="978"/>
      <c r="I371" s="978"/>
      <c r="J371" s="978"/>
      <c r="K371" s="978"/>
      <c r="L371" s="978"/>
      <c r="M371" s="978"/>
      <c r="N371" s="978"/>
      <c r="O371" s="978"/>
      <c r="P371" s="978"/>
      <c r="Q371" s="977"/>
      <c r="R371" s="978"/>
      <c r="S371" s="977"/>
      <c r="T371" s="978"/>
      <c r="U371" s="978"/>
      <c r="V371" s="978"/>
      <c r="W371" s="978"/>
      <c r="X371" s="978"/>
      <c r="Y371" s="978"/>
    </row>
    <row r="372" spans="1:26" x14ac:dyDescent="0.2">
      <c r="A372" s="896" t="s">
        <v>563</v>
      </c>
      <c r="C372" s="926">
        <v>0</v>
      </c>
      <c r="D372" s="926">
        <v>0</v>
      </c>
      <c r="E372" s="926">
        <v>0</v>
      </c>
      <c r="F372" s="926">
        <v>0</v>
      </c>
      <c r="G372" s="926">
        <v>0</v>
      </c>
      <c r="H372" s="926">
        <v>0</v>
      </c>
      <c r="I372" s="926">
        <v>0</v>
      </c>
      <c r="J372" s="926">
        <v>0</v>
      </c>
      <c r="K372" s="926">
        <v>0</v>
      </c>
      <c r="L372" s="926">
        <v>0</v>
      </c>
      <c r="M372" s="926">
        <v>0</v>
      </c>
      <c r="N372" s="926">
        <v>0</v>
      </c>
      <c r="O372" s="142">
        <f>SUM(C372:N372)</f>
        <v>0</v>
      </c>
      <c r="P372" s="142"/>
      <c r="Q372" s="977"/>
      <c r="R372" s="899" t="s">
        <v>564</v>
      </c>
      <c r="S372" s="977"/>
      <c r="T372" s="142"/>
      <c r="U372" s="900">
        <f>C372+D372+E372</f>
        <v>0</v>
      </c>
      <c r="V372" s="900">
        <f>F372+G372+H372</f>
        <v>0</v>
      </c>
      <c r="W372" s="900">
        <f>I372+J372+K372</f>
        <v>0</v>
      </c>
      <c r="X372" s="900">
        <f>L372+M372+N372</f>
        <v>0</v>
      </c>
      <c r="Y372" s="901">
        <f>SUM(U372:X372)</f>
        <v>0</v>
      </c>
    </row>
    <row r="373" spans="1:26" ht="6" customHeight="1" thickBot="1" x14ac:dyDescent="0.25">
      <c r="A373" s="938"/>
      <c r="C373" s="978"/>
      <c r="D373" s="978"/>
      <c r="E373" s="978"/>
      <c r="F373" s="978"/>
      <c r="G373" s="978"/>
      <c r="H373" s="978"/>
      <c r="I373" s="978"/>
      <c r="J373" s="978"/>
      <c r="K373" s="978"/>
      <c r="L373" s="978"/>
      <c r="M373" s="978"/>
      <c r="N373" s="978"/>
      <c r="O373" s="978"/>
      <c r="P373" s="978"/>
      <c r="Q373" s="977"/>
      <c r="R373" s="982"/>
      <c r="S373" s="977"/>
      <c r="T373" s="978"/>
      <c r="U373" s="978"/>
      <c r="V373" s="978"/>
      <c r="W373" s="978"/>
      <c r="X373" s="978"/>
      <c r="Y373" s="978"/>
    </row>
    <row r="374" spans="1:26" ht="13.5" thickBot="1" x14ac:dyDescent="0.25">
      <c r="A374" s="896" t="s">
        <v>205</v>
      </c>
      <c r="C374" s="979">
        <f t="shared" ref="C374:O374" si="137">SUM(C370:C373)</f>
        <v>6658.0290000000005</v>
      </c>
      <c r="D374" s="979">
        <f t="shared" si="137"/>
        <v>8540.098</v>
      </c>
      <c r="E374" s="983">
        <f t="shared" si="137"/>
        <v>3341</v>
      </c>
      <c r="F374" s="984">
        <f t="shared" si="137"/>
        <v>8154</v>
      </c>
      <c r="G374" s="979">
        <f t="shared" si="137"/>
        <v>7578</v>
      </c>
      <c r="H374" s="979">
        <f t="shared" si="137"/>
        <v>6296</v>
      </c>
      <c r="I374" s="979">
        <f t="shared" si="137"/>
        <v>6915</v>
      </c>
      <c r="J374" s="979">
        <f t="shared" si="137"/>
        <v>6452</v>
      </c>
      <c r="K374" s="979">
        <f t="shared" si="137"/>
        <v>6558</v>
      </c>
      <c r="L374" s="979">
        <f t="shared" si="137"/>
        <v>5998</v>
      </c>
      <c r="M374" s="979">
        <f t="shared" si="137"/>
        <v>5486</v>
      </c>
      <c r="N374" s="983">
        <f t="shared" si="137"/>
        <v>5977</v>
      </c>
      <c r="O374" s="979">
        <f t="shared" si="137"/>
        <v>77953.127000000008</v>
      </c>
      <c r="P374" s="978"/>
      <c r="Q374" s="977"/>
      <c r="R374" s="982"/>
      <c r="S374" s="977"/>
      <c r="T374" s="978"/>
      <c r="U374" s="983">
        <f>SUM(U370:U373)</f>
        <v>18539.127</v>
      </c>
      <c r="V374" s="980">
        <f>SUM(V370:V373)</f>
        <v>22028</v>
      </c>
      <c r="W374" s="980" t="e">
        <f>SUM(W370:W373)</f>
        <v>#REF!</v>
      </c>
      <c r="X374" s="980">
        <f>SUM(X370:X373)</f>
        <v>17461</v>
      </c>
      <c r="Y374" s="984" t="e">
        <f>SUM(Y370:Y373)</f>
        <v>#REF!</v>
      </c>
    </row>
    <row r="375" spans="1:26" x14ac:dyDescent="0.2">
      <c r="A375" s="951"/>
      <c r="C375" s="978"/>
      <c r="D375" s="978"/>
      <c r="E375" s="978"/>
      <c r="F375" s="978"/>
      <c r="G375" s="978"/>
      <c r="H375" s="978"/>
      <c r="I375" s="978"/>
      <c r="J375" s="978"/>
      <c r="K375" s="978"/>
      <c r="L375" s="978"/>
      <c r="M375" s="978"/>
      <c r="N375" s="978"/>
      <c r="O375" s="978"/>
      <c r="P375" s="978"/>
      <c r="Q375" s="977"/>
      <c r="R375" s="978"/>
      <c r="S375" s="977"/>
      <c r="T375" s="978"/>
      <c r="U375" s="978"/>
      <c r="V375" s="978"/>
      <c r="W375" s="978"/>
      <c r="X375" s="978"/>
      <c r="Y375" s="978"/>
    </row>
    <row r="376" spans="1:26" x14ac:dyDescent="0.2">
      <c r="A376" s="994" t="s">
        <v>206</v>
      </c>
      <c r="C376" s="1010">
        <f>+C342-IncomeState!C38</f>
        <v>2.9000000000451109E-2</v>
      </c>
      <c r="D376" s="1010">
        <f>+D342-IncomeState!D38</f>
        <v>9.7999999999956344E-2</v>
      </c>
      <c r="E376" s="1010">
        <f>+E342-IncomeState!E38</f>
        <v>0</v>
      </c>
      <c r="F376" s="1010">
        <f>+F342-IncomeState!F38</f>
        <v>0</v>
      </c>
      <c r="G376" s="1010">
        <f>+G342-IncomeState!G38</f>
        <v>0</v>
      </c>
      <c r="H376" s="1010">
        <f>+H342-IncomeState!H38</f>
        <v>0</v>
      </c>
      <c r="I376" s="1010">
        <f>+I342-IncomeState!I38</f>
        <v>0</v>
      </c>
      <c r="J376" s="1010">
        <f>+J342-IncomeState!J38</f>
        <v>0</v>
      </c>
      <c r="K376" s="1010">
        <f>+K342-IncomeState!K38</f>
        <v>0</v>
      </c>
      <c r="L376" s="1010">
        <f>+L342-IncomeState!L38</f>
        <v>0</v>
      </c>
      <c r="M376" s="1010">
        <f>+M342-IncomeState!M38</f>
        <v>0</v>
      </c>
      <c r="N376" s="1010">
        <f>+N342-IncomeState!N38</f>
        <v>0</v>
      </c>
      <c r="O376" s="1010">
        <f>+O342-IncomeState!O38</f>
        <v>0.12700000000768341</v>
      </c>
      <c r="P376" s="978"/>
      <c r="Q376" s="977"/>
      <c r="R376" s="978"/>
      <c r="S376" s="977"/>
      <c r="T376" s="978"/>
      <c r="U376" s="978"/>
      <c r="V376" s="978"/>
      <c r="W376" s="978"/>
      <c r="X376" s="978"/>
      <c r="Y376" s="978"/>
    </row>
    <row r="377" spans="1:26" x14ac:dyDescent="0.2">
      <c r="A377" s="995" t="s">
        <v>207</v>
      </c>
      <c r="C377" s="1010">
        <f>+C370-IncomeState!C56</f>
        <v>2.9000000000451109E-2</v>
      </c>
      <c r="D377" s="1010">
        <f>+D370-IncomeState!D56</f>
        <v>9.7999999999956344E-2</v>
      </c>
      <c r="E377" s="1010">
        <f>+E370-IncomeState!E56</f>
        <v>0</v>
      </c>
      <c r="F377" s="1010">
        <f>+F370-IncomeState!F56</f>
        <v>0</v>
      </c>
      <c r="G377" s="1010">
        <f>+G370-IncomeState!G56</f>
        <v>0</v>
      </c>
      <c r="H377" s="1010">
        <f>+H370-IncomeState!H56</f>
        <v>0</v>
      </c>
      <c r="I377" s="1010">
        <f>+I370-IncomeState!I56</f>
        <v>0</v>
      </c>
      <c r="J377" s="1010">
        <f>+J370-IncomeState!J56</f>
        <v>0</v>
      </c>
      <c r="K377" s="1010">
        <f>+K370-IncomeState!K56</f>
        <v>0</v>
      </c>
      <c r="L377" s="1010">
        <f>+L370-IncomeState!L56</f>
        <v>0</v>
      </c>
      <c r="M377" s="1010">
        <f>+M370-IncomeState!M56</f>
        <v>0</v>
      </c>
      <c r="N377" s="1010">
        <f>+N370-IncomeState!N56</f>
        <v>0</v>
      </c>
      <c r="O377" s="1010">
        <f>+O370-IncomeState!O56</f>
        <v>0.12700000000768341</v>
      </c>
      <c r="Q377" s="977"/>
      <c r="R377" s="878"/>
      <c r="S377" s="977"/>
      <c r="T377" s="878"/>
    </row>
    <row r="378" spans="1:26" x14ac:dyDescent="0.2">
      <c r="Q378" s="977"/>
      <c r="R378" s="878"/>
      <c r="S378" s="977"/>
      <c r="T378" s="878"/>
      <c r="Z378" s="978"/>
    </row>
    <row r="379" spans="1:26" ht="13.5" thickBot="1" x14ac:dyDescent="0.25">
      <c r="Q379" s="977"/>
      <c r="R379" s="878"/>
      <c r="S379" s="977"/>
      <c r="T379" s="878"/>
      <c r="Z379" s="978"/>
    </row>
    <row r="380" spans="1:26" x14ac:dyDescent="0.2">
      <c r="A380" s="938"/>
      <c r="C380" s="985"/>
      <c r="D380" s="985"/>
      <c r="E380" s="985"/>
      <c r="F380" s="985"/>
      <c r="G380" s="985"/>
      <c r="H380" s="985"/>
      <c r="I380" s="985"/>
      <c r="J380" s="985"/>
      <c r="K380" s="985"/>
      <c r="L380" s="985"/>
      <c r="M380" s="985"/>
      <c r="N380" s="985"/>
      <c r="O380" s="985"/>
      <c r="P380" s="978"/>
      <c r="Q380" s="898"/>
      <c r="R380" s="986"/>
      <c r="S380" s="898"/>
      <c r="T380" s="978"/>
      <c r="U380" s="985"/>
      <c r="V380" s="985"/>
      <c r="W380" s="985"/>
      <c r="X380" s="985"/>
      <c r="Y380" s="978"/>
      <c r="Z380" s="978"/>
    </row>
    <row r="381" spans="1:26" x14ac:dyDescent="0.2">
      <c r="A381" s="946" t="s">
        <v>492</v>
      </c>
      <c r="C381" s="978"/>
      <c r="D381" s="978"/>
      <c r="E381" s="978"/>
      <c r="F381" s="978"/>
      <c r="G381" s="978"/>
      <c r="H381" s="978"/>
      <c r="I381" s="978"/>
      <c r="J381" s="978"/>
      <c r="K381" s="978"/>
      <c r="L381" s="978"/>
      <c r="M381" s="978"/>
      <c r="N381" s="978"/>
      <c r="O381" s="978"/>
      <c r="P381" s="978"/>
      <c r="Q381" s="898"/>
      <c r="R381" s="986"/>
      <c r="S381" s="898"/>
      <c r="T381" s="978"/>
      <c r="U381" s="978"/>
      <c r="V381" s="978"/>
      <c r="W381" s="978"/>
      <c r="X381" s="978"/>
      <c r="Y381" s="978"/>
      <c r="Z381" s="978"/>
    </row>
    <row r="382" spans="1:26" x14ac:dyDescent="0.2">
      <c r="A382" s="912" t="s">
        <v>565</v>
      </c>
      <c r="B382" s="913"/>
      <c r="C382" s="917"/>
      <c r="D382" s="917"/>
      <c r="E382" s="917"/>
      <c r="F382" s="917"/>
      <c r="G382" s="917"/>
      <c r="H382" s="917"/>
      <c r="I382" s="917"/>
      <c r="J382" s="917"/>
      <c r="K382" s="917"/>
      <c r="L382" s="917"/>
      <c r="M382" s="917"/>
      <c r="N382" s="917"/>
      <c r="O382" s="917"/>
      <c r="P382" s="917"/>
      <c r="Q382" s="898"/>
      <c r="R382" s="987"/>
      <c r="S382" s="898"/>
      <c r="T382" s="917"/>
      <c r="U382" s="900"/>
      <c r="V382" s="900"/>
      <c r="W382" s="900"/>
      <c r="X382" s="900"/>
      <c r="Y382" s="919"/>
      <c r="Z382" s="901"/>
    </row>
    <row r="383" spans="1:26" x14ac:dyDescent="0.2">
      <c r="A383" s="909" t="s">
        <v>566</v>
      </c>
      <c r="B383" s="913"/>
      <c r="C383" s="919">
        <f t="shared" ref="C383:N383" si="138">SUM(C7:C10)+SUM(C107:C110)</f>
        <v>-238</v>
      </c>
      <c r="D383" s="919">
        <f t="shared" si="138"/>
        <v>-888</v>
      </c>
      <c r="E383" s="919">
        <f t="shared" si="138"/>
        <v>-172</v>
      </c>
      <c r="F383" s="919">
        <f t="shared" si="138"/>
        <v>14744</v>
      </c>
      <c r="G383" s="919">
        <f t="shared" si="138"/>
        <v>2258</v>
      </c>
      <c r="H383" s="919">
        <f t="shared" si="138"/>
        <v>3206</v>
      </c>
      <c r="I383" s="919">
        <f t="shared" si="138"/>
        <v>3949</v>
      </c>
      <c r="J383" s="919">
        <f t="shared" si="138"/>
        <v>3777</v>
      </c>
      <c r="K383" s="919">
        <f t="shared" si="138"/>
        <v>0</v>
      </c>
      <c r="L383" s="919">
        <f t="shared" si="138"/>
        <v>0</v>
      </c>
      <c r="M383" s="919">
        <f t="shared" si="138"/>
        <v>0</v>
      </c>
      <c r="N383" s="919">
        <f t="shared" si="138"/>
        <v>0</v>
      </c>
      <c r="O383" s="142">
        <f t="shared" ref="O383:O394" si="139">SUM(C383:N383)</f>
        <v>26636</v>
      </c>
      <c r="P383" s="142"/>
      <c r="Q383" s="898"/>
      <c r="R383" s="988"/>
      <c r="S383" s="898"/>
      <c r="T383" s="142"/>
      <c r="U383" s="917">
        <f t="shared" ref="U383:U394" si="140">C383+D383+E383</f>
        <v>-1298</v>
      </c>
      <c r="V383" s="917">
        <f t="shared" ref="V383:V394" si="141">F383+G383+H383</f>
        <v>20208</v>
      </c>
      <c r="W383" s="917">
        <f t="shared" ref="W383:W394" si="142">I383+J383+K383</f>
        <v>7726</v>
      </c>
      <c r="X383" s="917">
        <f t="shared" ref="X383:X394" si="143">L383+M383+N383</f>
        <v>0</v>
      </c>
      <c r="Y383" s="901">
        <f t="shared" ref="Y383:Y394" si="144">SUM(U383:X383)</f>
        <v>26636</v>
      </c>
      <c r="Z383" s="901"/>
    </row>
    <row r="384" spans="1:26" x14ac:dyDescent="0.2">
      <c r="A384" s="909" t="s">
        <v>567</v>
      </c>
      <c r="B384" s="913"/>
      <c r="C384" s="919">
        <f>SUM(C12:C28)</f>
        <v>13886</v>
      </c>
      <c r="D384" s="919">
        <f t="shared" ref="D384:N384" si="145">SUM(D12:D28)</f>
        <v>18314</v>
      </c>
      <c r="E384" s="919">
        <f t="shared" si="145"/>
        <v>8736</v>
      </c>
      <c r="F384" s="919">
        <f t="shared" si="145"/>
        <v>14527</v>
      </c>
      <c r="G384" s="919">
        <f t="shared" si="145"/>
        <v>16313</v>
      </c>
      <c r="H384" s="919">
        <f t="shared" si="145"/>
        <v>14266</v>
      </c>
      <c r="I384" s="919">
        <f t="shared" si="145"/>
        <v>14096</v>
      </c>
      <c r="J384" s="919">
        <f t="shared" si="145"/>
        <v>13578</v>
      </c>
      <c r="K384" s="919">
        <f t="shared" si="145"/>
        <v>13052</v>
      </c>
      <c r="L384" s="919">
        <f t="shared" si="145"/>
        <v>13225</v>
      </c>
      <c r="M384" s="919">
        <f t="shared" si="145"/>
        <v>12297</v>
      </c>
      <c r="N384" s="919">
        <f t="shared" si="145"/>
        <v>13142</v>
      </c>
      <c r="O384" s="142">
        <f t="shared" si="139"/>
        <v>165432</v>
      </c>
      <c r="P384" s="142"/>
      <c r="Q384" s="898"/>
      <c r="R384" s="988"/>
      <c r="S384" s="898"/>
      <c r="T384" s="142"/>
      <c r="U384" s="917">
        <f t="shared" si="140"/>
        <v>40936</v>
      </c>
      <c r="V384" s="917">
        <f t="shared" si="141"/>
        <v>45106</v>
      </c>
      <c r="W384" s="917">
        <f t="shared" si="142"/>
        <v>40726</v>
      </c>
      <c r="X384" s="917">
        <f t="shared" si="143"/>
        <v>38664</v>
      </c>
      <c r="Y384" s="901">
        <f t="shared" si="144"/>
        <v>165432</v>
      </c>
      <c r="Z384" s="901"/>
    </row>
    <row r="385" spans="1:26" s="913" customFormat="1" ht="12.75" customHeight="1" x14ac:dyDescent="0.2">
      <c r="A385" s="909" t="s">
        <v>568</v>
      </c>
      <c r="C385" s="919">
        <f t="shared" ref="C385:N385" si="146">SUM(C35:C49)</f>
        <v>23</v>
      </c>
      <c r="D385" s="919">
        <f t="shared" si="146"/>
        <v>24</v>
      </c>
      <c r="E385" s="919">
        <f t="shared" si="146"/>
        <v>25</v>
      </c>
      <c r="F385" s="919">
        <f t="shared" si="146"/>
        <v>23</v>
      </c>
      <c r="G385" s="919">
        <f t="shared" si="146"/>
        <v>78</v>
      </c>
      <c r="H385" s="919">
        <f t="shared" si="146"/>
        <v>24</v>
      </c>
      <c r="I385" s="919">
        <f t="shared" si="146"/>
        <v>23</v>
      </c>
      <c r="J385" s="919">
        <f t="shared" si="146"/>
        <v>24</v>
      </c>
      <c r="K385" s="919">
        <f t="shared" si="146"/>
        <v>23</v>
      </c>
      <c r="L385" s="919">
        <f t="shared" si="146"/>
        <v>23</v>
      </c>
      <c r="M385" s="919">
        <f t="shared" si="146"/>
        <v>23</v>
      </c>
      <c r="N385" s="919">
        <f t="shared" si="146"/>
        <v>23</v>
      </c>
      <c r="O385" s="142">
        <f t="shared" si="139"/>
        <v>336</v>
      </c>
      <c r="P385" s="142"/>
      <c r="Q385" s="923"/>
      <c r="R385" s="989"/>
      <c r="S385" s="923"/>
      <c r="T385" s="142"/>
      <c r="U385" s="917">
        <f t="shared" si="140"/>
        <v>72</v>
      </c>
      <c r="V385" s="917">
        <f t="shared" si="141"/>
        <v>125</v>
      </c>
      <c r="W385" s="917">
        <f t="shared" si="142"/>
        <v>70</v>
      </c>
      <c r="X385" s="917">
        <f t="shared" si="143"/>
        <v>69</v>
      </c>
      <c r="Y385" s="919">
        <f t="shared" si="144"/>
        <v>336</v>
      </c>
      <c r="Z385" s="919"/>
    </row>
    <row r="386" spans="1:26" x14ac:dyDescent="0.2">
      <c r="A386" s="909" t="s">
        <v>569</v>
      </c>
      <c r="B386" s="913"/>
      <c r="C386" s="919">
        <f t="shared" ref="C386:N386" si="147">+C93</f>
        <v>-157</v>
      </c>
      <c r="D386" s="919">
        <f t="shared" si="147"/>
        <v>-168</v>
      </c>
      <c r="E386" s="919">
        <f t="shared" si="147"/>
        <v>-326</v>
      </c>
      <c r="F386" s="919">
        <f t="shared" si="147"/>
        <v>-312</v>
      </c>
      <c r="G386" s="919">
        <f t="shared" si="147"/>
        <v>-157</v>
      </c>
      <c r="H386" s="919">
        <f t="shared" si="147"/>
        <v>-228</v>
      </c>
      <c r="I386" s="919">
        <f t="shared" si="147"/>
        <v>-30</v>
      </c>
      <c r="J386" s="919">
        <f t="shared" si="147"/>
        <v>-109</v>
      </c>
      <c r="K386" s="919">
        <f t="shared" si="147"/>
        <v>-167</v>
      </c>
      <c r="L386" s="919">
        <f t="shared" si="147"/>
        <v>-160</v>
      </c>
      <c r="M386" s="919">
        <f t="shared" si="147"/>
        <v>-159</v>
      </c>
      <c r="N386" s="919">
        <f t="shared" si="147"/>
        <v>-620</v>
      </c>
      <c r="O386" s="142">
        <f t="shared" si="139"/>
        <v>-2593</v>
      </c>
      <c r="P386" s="142"/>
      <c r="Q386" s="898"/>
      <c r="R386" s="988"/>
      <c r="S386" s="898"/>
      <c r="T386" s="142"/>
      <c r="U386" s="917">
        <f t="shared" si="140"/>
        <v>-651</v>
      </c>
      <c r="V386" s="917">
        <f t="shared" si="141"/>
        <v>-697</v>
      </c>
      <c r="W386" s="917">
        <f t="shared" si="142"/>
        <v>-306</v>
      </c>
      <c r="X386" s="917">
        <f t="shared" si="143"/>
        <v>-939</v>
      </c>
      <c r="Y386" s="919">
        <f t="shared" si="144"/>
        <v>-2593</v>
      </c>
      <c r="Z386" s="901"/>
    </row>
    <row r="387" spans="1:26" x14ac:dyDescent="0.2">
      <c r="A387" s="909" t="s">
        <v>570</v>
      </c>
      <c r="B387" s="913"/>
      <c r="C387" s="919">
        <f t="shared" ref="C387:N387" si="148">+C78</f>
        <v>-730</v>
      </c>
      <c r="D387" s="919">
        <f t="shared" si="148"/>
        <v>-668</v>
      </c>
      <c r="E387" s="919">
        <f t="shared" si="148"/>
        <v>-1269</v>
      </c>
      <c r="F387" s="919">
        <f t="shared" si="148"/>
        <v>-571</v>
      </c>
      <c r="G387" s="919">
        <f t="shared" si="148"/>
        <v>-564</v>
      </c>
      <c r="H387" s="919">
        <f t="shared" si="148"/>
        <v>-545</v>
      </c>
      <c r="I387" s="919">
        <f t="shared" si="148"/>
        <v>-552</v>
      </c>
      <c r="J387" s="919">
        <f t="shared" si="148"/>
        <v>-559</v>
      </c>
      <c r="K387" s="919">
        <f t="shared" si="148"/>
        <v>-623</v>
      </c>
      <c r="L387" s="919">
        <f t="shared" si="148"/>
        <v>-750</v>
      </c>
      <c r="M387" s="919">
        <f t="shared" si="148"/>
        <v>-743</v>
      </c>
      <c r="N387" s="919">
        <f t="shared" si="148"/>
        <v>-772</v>
      </c>
      <c r="O387" s="142">
        <f t="shared" si="139"/>
        <v>-8346</v>
      </c>
      <c r="P387" s="142"/>
      <c r="Q387" s="898"/>
      <c r="R387" s="988"/>
      <c r="S387" s="898"/>
      <c r="T387" s="142"/>
      <c r="U387" s="917">
        <f t="shared" si="140"/>
        <v>-2667</v>
      </c>
      <c r="V387" s="917">
        <f t="shared" si="141"/>
        <v>-1680</v>
      </c>
      <c r="W387" s="917">
        <f t="shared" si="142"/>
        <v>-1734</v>
      </c>
      <c r="X387" s="917">
        <f t="shared" si="143"/>
        <v>-2265</v>
      </c>
      <c r="Y387" s="919">
        <f t="shared" si="144"/>
        <v>-8346</v>
      </c>
      <c r="Z387" s="901"/>
    </row>
    <row r="388" spans="1:26" x14ac:dyDescent="0.2">
      <c r="A388" s="909" t="s">
        <v>571</v>
      </c>
      <c r="B388" s="913"/>
      <c r="C388" s="919">
        <f t="shared" ref="C388:N388" si="149">SUM(C30:C33)+SUM(C97:C100)</f>
        <v>4888</v>
      </c>
      <c r="D388" s="919">
        <f t="shared" si="149"/>
        <v>4666</v>
      </c>
      <c r="E388" s="919">
        <f t="shared" si="149"/>
        <v>1896</v>
      </c>
      <c r="F388" s="919">
        <f t="shared" si="149"/>
        <v>-10663</v>
      </c>
      <c r="G388" s="919">
        <f t="shared" si="149"/>
        <v>327</v>
      </c>
      <c r="H388" s="919">
        <f t="shared" si="149"/>
        <v>-372</v>
      </c>
      <c r="I388" s="919">
        <f t="shared" si="149"/>
        <v>-1196</v>
      </c>
      <c r="J388" s="919">
        <f t="shared" si="149"/>
        <v>-506</v>
      </c>
      <c r="K388" s="919">
        <f t="shared" si="149"/>
        <v>2952</v>
      </c>
      <c r="L388" s="919">
        <f t="shared" si="149"/>
        <v>2747</v>
      </c>
      <c r="M388" s="919">
        <f t="shared" si="149"/>
        <v>2825</v>
      </c>
      <c r="N388" s="919">
        <f t="shared" si="149"/>
        <v>2576</v>
      </c>
      <c r="O388" s="142">
        <f t="shared" si="139"/>
        <v>10140</v>
      </c>
      <c r="P388" s="142"/>
      <c r="Q388" s="898"/>
      <c r="R388" s="988"/>
      <c r="S388" s="898"/>
      <c r="T388" s="142"/>
      <c r="U388" s="917">
        <f t="shared" si="140"/>
        <v>11450</v>
      </c>
      <c r="V388" s="917">
        <f t="shared" si="141"/>
        <v>-10708</v>
      </c>
      <c r="W388" s="917">
        <f t="shared" si="142"/>
        <v>1250</v>
      </c>
      <c r="X388" s="917">
        <f t="shared" si="143"/>
        <v>8148</v>
      </c>
      <c r="Y388" s="919">
        <f t="shared" si="144"/>
        <v>10140</v>
      </c>
      <c r="Z388" s="901"/>
    </row>
    <row r="389" spans="1:26" x14ac:dyDescent="0.2">
      <c r="A389" s="909" t="s">
        <v>572</v>
      </c>
      <c r="B389" s="913"/>
      <c r="C389" s="919">
        <f>SUM(C82:C84)</f>
        <v>0</v>
      </c>
      <c r="D389" s="919">
        <f t="shared" ref="D389:N389" si="150">SUM(D82:D84)</f>
        <v>0</v>
      </c>
      <c r="E389" s="919">
        <f t="shared" si="150"/>
        <v>0</v>
      </c>
      <c r="F389" s="919">
        <f t="shared" si="150"/>
        <v>0</v>
      </c>
      <c r="G389" s="919">
        <f t="shared" si="150"/>
        <v>0</v>
      </c>
      <c r="H389" s="919">
        <f t="shared" si="150"/>
        <v>0</v>
      </c>
      <c r="I389" s="919">
        <f t="shared" si="150"/>
        <v>0</v>
      </c>
      <c r="J389" s="919">
        <f t="shared" si="150"/>
        <v>0</v>
      </c>
      <c r="K389" s="919">
        <f t="shared" si="150"/>
        <v>0</v>
      </c>
      <c r="L389" s="919">
        <f t="shared" si="150"/>
        <v>0</v>
      </c>
      <c r="M389" s="919">
        <f t="shared" si="150"/>
        <v>0</v>
      </c>
      <c r="N389" s="919">
        <f t="shared" si="150"/>
        <v>0</v>
      </c>
      <c r="O389" s="142">
        <f t="shared" si="139"/>
        <v>0</v>
      </c>
      <c r="P389" s="142"/>
      <c r="Q389" s="898"/>
      <c r="R389" s="988"/>
      <c r="S389" s="898"/>
      <c r="T389" s="142"/>
      <c r="U389" s="917">
        <f t="shared" si="140"/>
        <v>0</v>
      </c>
      <c r="V389" s="917">
        <f t="shared" si="141"/>
        <v>0</v>
      </c>
      <c r="W389" s="917">
        <f t="shared" si="142"/>
        <v>0</v>
      </c>
      <c r="X389" s="917">
        <f t="shared" si="143"/>
        <v>0</v>
      </c>
      <c r="Y389" s="919">
        <f t="shared" si="144"/>
        <v>0</v>
      </c>
      <c r="Z389" s="901"/>
    </row>
    <row r="390" spans="1:26" x14ac:dyDescent="0.2">
      <c r="A390" s="909" t="s">
        <v>573</v>
      </c>
      <c r="B390" s="913"/>
      <c r="C390" s="919">
        <f t="shared" ref="C390:N390" si="151">+C95</f>
        <v>0</v>
      </c>
      <c r="D390" s="919">
        <f t="shared" si="151"/>
        <v>0</v>
      </c>
      <c r="E390" s="919">
        <f t="shared" si="151"/>
        <v>0</v>
      </c>
      <c r="F390" s="919">
        <f t="shared" si="151"/>
        <v>0</v>
      </c>
      <c r="G390" s="919">
        <f t="shared" si="151"/>
        <v>0</v>
      </c>
      <c r="H390" s="919">
        <f t="shared" si="151"/>
        <v>0</v>
      </c>
      <c r="I390" s="919">
        <f t="shared" si="151"/>
        <v>0</v>
      </c>
      <c r="J390" s="919">
        <f t="shared" si="151"/>
        <v>0</v>
      </c>
      <c r="K390" s="919">
        <f t="shared" si="151"/>
        <v>0</v>
      </c>
      <c r="L390" s="919">
        <f t="shared" si="151"/>
        <v>0</v>
      </c>
      <c r="M390" s="919">
        <f t="shared" si="151"/>
        <v>0</v>
      </c>
      <c r="N390" s="919">
        <f t="shared" si="151"/>
        <v>0</v>
      </c>
      <c r="O390" s="142">
        <f t="shared" si="139"/>
        <v>0</v>
      </c>
      <c r="P390" s="142"/>
      <c r="Q390" s="898"/>
      <c r="R390" s="988"/>
      <c r="S390" s="898"/>
      <c r="T390" s="142"/>
      <c r="U390" s="917">
        <f t="shared" si="140"/>
        <v>0</v>
      </c>
      <c r="V390" s="917">
        <f t="shared" si="141"/>
        <v>0</v>
      </c>
      <c r="W390" s="917">
        <f t="shared" si="142"/>
        <v>0</v>
      </c>
      <c r="X390" s="917">
        <f t="shared" si="143"/>
        <v>0</v>
      </c>
      <c r="Y390" s="919">
        <f t="shared" si="144"/>
        <v>0</v>
      </c>
      <c r="Z390" s="901"/>
    </row>
    <row r="391" spans="1:26" s="913" customFormat="1" ht="12.75" customHeight="1" x14ac:dyDescent="0.2">
      <c r="A391" s="909" t="s">
        <v>574</v>
      </c>
      <c r="C391" s="919">
        <f t="shared" ref="C391:N391" si="152">+C102</f>
        <v>-14</v>
      </c>
      <c r="D391" s="919">
        <f t="shared" si="152"/>
        <v>-28</v>
      </c>
      <c r="E391" s="919">
        <f t="shared" si="152"/>
        <v>-6</v>
      </c>
      <c r="F391" s="919">
        <f t="shared" si="152"/>
        <v>-6</v>
      </c>
      <c r="G391" s="919">
        <f t="shared" si="152"/>
        <v>-6</v>
      </c>
      <c r="H391" s="919">
        <f t="shared" si="152"/>
        <v>-6</v>
      </c>
      <c r="I391" s="919">
        <f t="shared" si="152"/>
        <v>-5</v>
      </c>
      <c r="J391" s="919">
        <f t="shared" si="152"/>
        <v>-4</v>
      </c>
      <c r="K391" s="919">
        <f t="shared" si="152"/>
        <v>-6</v>
      </c>
      <c r="L391" s="919">
        <f t="shared" si="152"/>
        <v>-5</v>
      </c>
      <c r="M391" s="919">
        <f t="shared" si="152"/>
        <v>-4</v>
      </c>
      <c r="N391" s="919">
        <f t="shared" si="152"/>
        <v>-5</v>
      </c>
      <c r="O391" s="990">
        <f t="shared" si="139"/>
        <v>-95</v>
      </c>
      <c r="P391" s="990"/>
      <c r="Q391" s="923"/>
      <c r="R391" s="989"/>
      <c r="S391" s="923"/>
      <c r="T391" s="990"/>
      <c r="U391" s="917">
        <f t="shared" si="140"/>
        <v>-48</v>
      </c>
      <c r="V391" s="917">
        <f t="shared" si="141"/>
        <v>-18</v>
      </c>
      <c r="W391" s="917">
        <f t="shared" si="142"/>
        <v>-15</v>
      </c>
      <c r="X391" s="917">
        <f t="shared" si="143"/>
        <v>-14</v>
      </c>
      <c r="Y391" s="919">
        <f t="shared" si="144"/>
        <v>-95</v>
      </c>
      <c r="Z391" s="919"/>
    </row>
    <row r="392" spans="1:26" s="913" customFormat="1" ht="12.75" customHeight="1" x14ac:dyDescent="0.2">
      <c r="A392" s="909" t="s">
        <v>575</v>
      </c>
      <c r="C392" s="919">
        <f t="shared" ref="C392:N392" si="153">SUM(C112:C113)</f>
        <v>0</v>
      </c>
      <c r="D392" s="919">
        <f t="shared" si="153"/>
        <v>0</v>
      </c>
      <c r="E392" s="919">
        <f t="shared" si="153"/>
        <v>-106</v>
      </c>
      <c r="F392" s="919">
        <f t="shared" si="153"/>
        <v>0</v>
      </c>
      <c r="G392" s="919">
        <f t="shared" si="153"/>
        <v>0</v>
      </c>
      <c r="H392" s="919">
        <f t="shared" si="153"/>
        <v>0</v>
      </c>
      <c r="I392" s="919">
        <f t="shared" si="153"/>
        <v>18</v>
      </c>
      <c r="J392" s="919">
        <f t="shared" si="153"/>
        <v>0</v>
      </c>
      <c r="K392" s="919">
        <f t="shared" si="153"/>
        <v>0</v>
      </c>
      <c r="L392" s="919">
        <f t="shared" si="153"/>
        <v>0</v>
      </c>
      <c r="M392" s="919">
        <f t="shared" si="153"/>
        <v>0</v>
      </c>
      <c r="N392" s="919">
        <f t="shared" si="153"/>
        <v>0</v>
      </c>
      <c r="O392" s="990">
        <f t="shared" si="139"/>
        <v>-88</v>
      </c>
      <c r="P392" s="990"/>
      <c r="Q392" s="923"/>
      <c r="R392" s="989"/>
      <c r="S392" s="923"/>
      <c r="T392" s="990"/>
      <c r="U392" s="917">
        <f t="shared" si="140"/>
        <v>-106</v>
      </c>
      <c r="V392" s="917">
        <f t="shared" si="141"/>
        <v>0</v>
      </c>
      <c r="W392" s="917">
        <f t="shared" si="142"/>
        <v>18</v>
      </c>
      <c r="X392" s="917">
        <f t="shared" si="143"/>
        <v>0</v>
      </c>
      <c r="Y392" s="919">
        <f t="shared" si="144"/>
        <v>-88</v>
      </c>
      <c r="Z392" s="919"/>
    </row>
    <row r="393" spans="1:26" x14ac:dyDescent="0.2">
      <c r="A393" s="897" t="s">
        <v>576</v>
      </c>
      <c r="B393" s="913"/>
      <c r="C393" s="919">
        <f t="shared" ref="C393:N393" si="154">SUM(C51:C53)</f>
        <v>128</v>
      </c>
      <c r="D393" s="919">
        <f t="shared" si="154"/>
        <v>0</v>
      </c>
      <c r="E393" s="919">
        <f t="shared" si="154"/>
        <v>0</v>
      </c>
      <c r="F393" s="919">
        <f t="shared" si="154"/>
        <v>0</v>
      </c>
      <c r="G393" s="919">
        <f t="shared" si="154"/>
        <v>0</v>
      </c>
      <c r="H393" s="919">
        <f t="shared" si="154"/>
        <v>0</v>
      </c>
      <c r="I393" s="919">
        <f t="shared" si="154"/>
        <v>-4</v>
      </c>
      <c r="J393" s="919">
        <f t="shared" si="154"/>
        <v>0</v>
      </c>
      <c r="K393" s="919">
        <f t="shared" si="154"/>
        <v>0</v>
      </c>
      <c r="L393" s="919">
        <f t="shared" si="154"/>
        <v>0</v>
      </c>
      <c r="M393" s="919">
        <f t="shared" si="154"/>
        <v>0</v>
      </c>
      <c r="N393" s="919">
        <f t="shared" si="154"/>
        <v>0</v>
      </c>
      <c r="O393" s="990">
        <f t="shared" si="139"/>
        <v>124</v>
      </c>
      <c r="P393" s="990"/>
      <c r="Q393" s="898"/>
      <c r="R393" s="988"/>
      <c r="S393" s="898"/>
      <c r="T393" s="990"/>
      <c r="U393" s="917">
        <f t="shared" si="140"/>
        <v>128</v>
      </c>
      <c r="V393" s="917">
        <f t="shared" si="141"/>
        <v>0</v>
      </c>
      <c r="W393" s="917">
        <f t="shared" si="142"/>
        <v>-4</v>
      </c>
      <c r="X393" s="917">
        <f t="shared" si="143"/>
        <v>0</v>
      </c>
      <c r="Y393" s="919">
        <f t="shared" si="144"/>
        <v>124</v>
      </c>
      <c r="Z393" s="901"/>
    </row>
    <row r="394" spans="1:26" x14ac:dyDescent="0.2">
      <c r="A394" s="897" t="s">
        <v>368</v>
      </c>
      <c r="B394" s="913"/>
      <c r="C394" s="906">
        <f>SUM(C114:C124)</f>
        <v>7</v>
      </c>
      <c r="D394" s="906">
        <f>SUM(D114:D124)</f>
        <v>-88</v>
      </c>
      <c r="E394" s="906">
        <f t="shared" ref="E394:N394" si="155">SUM(E114:E124)</f>
        <v>86</v>
      </c>
      <c r="F394" s="906">
        <f t="shared" si="155"/>
        <v>10</v>
      </c>
      <c r="G394" s="906">
        <f t="shared" si="155"/>
        <v>2</v>
      </c>
      <c r="H394" s="906">
        <f t="shared" si="155"/>
        <v>-1</v>
      </c>
      <c r="I394" s="906">
        <f t="shared" si="155"/>
        <v>27</v>
      </c>
      <c r="J394" s="906">
        <f t="shared" si="155"/>
        <v>0</v>
      </c>
      <c r="K394" s="906">
        <f t="shared" si="155"/>
        <v>0</v>
      </c>
      <c r="L394" s="906">
        <f t="shared" si="155"/>
        <v>0</v>
      </c>
      <c r="M394" s="906">
        <f t="shared" si="155"/>
        <v>0</v>
      </c>
      <c r="N394" s="906">
        <f t="shared" si="155"/>
        <v>0</v>
      </c>
      <c r="O394" s="991">
        <f t="shared" si="139"/>
        <v>43</v>
      </c>
      <c r="P394" s="991"/>
      <c r="Q394" s="898"/>
      <c r="R394" s="988"/>
      <c r="S394" s="898"/>
      <c r="T394" s="991"/>
      <c r="U394" s="960">
        <f t="shared" si="140"/>
        <v>5</v>
      </c>
      <c r="V394" s="960">
        <f t="shared" si="141"/>
        <v>11</v>
      </c>
      <c r="W394" s="960">
        <f t="shared" si="142"/>
        <v>27</v>
      </c>
      <c r="X394" s="960">
        <f t="shared" si="143"/>
        <v>0</v>
      </c>
      <c r="Y394" s="906">
        <f t="shared" si="144"/>
        <v>43</v>
      </c>
      <c r="Z394" s="901"/>
    </row>
    <row r="395" spans="1:26" ht="3.95" customHeight="1" x14ac:dyDescent="0.2">
      <c r="A395" s="928"/>
      <c r="B395" s="913"/>
      <c r="C395" s="919"/>
      <c r="D395" s="919"/>
      <c r="E395" s="919"/>
      <c r="F395" s="919"/>
      <c r="G395" s="919"/>
      <c r="H395" s="919"/>
      <c r="I395" s="919"/>
      <c r="J395" s="919"/>
      <c r="K395" s="919"/>
      <c r="L395" s="919"/>
      <c r="M395" s="919"/>
      <c r="N395" s="919"/>
      <c r="O395" s="917"/>
      <c r="P395" s="917"/>
      <c r="Q395" s="898"/>
      <c r="R395" s="988"/>
      <c r="S395" s="898"/>
      <c r="T395" s="917"/>
      <c r="U395" s="917"/>
      <c r="V395" s="917"/>
      <c r="W395" s="917"/>
      <c r="X395" s="917"/>
      <c r="Y395" s="919"/>
      <c r="Z395" s="901"/>
    </row>
    <row r="396" spans="1:26" x14ac:dyDescent="0.2">
      <c r="A396" s="912" t="s">
        <v>577</v>
      </c>
      <c r="B396" s="913"/>
      <c r="C396" s="963">
        <f t="shared" ref="C396:O396" si="156">SUM(C383:C394)</f>
        <v>17793</v>
      </c>
      <c r="D396" s="963">
        <f t="shared" si="156"/>
        <v>21164</v>
      </c>
      <c r="E396" s="963">
        <f t="shared" si="156"/>
        <v>8864</v>
      </c>
      <c r="F396" s="963">
        <f t="shared" si="156"/>
        <v>17752</v>
      </c>
      <c r="G396" s="963">
        <f t="shared" si="156"/>
        <v>18251</v>
      </c>
      <c r="H396" s="963">
        <f t="shared" si="156"/>
        <v>16344</v>
      </c>
      <c r="I396" s="963">
        <f t="shared" si="156"/>
        <v>16326</v>
      </c>
      <c r="J396" s="963">
        <f t="shared" si="156"/>
        <v>16201</v>
      </c>
      <c r="K396" s="963">
        <f t="shared" si="156"/>
        <v>15231</v>
      </c>
      <c r="L396" s="963">
        <f t="shared" si="156"/>
        <v>15080</v>
      </c>
      <c r="M396" s="963">
        <f t="shared" si="156"/>
        <v>14239</v>
      </c>
      <c r="N396" s="963">
        <f t="shared" si="156"/>
        <v>14344</v>
      </c>
      <c r="O396" s="963">
        <f t="shared" si="156"/>
        <v>191589</v>
      </c>
      <c r="P396" s="963"/>
      <c r="Q396" s="898"/>
      <c r="R396" s="988"/>
      <c r="S396" s="898"/>
      <c r="T396" s="963"/>
      <c r="U396" s="963">
        <f>SUM(U383:U394)</f>
        <v>47821</v>
      </c>
      <c r="V396" s="963">
        <f>SUM(V383:V394)</f>
        <v>52347</v>
      </c>
      <c r="W396" s="963">
        <f>SUM(W383:W394)</f>
        <v>47758</v>
      </c>
      <c r="X396" s="963">
        <f>SUM(X383:X394)</f>
        <v>43663</v>
      </c>
      <c r="Y396" s="963">
        <f>SUM(Y383:Y394)</f>
        <v>191589</v>
      </c>
      <c r="Z396" s="901"/>
    </row>
    <row r="397" spans="1:26" ht="6" customHeight="1" x14ac:dyDescent="0.2">
      <c r="A397" s="912"/>
      <c r="B397" s="913"/>
      <c r="C397" s="919"/>
      <c r="D397" s="919"/>
      <c r="E397" s="919"/>
      <c r="F397" s="919"/>
      <c r="G397" s="919"/>
      <c r="H397" s="919"/>
      <c r="I397" s="919"/>
      <c r="J397" s="919"/>
      <c r="K397" s="919"/>
      <c r="L397" s="919"/>
      <c r="M397" s="919"/>
      <c r="N397" s="919"/>
      <c r="O397" s="917"/>
      <c r="P397" s="917"/>
      <c r="Q397" s="898"/>
      <c r="R397" s="988"/>
      <c r="S397" s="898"/>
      <c r="T397" s="917"/>
      <c r="U397" s="917"/>
      <c r="V397" s="917"/>
      <c r="W397" s="917"/>
      <c r="X397" s="917"/>
      <c r="Y397" s="919"/>
      <c r="Z397" s="901"/>
    </row>
    <row r="398" spans="1:26" x14ac:dyDescent="0.2">
      <c r="A398" s="912" t="s">
        <v>578</v>
      </c>
      <c r="B398" s="913"/>
      <c r="C398" s="919"/>
      <c r="D398" s="919"/>
      <c r="E398" s="919"/>
      <c r="F398" s="919"/>
      <c r="G398" s="919"/>
      <c r="H398" s="919"/>
      <c r="I398" s="919"/>
      <c r="J398" s="919"/>
      <c r="K398" s="919"/>
      <c r="L398" s="919"/>
      <c r="M398" s="919"/>
      <c r="N398" s="919"/>
      <c r="O398" s="917"/>
      <c r="P398" s="917"/>
      <c r="Q398" s="898"/>
      <c r="R398" s="988"/>
      <c r="S398" s="898"/>
      <c r="T398" s="917"/>
      <c r="U398" s="917"/>
      <c r="V398" s="917"/>
      <c r="W398" s="917"/>
      <c r="X398" s="917"/>
      <c r="Y398" s="919"/>
      <c r="Z398" s="901"/>
    </row>
    <row r="399" spans="1:26" x14ac:dyDescent="0.2">
      <c r="A399" s="909" t="s">
        <v>569</v>
      </c>
      <c r="B399" s="913"/>
      <c r="C399" s="919">
        <f t="shared" ref="C399:N399" si="157">+C142</f>
        <v>-119</v>
      </c>
      <c r="D399" s="919">
        <f t="shared" si="157"/>
        <v>-131</v>
      </c>
      <c r="E399" s="919">
        <f t="shared" si="157"/>
        <v>-141</v>
      </c>
      <c r="F399" s="919">
        <f t="shared" si="157"/>
        <v>-132</v>
      </c>
      <c r="G399" s="919">
        <f t="shared" si="157"/>
        <v>-130</v>
      </c>
      <c r="H399" s="919">
        <f t="shared" si="157"/>
        <v>-125</v>
      </c>
      <c r="I399" s="919">
        <f t="shared" si="157"/>
        <v>-133</v>
      </c>
      <c r="J399" s="919">
        <f t="shared" si="157"/>
        <v>-123</v>
      </c>
      <c r="K399" s="919">
        <f t="shared" si="157"/>
        <v>-196</v>
      </c>
      <c r="L399" s="919">
        <f t="shared" si="157"/>
        <v>-146</v>
      </c>
      <c r="M399" s="919">
        <f t="shared" si="157"/>
        <v>-206</v>
      </c>
      <c r="N399" s="919">
        <f t="shared" si="157"/>
        <v>-169</v>
      </c>
      <c r="O399" s="990">
        <f>SUM(C399:N399)</f>
        <v>-1751</v>
      </c>
      <c r="P399" s="990"/>
      <c r="Q399" s="898"/>
      <c r="R399" s="988"/>
      <c r="S399" s="898"/>
      <c r="T399" s="990"/>
      <c r="U399" s="917">
        <f>C399+D399+E399</f>
        <v>-391</v>
      </c>
      <c r="V399" s="917">
        <f>F399+G399+H399</f>
        <v>-387</v>
      </c>
      <c r="W399" s="917">
        <f>I399+J399+K399</f>
        <v>-452</v>
      </c>
      <c r="X399" s="917">
        <f>L399+M399+N399</f>
        <v>-521</v>
      </c>
      <c r="Y399" s="919">
        <f>SUM(U399:X399)</f>
        <v>-1751</v>
      </c>
      <c r="Z399" s="901"/>
    </row>
    <row r="400" spans="1:26" x14ac:dyDescent="0.2">
      <c r="A400" s="909" t="s">
        <v>573</v>
      </c>
      <c r="B400" s="913"/>
      <c r="C400" s="919">
        <f>+C1444</f>
        <v>0</v>
      </c>
      <c r="D400" s="919">
        <f t="shared" ref="D400:N400" si="158">+D1444</f>
        <v>0</v>
      </c>
      <c r="E400" s="919">
        <f t="shared" si="158"/>
        <v>0</v>
      </c>
      <c r="F400" s="919">
        <f t="shared" si="158"/>
        <v>0</v>
      </c>
      <c r="G400" s="919">
        <f t="shared" si="158"/>
        <v>0</v>
      </c>
      <c r="H400" s="919">
        <f t="shared" si="158"/>
        <v>0</v>
      </c>
      <c r="I400" s="919">
        <f t="shared" si="158"/>
        <v>0</v>
      </c>
      <c r="J400" s="919">
        <f t="shared" si="158"/>
        <v>0</v>
      </c>
      <c r="K400" s="919">
        <f t="shared" si="158"/>
        <v>0</v>
      </c>
      <c r="L400" s="919">
        <f t="shared" si="158"/>
        <v>0</v>
      </c>
      <c r="M400" s="919">
        <f t="shared" si="158"/>
        <v>0</v>
      </c>
      <c r="N400" s="919">
        <f t="shared" si="158"/>
        <v>0</v>
      </c>
      <c r="O400" s="990">
        <f>SUM(C400:N400)</f>
        <v>0</v>
      </c>
      <c r="P400" s="990"/>
      <c r="Q400" s="898"/>
      <c r="R400" s="988"/>
      <c r="S400" s="898"/>
      <c r="T400" s="990"/>
      <c r="U400" s="917">
        <f>C400+D400+E400</f>
        <v>0</v>
      </c>
      <c r="V400" s="917">
        <f>F400+G400+H400</f>
        <v>0</v>
      </c>
      <c r="W400" s="917">
        <f>I400+J400+K400</f>
        <v>0</v>
      </c>
      <c r="X400" s="917">
        <f>L400+M400+N400</f>
        <v>0</v>
      </c>
      <c r="Y400" s="919">
        <f>SUM(U400:X400)</f>
        <v>0</v>
      </c>
      <c r="Z400" s="901"/>
    </row>
    <row r="401" spans="1:26" x14ac:dyDescent="0.2">
      <c r="A401" s="909" t="s">
        <v>574</v>
      </c>
      <c r="B401" s="913"/>
      <c r="C401" s="919">
        <f t="shared" ref="C401:N401" si="159">+C146</f>
        <v>-17</v>
      </c>
      <c r="D401" s="919">
        <f t="shared" si="159"/>
        <v>-17</v>
      </c>
      <c r="E401" s="919">
        <f t="shared" si="159"/>
        <v>-9</v>
      </c>
      <c r="F401" s="919">
        <f t="shared" si="159"/>
        <v>-9</v>
      </c>
      <c r="G401" s="919">
        <f t="shared" si="159"/>
        <v>-9</v>
      </c>
      <c r="H401" s="919">
        <f t="shared" si="159"/>
        <v>-9</v>
      </c>
      <c r="I401" s="919">
        <f t="shared" si="159"/>
        <v>-9</v>
      </c>
      <c r="J401" s="919">
        <f t="shared" si="159"/>
        <v>-9</v>
      </c>
      <c r="K401" s="919">
        <f t="shared" si="159"/>
        <v>-9</v>
      </c>
      <c r="L401" s="919">
        <f t="shared" si="159"/>
        <v>-9</v>
      </c>
      <c r="M401" s="919">
        <f t="shared" si="159"/>
        <v>-9</v>
      </c>
      <c r="N401" s="919">
        <f t="shared" si="159"/>
        <v>-9</v>
      </c>
      <c r="O401" s="990">
        <f>SUM(C401:N401)</f>
        <v>-124</v>
      </c>
      <c r="P401" s="990"/>
      <c r="Q401" s="898"/>
      <c r="R401" s="988"/>
      <c r="S401" s="898"/>
      <c r="T401" s="990"/>
      <c r="U401" s="917">
        <f>C401+D401+E401</f>
        <v>-43</v>
      </c>
      <c r="V401" s="917">
        <f>F401+G401+H401</f>
        <v>-27</v>
      </c>
      <c r="W401" s="917">
        <f>I401+J401+K401</f>
        <v>-27</v>
      </c>
      <c r="X401" s="917">
        <f>L401+M401+N401</f>
        <v>-27</v>
      </c>
      <c r="Y401" s="919">
        <f>SUM(U401:X401)</f>
        <v>-124</v>
      </c>
      <c r="Z401" s="901"/>
    </row>
    <row r="402" spans="1:26" x14ac:dyDescent="0.2">
      <c r="A402" s="909" t="s">
        <v>579</v>
      </c>
      <c r="B402" s="913"/>
      <c r="C402" s="906">
        <f t="shared" ref="C402:N402" si="160">+C134</f>
        <v>0</v>
      </c>
      <c r="D402" s="906">
        <f t="shared" si="160"/>
        <v>0</v>
      </c>
      <c r="E402" s="906">
        <f t="shared" si="160"/>
        <v>0</v>
      </c>
      <c r="F402" s="906">
        <f t="shared" si="160"/>
        <v>0</v>
      </c>
      <c r="G402" s="906">
        <f t="shared" si="160"/>
        <v>0</v>
      </c>
      <c r="H402" s="906">
        <f t="shared" si="160"/>
        <v>0</v>
      </c>
      <c r="I402" s="906">
        <f t="shared" si="160"/>
        <v>0</v>
      </c>
      <c r="J402" s="906">
        <f t="shared" si="160"/>
        <v>0</v>
      </c>
      <c r="K402" s="906">
        <f t="shared" si="160"/>
        <v>0</v>
      </c>
      <c r="L402" s="906">
        <f t="shared" si="160"/>
        <v>0</v>
      </c>
      <c r="M402" s="906">
        <f t="shared" si="160"/>
        <v>0</v>
      </c>
      <c r="N402" s="906">
        <f t="shared" si="160"/>
        <v>0</v>
      </c>
      <c r="O402" s="991">
        <f>SUM(C402:N402)</f>
        <v>0</v>
      </c>
      <c r="P402" s="991"/>
      <c r="Q402" s="898"/>
      <c r="R402" s="988"/>
      <c r="S402" s="898"/>
      <c r="T402" s="991"/>
      <c r="U402" s="960">
        <f>C402+D402+E402</f>
        <v>0</v>
      </c>
      <c r="V402" s="960">
        <f>F402+G402+H402</f>
        <v>0</v>
      </c>
      <c r="W402" s="960">
        <f>I402+J402+K402</f>
        <v>0</v>
      </c>
      <c r="X402" s="960">
        <f>L402+M402+N402</f>
        <v>0</v>
      </c>
      <c r="Y402" s="906">
        <f>SUM(U402:X402)</f>
        <v>0</v>
      </c>
      <c r="Z402" s="901"/>
    </row>
    <row r="403" spans="1:26" ht="3.95" customHeight="1" x14ac:dyDescent="0.2">
      <c r="A403" s="912"/>
      <c r="B403" s="913"/>
      <c r="C403" s="919"/>
      <c r="D403" s="919"/>
      <c r="E403" s="919"/>
      <c r="F403" s="919"/>
      <c r="G403" s="919"/>
      <c r="H403" s="919"/>
      <c r="I403" s="919"/>
      <c r="J403" s="919"/>
      <c r="K403" s="919"/>
      <c r="L403" s="919"/>
      <c r="M403" s="919"/>
      <c r="N403" s="919"/>
      <c r="O403" s="917"/>
      <c r="P403" s="917"/>
      <c r="Q403" s="898"/>
      <c r="R403" s="988"/>
      <c r="S403" s="898"/>
      <c r="T403" s="917"/>
      <c r="U403" s="917"/>
      <c r="V403" s="917"/>
      <c r="W403" s="917"/>
      <c r="X403" s="917"/>
      <c r="Y403" s="919"/>
      <c r="Z403" s="901"/>
    </row>
    <row r="404" spans="1:26" x14ac:dyDescent="0.2">
      <c r="A404" s="912" t="s">
        <v>611</v>
      </c>
      <c r="B404" s="913"/>
      <c r="C404" s="963">
        <f t="shared" ref="C404:O404" si="161">SUM(C399:C402)</f>
        <v>-136</v>
      </c>
      <c r="D404" s="963">
        <f t="shared" si="161"/>
        <v>-148</v>
      </c>
      <c r="E404" s="963">
        <f t="shared" si="161"/>
        <v>-150</v>
      </c>
      <c r="F404" s="963">
        <f t="shared" si="161"/>
        <v>-141</v>
      </c>
      <c r="G404" s="963">
        <f t="shared" si="161"/>
        <v>-139</v>
      </c>
      <c r="H404" s="963">
        <f t="shared" si="161"/>
        <v>-134</v>
      </c>
      <c r="I404" s="963">
        <f t="shared" si="161"/>
        <v>-142</v>
      </c>
      <c r="J404" s="963">
        <f t="shared" si="161"/>
        <v>-132</v>
      </c>
      <c r="K404" s="963">
        <f t="shared" si="161"/>
        <v>-205</v>
      </c>
      <c r="L404" s="963">
        <f t="shared" si="161"/>
        <v>-155</v>
      </c>
      <c r="M404" s="963">
        <f t="shared" si="161"/>
        <v>-215</v>
      </c>
      <c r="N404" s="963">
        <f t="shared" si="161"/>
        <v>-178</v>
      </c>
      <c r="O404" s="963">
        <f t="shared" si="161"/>
        <v>-1875</v>
      </c>
      <c r="P404" s="963"/>
      <c r="Q404" s="898"/>
      <c r="R404" s="988"/>
      <c r="S404" s="898"/>
      <c r="T404" s="963"/>
      <c r="U404" s="963">
        <f>SUM(U399:U402)</f>
        <v>-434</v>
      </c>
      <c r="V404" s="963">
        <f>SUM(V399:V402)</f>
        <v>-414</v>
      </c>
      <c r="W404" s="963">
        <f>SUM(W399:W402)</f>
        <v>-479</v>
      </c>
      <c r="X404" s="963">
        <f>SUM(X399:X402)</f>
        <v>-548</v>
      </c>
      <c r="Y404" s="963">
        <f>SUM(Y399:Y402)</f>
        <v>-1875</v>
      </c>
      <c r="Z404" s="901"/>
    </row>
    <row r="405" spans="1:26" ht="6" customHeight="1" x14ac:dyDescent="0.2">
      <c r="A405" s="912"/>
      <c r="B405" s="913"/>
      <c r="C405" s="919"/>
      <c r="D405" s="919"/>
      <c r="E405" s="919"/>
      <c r="F405" s="919"/>
      <c r="G405" s="919"/>
      <c r="H405" s="919"/>
      <c r="I405" s="919"/>
      <c r="J405" s="919"/>
      <c r="K405" s="919"/>
      <c r="L405" s="919"/>
      <c r="M405" s="919"/>
      <c r="N405" s="919"/>
      <c r="O405" s="917"/>
      <c r="P405" s="917"/>
      <c r="Q405" s="898"/>
      <c r="R405" s="988"/>
      <c r="S405" s="898"/>
      <c r="T405" s="917"/>
      <c r="U405" s="917"/>
      <c r="V405" s="917"/>
      <c r="W405" s="917"/>
      <c r="X405" s="917"/>
      <c r="Y405" s="919"/>
      <c r="Z405" s="901"/>
    </row>
    <row r="406" spans="1:26" x14ac:dyDescent="0.2">
      <c r="A406" s="912" t="s">
        <v>612</v>
      </c>
      <c r="B406" s="913"/>
      <c r="C406" s="919"/>
      <c r="D406" s="919"/>
      <c r="E406" s="919"/>
      <c r="F406" s="919"/>
      <c r="G406" s="919"/>
      <c r="H406" s="919"/>
      <c r="I406" s="919"/>
      <c r="J406" s="919"/>
      <c r="K406" s="919"/>
      <c r="L406" s="919"/>
      <c r="M406" s="919"/>
      <c r="N406" s="919"/>
      <c r="O406" s="917"/>
      <c r="P406" s="917"/>
      <c r="Q406" s="898"/>
      <c r="R406" s="988"/>
      <c r="S406" s="898"/>
      <c r="T406" s="917"/>
      <c r="U406" s="917"/>
      <c r="V406" s="917"/>
      <c r="W406" s="917"/>
      <c r="X406" s="917"/>
      <c r="Y406" s="919"/>
      <c r="Z406" s="901"/>
    </row>
    <row r="407" spans="1:26" x14ac:dyDescent="0.2">
      <c r="A407" s="909" t="s">
        <v>569</v>
      </c>
      <c r="B407" s="913"/>
      <c r="C407" s="919">
        <f t="shared" ref="C407:N407" si="162">+C170</f>
        <v>-1870</v>
      </c>
      <c r="D407" s="919">
        <f t="shared" si="162"/>
        <v>-2099</v>
      </c>
      <c r="E407" s="919">
        <f t="shared" si="162"/>
        <v>-2611</v>
      </c>
      <c r="F407" s="919">
        <f t="shared" si="162"/>
        <v>-1806</v>
      </c>
      <c r="G407" s="919">
        <f t="shared" si="162"/>
        <v>-2795</v>
      </c>
      <c r="H407" s="919">
        <f t="shared" si="162"/>
        <v>-2490</v>
      </c>
      <c r="I407" s="919">
        <f t="shared" si="162"/>
        <v>-2181</v>
      </c>
      <c r="J407" s="919">
        <f t="shared" si="162"/>
        <v>-2478</v>
      </c>
      <c r="K407" s="919">
        <f t="shared" si="162"/>
        <v>-1132</v>
      </c>
      <c r="L407" s="919">
        <f t="shared" si="162"/>
        <v>-1748</v>
      </c>
      <c r="M407" s="919">
        <f t="shared" si="162"/>
        <v>-1688</v>
      </c>
      <c r="N407" s="919">
        <f t="shared" si="162"/>
        <v>-827</v>
      </c>
      <c r="O407" s="990">
        <f>SUM(C407:N407)</f>
        <v>-23725</v>
      </c>
      <c r="P407" s="990"/>
      <c r="Q407" s="898"/>
      <c r="R407" s="988"/>
      <c r="S407" s="898"/>
      <c r="T407" s="990"/>
      <c r="U407" s="917">
        <f>C407+D407+E407</f>
        <v>-6580</v>
      </c>
      <c r="V407" s="917">
        <f>F407+G407+H407</f>
        <v>-7091</v>
      </c>
      <c r="W407" s="917">
        <f>I407+J407+K407</f>
        <v>-5791</v>
      </c>
      <c r="X407" s="917">
        <f>L407+M407+N407</f>
        <v>-4263</v>
      </c>
      <c r="Y407" s="919">
        <f>SUM(U407:X407)</f>
        <v>-23725</v>
      </c>
      <c r="Z407" s="901"/>
    </row>
    <row r="408" spans="1:26" x14ac:dyDescent="0.2">
      <c r="A408" s="909" t="s">
        <v>573</v>
      </c>
      <c r="B408" s="913"/>
      <c r="C408" s="919">
        <f>+C172</f>
        <v>0</v>
      </c>
      <c r="D408" s="919">
        <f t="shared" ref="D408:N408" si="163">+D172</f>
        <v>0</v>
      </c>
      <c r="E408" s="919">
        <f t="shared" si="163"/>
        <v>0</v>
      </c>
      <c r="F408" s="919">
        <f t="shared" si="163"/>
        <v>0</v>
      </c>
      <c r="G408" s="919">
        <f t="shared" si="163"/>
        <v>0</v>
      </c>
      <c r="H408" s="919">
        <f t="shared" si="163"/>
        <v>0</v>
      </c>
      <c r="I408" s="919">
        <f t="shared" si="163"/>
        <v>0</v>
      </c>
      <c r="J408" s="919">
        <f t="shared" si="163"/>
        <v>0</v>
      </c>
      <c r="K408" s="919">
        <f t="shared" si="163"/>
        <v>0</v>
      </c>
      <c r="L408" s="919">
        <f t="shared" si="163"/>
        <v>0</v>
      </c>
      <c r="M408" s="919">
        <f t="shared" si="163"/>
        <v>0</v>
      </c>
      <c r="N408" s="919">
        <f t="shared" si="163"/>
        <v>0</v>
      </c>
      <c r="O408" s="990">
        <f>SUM(C408:N408)</f>
        <v>0</v>
      </c>
      <c r="P408" s="990"/>
      <c r="Q408" s="898"/>
      <c r="R408" s="988"/>
      <c r="S408" s="898"/>
      <c r="T408" s="990"/>
      <c r="U408" s="917">
        <f>C408+D408+E408</f>
        <v>0</v>
      </c>
      <c r="V408" s="917">
        <f>F408+G408+H408</f>
        <v>0</v>
      </c>
      <c r="W408" s="917">
        <f>I408+J408+K408</f>
        <v>0</v>
      </c>
      <c r="X408" s="917">
        <f>L408+M408+N408</f>
        <v>0</v>
      </c>
      <c r="Y408" s="919">
        <f>SUM(U408:X408)</f>
        <v>0</v>
      </c>
      <c r="Z408" s="901"/>
    </row>
    <row r="409" spans="1:26" x14ac:dyDescent="0.2">
      <c r="A409" s="909" t="s">
        <v>574</v>
      </c>
      <c r="B409" s="913"/>
      <c r="C409" s="919">
        <f t="shared" ref="C409:N409" si="164">+C174</f>
        <v>-77</v>
      </c>
      <c r="D409" s="919">
        <f t="shared" si="164"/>
        <v>-109</v>
      </c>
      <c r="E409" s="919">
        <f t="shared" si="164"/>
        <v>-61</v>
      </c>
      <c r="F409" s="919">
        <f t="shared" si="164"/>
        <v>-60</v>
      </c>
      <c r="G409" s="919">
        <f t="shared" si="164"/>
        <v>-64</v>
      </c>
      <c r="H409" s="919">
        <f t="shared" si="164"/>
        <v>-65</v>
      </c>
      <c r="I409" s="919">
        <f t="shared" si="164"/>
        <v>-55</v>
      </c>
      <c r="J409" s="919">
        <f t="shared" si="164"/>
        <v>-54</v>
      </c>
      <c r="K409" s="919">
        <f t="shared" si="164"/>
        <v>-57</v>
      </c>
      <c r="L409" s="919">
        <f t="shared" si="164"/>
        <v>-56</v>
      </c>
      <c r="M409" s="919">
        <f t="shared" si="164"/>
        <v>-57</v>
      </c>
      <c r="N409" s="919">
        <f t="shared" si="164"/>
        <v>-56</v>
      </c>
      <c r="O409" s="990">
        <f>SUM(C409:N409)</f>
        <v>-771</v>
      </c>
      <c r="P409" s="990"/>
      <c r="Q409" s="898"/>
      <c r="R409" s="988"/>
      <c r="S409" s="898"/>
      <c r="T409" s="990"/>
      <c r="U409" s="917">
        <f>C409+D409+E409</f>
        <v>-247</v>
      </c>
      <c r="V409" s="917">
        <f>F409+G409+H409</f>
        <v>-189</v>
      </c>
      <c r="W409" s="917">
        <f>I409+J409+K409</f>
        <v>-166</v>
      </c>
      <c r="X409" s="917">
        <f>L409+M409+N409</f>
        <v>-169</v>
      </c>
      <c r="Y409" s="919">
        <f>SUM(U409:X409)</f>
        <v>-771</v>
      </c>
      <c r="Z409" s="901"/>
    </row>
    <row r="410" spans="1:26" x14ac:dyDescent="0.2">
      <c r="A410" s="909" t="s">
        <v>613</v>
      </c>
      <c r="B410" s="913"/>
      <c r="C410" s="906">
        <f t="shared" ref="C410:N410" si="165">+C153</f>
        <v>0</v>
      </c>
      <c r="D410" s="906">
        <f t="shared" si="165"/>
        <v>0</v>
      </c>
      <c r="E410" s="906">
        <f t="shared" si="165"/>
        <v>0</v>
      </c>
      <c r="F410" s="906">
        <f t="shared" si="165"/>
        <v>0</v>
      </c>
      <c r="G410" s="906">
        <f t="shared" si="165"/>
        <v>-21</v>
      </c>
      <c r="H410" s="906">
        <f t="shared" si="165"/>
        <v>0</v>
      </c>
      <c r="I410" s="906">
        <f t="shared" si="165"/>
        <v>0</v>
      </c>
      <c r="J410" s="906">
        <f t="shared" si="165"/>
        <v>-9</v>
      </c>
      <c r="K410" s="906">
        <f t="shared" si="165"/>
        <v>0</v>
      </c>
      <c r="L410" s="906">
        <f t="shared" si="165"/>
        <v>0</v>
      </c>
      <c r="M410" s="906">
        <f t="shared" si="165"/>
        <v>0</v>
      </c>
      <c r="N410" s="906">
        <f t="shared" si="165"/>
        <v>0</v>
      </c>
      <c r="O410" s="991">
        <f>SUM(C410:N410)</f>
        <v>-30</v>
      </c>
      <c r="P410" s="991"/>
      <c r="Q410" s="898"/>
      <c r="R410" s="988"/>
      <c r="S410" s="898"/>
      <c r="T410" s="991"/>
      <c r="U410" s="960">
        <f>C410+D410+E410</f>
        <v>0</v>
      </c>
      <c r="V410" s="960">
        <f>F410+G410+H410</f>
        <v>-21</v>
      </c>
      <c r="W410" s="960">
        <f>I410+J410+K410</f>
        <v>-9</v>
      </c>
      <c r="X410" s="960">
        <f>L410+M410+N410</f>
        <v>0</v>
      </c>
      <c r="Y410" s="906">
        <f>SUM(U410:X410)</f>
        <v>-30</v>
      </c>
      <c r="Z410" s="901"/>
    </row>
    <row r="411" spans="1:26" ht="3.95" customHeight="1" x14ac:dyDescent="0.2">
      <c r="A411" s="912"/>
      <c r="B411" s="913"/>
      <c r="C411" s="919"/>
      <c r="D411" s="919"/>
      <c r="E411" s="919"/>
      <c r="F411" s="919"/>
      <c r="G411" s="919"/>
      <c r="H411" s="919"/>
      <c r="I411" s="919"/>
      <c r="J411" s="919"/>
      <c r="K411" s="919"/>
      <c r="L411" s="919"/>
      <c r="M411" s="919"/>
      <c r="N411" s="919"/>
      <c r="O411" s="917"/>
      <c r="P411" s="917"/>
      <c r="Q411" s="898"/>
      <c r="R411" s="988"/>
      <c r="S411" s="898"/>
      <c r="T411" s="917"/>
      <c r="U411" s="917"/>
      <c r="V411" s="917"/>
      <c r="W411" s="917"/>
      <c r="X411" s="917"/>
      <c r="Y411" s="919"/>
      <c r="Z411" s="901"/>
    </row>
    <row r="412" spans="1:26" x14ac:dyDescent="0.2">
      <c r="A412" s="912" t="s">
        <v>614</v>
      </c>
      <c r="B412" s="913"/>
      <c r="C412" s="963">
        <f t="shared" ref="C412:O412" si="166">SUM(C407:C410)</f>
        <v>-1947</v>
      </c>
      <c r="D412" s="963">
        <f t="shared" si="166"/>
        <v>-2208</v>
      </c>
      <c r="E412" s="963">
        <f t="shared" si="166"/>
        <v>-2672</v>
      </c>
      <c r="F412" s="963">
        <f t="shared" si="166"/>
        <v>-1866</v>
      </c>
      <c r="G412" s="963">
        <f t="shared" si="166"/>
        <v>-2880</v>
      </c>
      <c r="H412" s="963">
        <f t="shared" si="166"/>
        <v>-2555</v>
      </c>
      <c r="I412" s="963">
        <f t="shared" si="166"/>
        <v>-2236</v>
      </c>
      <c r="J412" s="963">
        <f t="shared" si="166"/>
        <v>-2541</v>
      </c>
      <c r="K412" s="963">
        <f t="shared" si="166"/>
        <v>-1189</v>
      </c>
      <c r="L412" s="963">
        <f t="shared" si="166"/>
        <v>-1804</v>
      </c>
      <c r="M412" s="963">
        <f t="shared" si="166"/>
        <v>-1745</v>
      </c>
      <c r="N412" s="963">
        <f t="shared" si="166"/>
        <v>-883</v>
      </c>
      <c r="O412" s="963">
        <f t="shared" si="166"/>
        <v>-24526</v>
      </c>
      <c r="P412" s="963"/>
      <c r="Q412" s="898"/>
      <c r="R412" s="988"/>
      <c r="S412" s="898"/>
      <c r="T412" s="963"/>
      <c r="U412" s="963">
        <f>SUM(U407:U410)</f>
        <v>-6827</v>
      </c>
      <c r="V412" s="963">
        <f>SUM(V407:V410)</f>
        <v>-7301</v>
      </c>
      <c r="W412" s="963">
        <f>SUM(W407:W410)</f>
        <v>-5966</v>
      </c>
      <c r="X412" s="963">
        <f>SUM(X407:X410)</f>
        <v>-4432</v>
      </c>
      <c r="Y412" s="963">
        <f>SUM(Y407:Y410)</f>
        <v>-24526</v>
      </c>
      <c r="Z412" s="901"/>
    </row>
    <row r="413" spans="1:26" ht="6" customHeight="1" x14ac:dyDescent="0.2">
      <c r="A413" s="912"/>
      <c r="B413" s="913"/>
      <c r="C413" s="919"/>
      <c r="D413" s="919"/>
      <c r="E413" s="919"/>
      <c r="F413" s="919"/>
      <c r="G413" s="919"/>
      <c r="H413" s="919"/>
      <c r="I413" s="919"/>
      <c r="J413" s="919"/>
      <c r="K413" s="919"/>
      <c r="L413" s="919"/>
      <c r="M413" s="919"/>
      <c r="N413" s="919"/>
      <c r="O413" s="917"/>
      <c r="P413" s="917"/>
      <c r="Q413" s="898"/>
      <c r="R413" s="988"/>
      <c r="S413" s="898"/>
      <c r="T413" s="917"/>
      <c r="U413" s="917"/>
      <c r="V413" s="917"/>
      <c r="W413" s="917"/>
      <c r="X413" s="917"/>
      <c r="Y413" s="919"/>
      <c r="Z413" s="901"/>
    </row>
    <row r="414" spans="1:26" x14ac:dyDescent="0.2">
      <c r="A414" s="912" t="s">
        <v>615</v>
      </c>
      <c r="B414" s="913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7"/>
      <c r="P414" s="917"/>
      <c r="Q414" s="898"/>
      <c r="R414" s="988"/>
      <c r="S414" s="898"/>
      <c r="T414" s="917"/>
      <c r="U414" s="917"/>
      <c r="V414" s="917"/>
      <c r="W414" s="917"/>
      <c r="X414" s="917"/>
      <c r="Y414" s="919"/>
      <c r="Z414" s="901"/>
    </row>
    <row r="415" spans="1:26" x14ac:dyDescent="0.2">
      <c r="A415" s="909" t="s">
        <v>568</v>
      </c>
      <c r="B415" s="913"/>
      <c r="C415" s="919">
        <f t="shared" ref="C415:N415" si="167">+C182</f>
        <v>0</v>
      </c>
      <c r="D415" s="919">
        <f t="shared" si="167"/>
        <v>0</v>
      </c>
      <c r="E415" s="919">
        <f t="shared" si="167"/>
        <v>0</v>
      </c>
      <c r="F415" s="919">
        <f t="shared" si="167"/>
        <v>0</v>
      </c>
      <c r="G415" s="919">
        <f t="shared" si="167"/>
        <v>0</v>
      </c>
      <c r="H415" s="919">
        <f t="shared" si="167"/>
        <v>0</v>
      </c>
      <c r="I415" s="919">
        <f t="shared" si="167"/>
        <v>0</v>
      </c>
      <c r="J415" s="919">
        <f t="shared" si="167"/>
        <v>0</v>
      </c>
      <c r="K415" s="919">
        <f t="shared" si="167"/>
        <v>0</v>
      </c>
      <c r="L415" s="919">
        <f t="shared" si="167"/>
        <v>0</v>
      </c>
      <c r="M415" s="919">
        <f t="shared" si="167"/>
        <v>0</v>
      </c>
      <c r="N415" s="919">
        <f t="shared" si="167"/>
        <v>0</v>
      </c>
      <c r="O415" s="990">
        <f t="shared" ref="O415:O422" si="168">SUM(C415:N415)</f>
        <v>0</v>
      </c>
      <c r="P415" s="990"/>
      <c r="Q415" s="898"/>
      <c r="R415" s="988"/>
      <c r="S415" s="898"/>
      <c r="T415" s="990"/>
      <c r="U415" s="917">
        <f t="shared" ref="U415:U422" si="169">C415+D415+E415</f>
        <v>0</v>
      </c>
      <c r="V415" s="917">
        <f t="shared" ref="V415:V422" si="170">F415+G415+H415</f>
        <v>0</v>
      </c>
      <c r="W415" s="917">
        <f t="shared" ref="W415:W422" si="171">I415+J415+K415</f>
        <v>0</v>
      </c>
      <c r="X415" s="917">
        <f t="shared" ref="X415:X422" si="172">L415+M415+N415</f>
        <v>0</v>
      </c>
      <c r="Y415" s="919">
        <f t="shared" ref="Y415:Y422" si="173">SUM(U415:X415)</f>
        <v>0</v>
      </c>
      <c r="Z415" s="901"/>
    </row>
    <row r="416" spans="1:26" x14ac:dyDescent="0.2">
      <c r="A416" s="909" t="s">
        <v>569</v>
      </c>
      <c r="B416" s="913"/>
      <c r="C416" s="919">
        <f t="shared" ref="C416:N416" si="174">+C210</f>
        <v>-829.971</v>
      </c>
      <c r="D416" s="919">
        <f t="shared" si="174"/>
        <v>-854.90200000000004</v>
      </c>
      <c r="E416" s="919">
        <f t="shared" si="174"/>
        <v>-1630</v>
      </c>
      <c r="F416" s="919">
        <f t="shared" si="174"/>
        <v>-627</v>
      </c>
      <c r="G416" s="919">
        <f t="shared" si="174"/>
        <v>-572</v>
      </c>
      <c r="H416" s="919">
        <f t="shared" si="174"/>
        <v>-761</v>
      </c>
      <c r="I416" s="919">
        <f t="shared" si="174"/>
        <v>-754</v>
      </c>
      <c r="J416" s="919">
        <f t="shared" si="174"/>
        <v>-762</v>
      </c>
      <c r="K416" s="919">
        <f t="shared" si="174"/>
        <v>-677</v>
      </c>
      <c r="L416" s="919">
        <f t="shared" si="174"/>
        <v>-664</v>
      </c>
      <c r="M416" s="919">
        <f t="shared" si="174"/>
        <v>-662</v>
      </c>
      <c r="N416" s="919">
        <f t="shared" si="174"/>
        <v>-682</v>
      </c>
      <c r="O416" s="990">
        <f t="shared" si="168"/>
        <v>-9475.8729999999996</v>
      </c>
      <c r="P416" s="990"/>
      <c r="Q416" s="898"/>
      <c r="R416" s="988"/>
      <c r="S416" s="898"/>
      <c r="T416" s="990"/>
      <c r="U416" s="917">
        <f t="shared" si="169"/>
        <v>-3314.873</v>
      </c>
      <c r="V416" s="917">
        <f t="shared" si="170"/>
        <v>-1960</v>
      </c>
      <c r="W416" s="917">
        <f t="shared" si="171"/>
        <v>-2193</v>
      </c>
      <c r="X416" s="917">
        <f t="shared" si="172"/>
        <v>-2008</v>
      </c>
      <c r="Y416" s="919">
        <f t="shared" si="173"/>
        <v>-9475.8729999999996</v>
      </c>
      <c r="Z416" s="901"/>
    </row>
    <row r="417" spans="1:26" x14ac:dyDescent="0.2">
      <c r="A417" s="909" t="s">
        <v>573</v>
      </c>
      <c r="B417" s="913"/>
      <c r="C417" s="919">
        <f>+C224</f>
        <v>-1621</v>
      </c>
      <c r="D417" s="919">
        <f t="shared" ref="D417:N417" si="175">+D224</f>
        <v>-1587</v>
      </c>
      <c r="E417" s="919">
        <f t="shared" si="175"/>
        <v>-1631</v>
      </c>
      <c r="F417" s="919">
        <f t="shared" si="175"/>
        <v>-1643</v>
      </c>
      <c r="G417" s="919">
        <f t="shared" si="175"/>
        <v>-1600</v>
      </c>
      <c r="H417" s="919">
        <f t="shared" si="175"/>
        <v>-1710</v>
      </c>
      <c r="I417" s="919">
        <f t="shared" si="175"/>
        <v>-1648</v>
      </c>
      <c r="J417" s="919">
        <f t="shared" si="175"/>
        <v>-1650</v>
      </c>
      <c r="K417" s="919">
        <f t="shared" si="175"/>
        <v>-1700</v>
      </c>
      <c r="L417" s="919">
        <f t="shared" si="175"/>
        <v>-1800</v>
      </c>
      <c r="M417" s="919">
        <f t="shared" si="175"/>
        <v>-1900</v>
      </c>
      <c r="N417" s="919">
        <f t="shared" si="175"/>
        <v>-1950</v>
      </c>
      <c r="O417" s="990">
        <f t="shared" si="168"/>
        <v>-20440</v>
      </c>
      <c r="P417" s="990"/>
      <c r="Q417" s="898"/>
      <c r="R417" s="988"/>
      <c r="S417" s="898"/>
      <c r="T417" s="990"/>
      <c r="U417" s="917">
        <f t="shared" si="169"/>
        <v>-4839</v>
      </c>
      <c r="V417" s="917">
        <f t="shared" si="170"/>
        <v>-4953</v>
      </c>
      <c r="W417" s="917">
        <f t="shared" si="171"/>
        <v>-4998</v>
      </c>
      <c r="X417" s="917">
        <f t="shared" si="172"/>
        <v>-5650</v>
      </c>
      <c r="Y417" s="919">
        <f t="shared" si="173"/>
        <v>-20440</v>
      </c>
      <c r="Z417" s="901"/>
    </row>
    <row r="418" spans="1:26" x14ac:dyDescent="0.2">
      <c r="A418" s="909" t="s">
        <v>616</v>
      </c>
      <c r="B418" s="913"/>
      <c r="C418" s="919">
        <f t="shared" ref="C418:N418" si="176">+C226</f>
        <v>-722</v>
      </c>
      <c r="D418" s="919">
        <f t="shared" si="176"/>
        <v>-722</v>
      </c>
      <c r="E418" s="919">
        <f t="shared" si="176"/>
        <v>-722</v>
      </c>
      <c r="F418" s="919">
        <f t="shared" si="176"/>
        <v>-722</v>
      </c>
      <c r="G418" s="919">
        <f t="shared" si="176"/>
        <v>-722</v>
      </c>
      <c r="H418" s="919">
        <f t="shared" si="176"/>
        <v>-722</v>
      </c>
      <c r="I418" s="919">
        <f t="shared" si="176"/>
        <v>-722</v>
      </c>
      <c r="J418" s="919">
        <f t="shared" si="176"/>
        <v>-722</v>
      </c>
      <c r="K418" s="919">
        <f t="shared" si="176"/>
        <v>-722</v>
      </c>
      <c r="L418" s="919">
        <f t="shared" si="176"/>
        <v>-722</v>
      </c>
      <c r="M418" s="919">
        <f t="shared" si="176"/>
        <v>-722</v>
      </c>
      <c r="N418" s="919">
        <f t="shared" si="176"/>
        <v>-722</v>
      </c>
      <c r="O418" s="990">
        <f t="shared" si="168"/>
        <v>-8664</v>
      </c>
      <c r="P418" s="990"/>
      <c r="Q418" s="898"/>
      <c r="R418" s="988"/>
      <c r="S418" s="898"/>
      <c r="T418" s="990"/>
      <c r="U418" s="917">
        <f t="shared" si="169"/>
        <v>-2166</v>
      </c>
      <c r="V418" s="917">
        <f t="shared" si="170"/>
        <v>-2166</v>
      </c>
      <c r="W418" s="917">
        <f t="shared" si="171"/>
        <v>-2166</v>
      </c>
      <c r="X418" s="917">
        <f t="shared" si="172"/>
        <v>-2166</v>
      </c>
      <c r="Y418" s="919">
        <f t="shared" si="173"/>
        <v>-8664</v>
      </c>
      <c r="Z418" s="901"/>
    </row>
    <row r="419" spans="1:26" x14ac:dyDescent="0.2">
      <c r="A419" s="897" t="s">
        <v>497</v>
      </c>
      <c r="B419" s="913"/>
      <c r="C419" s="919">
        <f t="shared" ref="C419:N419" si="177">+C231</f>
        <v>-16</v>
      </c>
      <c r="D419" s="919">
        <f t="shared" si="177"/>
        <v>-18</v>
      </c>
      <c r="E419" s="919">
        <f t="shared" si="177"/>
        <v>-8</v>
      </c>
      <c r="F419" s="919">
        <f t="shared" si="177"/>
        <v>-6</v>
      </c>
      <c r="G419" s="919">
        <f t="shared" si="177"/>
        <v>-7</v>
      </c>
      <c r="H419" s="919">
        <f t="shared" si="177"/>
        <v>-5</v>
      </c>
      <c r="I419" s="919">
        <f t="shared" si="177"/>
        <v>-7</v>
      </c>
      <c r="J419" s="919">
        <f t="shared" si="177"/>
        <v>-7</v>
      </c>
      <c r="K419" s="919">
        <f t="shared" si="177"/>
        <v>-7</v>
      </c>
      <c r="L419" s="919">
        <f t="shared" si="177"/>
        <v>-7</v>
      </c>
      <c r="M419" s="919">
        <f t="shared" si="177"/>
        <v>-7</v>
      </c>
      <c r="N419" s="919">
        <f t="shared" si="177"/>
        <v>-7</v>
      </c>
      <c r="O419" s="990">
        <f t="shared" si="168"/>
        <v>-102</v>
      </c>
      <c r="P419" s="990"/>
      <c r="Q419" s="898"/>
      <c r="R419" s="988"/>
      <c r="S419" s="898"/>
      <c r="T419" s="990"/>
      <c r="U419" s="917">
        <f t="shared" si="169"/>
        <v>-42</v>
      </c>
      <c r="V419" s="917">
        <f t="shared" si="170"/>
        <v>-18</v>
      </c>
      <c r="W419" s="917">
        <f t="shared" si="171"/>
        <v>-21</v>
      </c>
      <c r="X419" s="917">
        <f t="shared" si="172"/>
        <v>-21</v>
      </c>
      <c r="Y419" s="919">
        <f t="shared" si="173"/>
        <v>-102</v>
      </c>
      <c r="Z419" s="901"/>
    </row>
    <row r="420" spans="1:26" x14ac:dyDescent="0.2">
      <c r="A420" s="897" t="s">
        <v>496</v>
      </c>
      <c r="B420" s="913"/>
      <c r="C420" s="919">
        <f t="shared" ref="C420:N420" si="178">+C230</f>
        <v>15</v>
      </c>
      <c r="D420" s="919">
        <f t="shared" si="178"/>
        <v>36</v>
      </c>
      <c r="E420" s="919">
        <f t="shared" si="178"/>
        <v>12</v>
      </c>
      <c r="F420" s="919">
        <f t="shared" si="178"/>
        <v>11</v>
      </c>
      <c r="G420" s="919">
        <f t="shared" si="178"/>
        <v>10</v>
      </c>
      <c r="H420" s="919">
        <f t="shared" si="178"/>
        <v>22</v>
      </c>
      <c r="I420" s="919">
        <f t="shared" si="178"/>
        <v>9</v>
      </c>
      <c r="J420" s="919">
        <f t="shared" si="178"/>
        <v>13</v>
      </c>
      <c r="K420" s="919">
        <f t="shared" si="178"/>
        <v>0</v>
      </c>
      <c r="L420" s="919">
        <f t="shared" si="178"/>
        <v>0</v>
      </c>
      <c r="M420" s="919">
        <f t="shared" si="178"/>
        <v>0</v>
      </c>
      <c r="N420" s="919">
        <f t="shared" si="178"/>
        <v>0</v>
      </c>
      <c r="O420" s="990">
        <f t="shared" si="168"/>
        <v>128</v>
      </c>
      <c r="P420" s="990"/>
      <c r="Q420" s="898"/>
      <c r="R420" s="988"/>
      <c r="S420" s="898"/>
      <c r="T420" s="990"/>
      <c r="U420" s="917">
        <f t="shared" si="169"/>
        <v>63</v>
      </c>
      <c r="V420" s="917">
        <f t="shared" si="170"/>
        <v>43</v>
      </c>
      <c r="W420" s="917">
        <f t="shared" si="171"/>
        <v>22</v>
      </c>
      <c r="X420" s="917">
        <f t="shared" si="172"/>
        <v>0</v>
      </c>
      <c r="Y420" s="919">
        <f t="shared" si="173"/>
        <v>128</v>
      </c>
      <c r="Z420" s="901"/>
    </row>
    <row r="421" spans="1:26" x14ac:dyDescent="0.2">
      <c r="A421" s="897" t="s">
        <v>617</v>
      </c>
      <c r="B421" s="913"/>
      <c r="C421" s="919">
        <f>+C227+C228+C229</f>
        <v>-104</v>
      </c>
      <c r="D421" s="919">
        <f t="shared" ref="D421:N421" si="179">+D227+D228+D229</f>
        <v>-107</v>
      </c>
      <c r="E421" s="919">
        <f t="shared" si="179"/>
        <v>-102</v>
      </c>
      <c r="F421" s="919">
        <f t="shared" si="179"/>
        <v>-103</v>
      </c>
      <c r="G421" s="919">
        <f t="shared" si="179"/>
        <v>-102</v>
      </c>
      <c r="H421" s="919">
        <f t="shared" si="179"/>
        <v>-107</v>
      </c>
      <c r="I421" s="919">
        <f t="shared" si="179"/>
        <v>-103</v>
      </c>
      <c r="J421" s="919">
        <f t="shared" si="179"/>
        <v>-103</v>
      </c>
      <c r="K421" s="919">
        <f t="shared" si="179"/>
        <v>-103</v>
      </c>
      <c r="L421" s="919">
        <f t="shared" si="179"/>
        <v>-103</v>
      </c>
      <c r="M421" s="919">
        <f t="shared" si="179"/>
        <v>-103</v>
      </c>
      <c r="N421" s="919">
        <f t="shared" si="179"/>
        <v>-103</v>
      </c>
      <c r="O421" s="990">
        <f t="shared" si="168"/>
        <v>-1243</v>
      </c>
      <c r="P421" s="990"/>
      <c r="Q421" s="898"/>
      <c r="R421" s="988"/>
      <c r="S421" s="898"/>
      <c r="T421" s="990"/>
      <c r="U421" s="917">
        <f t="shared" si="169"/>
        <v>-313</v>
      </c>
      <c r="V421" s="917">
        <f t="shared" si="170"/>
        <v>-312</v>
      </c>
      <c r="W421" s="917">
        <f t="shared" si="171"/>
        <v>-309</v>
      </c>
      <c r="X421" s="917">
        <f t="shared" si="172"/>
        <v>-309</v>
      </c>
      <c r="Y421" s="919">
        <f t="shared" si="173"/>
        <v>-1243</v>
      </c>
      <c r="Z421" s="901"/>
    </row>
    <row r="422" spans="1:26" x14ac:dyDescent="0.2">
      <c r="A422" s="909" t="s">
        <v>579</v>
      </c>
      <c r="B422" s="913"/>
      <c r="C422" s="906">
        <f t="shared" ref="C422:N422" si="180">SUM(C234:C252)</f>
        <v>-3</v>
      </c>
      <c r="D422" s="906">
        <f t="shared" si="180"/>
        <v>-2</v>
      </c>
      <c r="E422" s="906">
        <f t="shared" si="180"/>
        <v>-3</v>
      </c>
      <c r="F422" s="906">
        <f t="shared" si="180"/>
        <v>-5</v>
      </c>
      <c r="G422" s="906">
        <f t="shared" si="180"/>
        <v>-6</v>
      </c>
      <c r="H422" s="906">
        <f t="shared" si="180"/>
        <v>-3</v>
      </c>
      <c r="I422" s="906">
        <f t="shared" si="180"/>
        <v>14</v>
      </c>
      <c r="J422" s="906">
        <f t="shared" si="180"/>
        <v>16</v>
      </c>
      <c r="K422" s="906">
        <f t="shared" si="180"/>
        <v>-2</v>
      </c>
      <c r="L422" s="906">
        <f t="shared" si="180"/>
        <v>-5</v>
      </c>
      <c r="M422" s="906">
        <f t="shared" si="180"/>
        <v>-2</v>
      </c>
      <c r="N422" s="906">
        <f t="shared" si="180"/>
        <v>-2</v>
      </c>
      <c r="O422" s="991">
        <f t="shared" si="168"/>
        <v>-3</v>
      </c>
      <c r="P422" s="991"/>
      <c r="Q422" s="898"/>
      <c r="R422" s="988"/>
      <c r="S422" s="898"/>
      <c r="T422" s="991"/>
      <c r="U422" s="960">
        <f t="shared" si="169"/>
        <v>-8</v>
      </c>
      <c r="V422" s="960">
        <f t="shared" si="170"/>
        <v>-14</v>
      </c>
      <c r="W422" s="960">
        <f t="shared" si="171"/>
        <v>28</v>
      </c>
      <c r="X422" s="960">
        <f t="shared" si="172"/>
        <v>-9</v>
      </c>
      <c r="Y422" s="906">
        <f t="shared" si="173"/>
        <v>-3</v>
      </c>
      <c r="Z422" s="901"/>
    </row>
    <row r="423" spans="1:26" ht="3.95" customHeight="1" x14ac:dyDescent="0.2">
      <c r="A423" s="946"/>
      <c r="B423" s="913"/>
      <c r="C423" s="919"/>
      <c r="D423" s="919"/>
      <c r="E423" s="919"/>
      <c r="F423" s="919"/>
      <c r="G423" s="919"/>
      <c r="H423" s="919"/>
      <c r="I423" s="919"/>
      <c r="J423" s="919"/>
      <c r="K423" s="919"/>
      <c r="L423" s="919"/>
      <c r="M423" s="919"/>
      <c r="N423" s="919"/>
      <c r="O423" s="917"/>
      <c r="P423" s="917"/>
      <c r="Q423" s="898"/>
      <c r="R423" s="988"/>
      <c r="S423" s="898"/>
      <c r="T423" s="917"/>
      <c r="U423" s="917"/>
      <c r="V423" s="917"/>
      <c r="W423" s="917"/>
      <c r="X423" s="917"/>
      <c r="Y423" s="919"/>
      <c r="Z423" s="901"/>
    </row>
    <row r="424" spans="1:26" x14ac:dyDescent="0.2">
      <c r="A424" s="912" t="s">
        <v>618</v>
      </c>
      <c r="B424" s="913"/>
      <c r="C424" s="963">
        <f t="shared" ref="C424:O424" si="181">SUM(C415:C422)</f>
        <v>-3280.971</v>
      </c>
      <c r="D424" s="963">
        <f t="shared" si="181"/>
        <v>-3254.902</v>
      </c>
      <c r="E424" s="963">
        <f t="shared" si="181"/>
        <v>-4084</v>
      </c>
      <c r="F424" s="963">
        <f t="shared" si="181"/>
        <v>-3095</v>
      </c>
      <c r="G424" s="963">
        <f t="shared" si="181"/>
        <v>-2999</v>
      </c>
      <c r="H424" s="963">
        <f t="shared" si="181"/>
        <v>-3286</v>
      </c>
      <c r="I424" s="963">
        <f t="shared" si="181"/>
        <v>-3211</v>
      </c>
      <c r="J424" s="963">
        <f t="shared" si="181"/>
        <v>-3215</v>
      </c>
      <c r="K424" s="963">
        <f t="shared" si="181"/>
        <v>-3211</v>
      </c>
      <c r="L424" s="963">
        <f t="shared" si="181"/>
        <v>-3301</v>
      </c>
      <c r="M424" s="963">
        <f t="shared" si="181"/>
        <v>-3396</v>
      </c>
      <c r="N424" s="963">
        <f t="shared" si="181"/>
        <v>-3466</v>
      </c>
      <c r="O424" s="963">
        <f t="shared" si="181"/>
        <v>-39799.873</v>
      </c>
      <c r="P424" s="963"/>
      <c r="Q424" s="898"/>
      <c r="R424" s="988"/>
      <c r="S424" s="898"/>
      <c r="T424" s="963"/>
      <c r="U424" s="963">
        <f>SUM(U415:U422)</f>
        <v>-10619.873</v>
      </c>
      <c r="V424" s="963">
        <f>SUM(V415:V422)</f>
        <v>-9380</v>
      </c>
      <c r="W424" s="963">
        <f>SUM(W415:W422)</f>
        <v>-9637</v>
      </c>
      <c r="X424" s="963">
        <f>SUM(X415:X422)</f>
        <v>-10163</v>
      </c>
      <c r="Y424" s="963">
        <f>SUM(Y415:Y422)</f>
        <v>-39799.873</v>
      </c>
      <c r="Z424" s="901"/>
    </row>
    <row r="425" spans="1:26" ht="6" customHeight="1" x14ac:dyDescent="0.2">
      <c r="A425" s="928"/>
      <c r="B425" s="913"/>
      <c r="C425" s="919"/>
      <c r="D425" s="919"/>
      <c r="E425" s="919"/>
      <c r="F425" s="919"/>
      <c r="G425" s="919"/>
      <c r="H425" s="919"/>
      <c r="I425" s="919"/>
      <c r="J425" s="919"/>
      <c r="K425" s="919"/>
      <c r="L425" s="919"/>
      <c r="M425" s="919"/>
      <c r="N425" s="919"/>
      <c r="O425" s="917"/>
      <c r="P425" s="917"/>
      <c r="Q425" s="898"/>
      <c r="R425" s="988"/>
      <c r="S425" s="898"/>
      <c r="T425" s="917"/>
      <c r="U425" s="917"/>
      <c r="V425" s="917"/>
      <c r="W425" s="917"/>
      <c r="X425" s="917"/>
      <c r="Y425" s="919"/>
      <c r="Z425" s="901"/>
    </row>
    <row r="426" spans="1:26" x14ac:dyDescent="0.2">
      <c r="A426" s="912" t="s">
        <v>619</v>
      </c>
      <c r="B426" s="913"/>
      <c r="C426" s="919"/>
      <c r="D426" s="919"/>
      <c r="E426" s="919"/>
      <c r="F426" s="919"/>
      <c r="G426" s="919"/>
      <c r="H426" s="919"/>
      <c r="I426" s="919"/>
      <c r="J426" s="919"/>
      <c r="K426" s="919"/>
      <c r="L426" s="919"/>
      <c r="M426" s="919"/>
      <c r="N426" s="919"/>
      <c r="O426" s="917"/>
      <c r="P426" s="917"/>
      <c r="Q426" s="898"/>
      <c r="R426" s="988"/>
      <c r="S426" s="898"/>
      <c r="T426" s="917"/>
      <c r="U426" s="917"/>
      <c r="V426" s="917"/>
      <c r="W426" s="917"/>
      <c r="X426" s="917"/>
      <c r="Y426" s="919"/>
      <c r="Z426" s="901"/>
    </row>
    <row r="427" spans="1:26" x14ac:dyDescent="0.2">
      <c r="A427" s="909" t="s">
        <v>568</v>
      </c>
      <c r="B427" s="913"/>
      <c r="C427" s="919">
        <f t="shared" ref="C427:N427" si="182">+C262</f>
        <v>0</v>
      </c>
      <c r="D427" s="919">
        <f t="shared" si="182"/>
        <v>0</v>
      </c>
      <c r="E427" s="919">
        <f t="shared" si="182"/>
        <v>0</v>
      </c>
      <c r="F427" s="919">
        <f t="shared" si="182"/>
        <v>0</v>
      </c>
      <c r="G427" s="919">
        <f t="shared" si="182"/>
        <v>0</v>
      </c>
      <c r="H427" s="919">
        <f t="shared" si="182"/>
        <v>0</v>
      </c>
      <c r="I427" s="919">
        <f t="shared" si="182"/>
        <v>0</v>
      </c>
      <c r="J427" s="919">
        <f t="shared" si="182"/>
        <v>0</v>
      </c>
      <c r="K427" s="919">
        <f t="shared" si="182"/>
        <v>0</v>
      </c>
      <c r="L427" s="919">
        <f t="shared" si="182"/>
        <v>0</v>
      </c>
      <c r="M427" s="919">
        <f t="shared" si="182"/>
        <v>0</v>
      </c>
      <c r="N427" s="919">
        <f t="shared" si="182"/>
        <v>0</v>
      </c>
      <c r="O427" s="990">
        <f>SUM(C427:N427)</f>
        <v>0</v>
      </c>
      <c r="P427" s="990"/>
      <c r="Q427" s="898"/>
      <c r="R427" s="988"/>
      <c r="S427" s="898"/>
      <c r="T427" s="990"/>
      <c r="U427" s="917">
        <f>C427+D427+E427</f>
        <v>0</v>
      </c>
      <c r="V427" s="917">
        <f>F427+G427+H427</f>
        <v>0</v>
      </c>
      <c r="W427" s="917">
        <f>I427+J427+K427</f>
        <v>0</v>
      </c>
      <c r="X427" s="917">
        <f>L427+M427+N427</f>
        <v>0</v>
      </c>
      <c r="Y427" s="919">
        <f>SUM(U427:X427)</f>
        <v>0</v>
      </c>
      <c r="Z427" s="901"/>
    </row>
    <row r="428" spans="1:26" x14ac:dyDescent="0.2">
      <c r="A428" s="909" t="s">
        <v>569</v>
      </c>
      <c r="B428" s="913"/>
      <c r="C428" s="919">
        <f t="shared" ref="C428:N428" si="183">+C277</f>
        <v>-175</v>
      </c>
      <c r="D428" s="919">
        <f t="shared" si="183"/>
        <v>-209</v>
      </c>
      <c r="E428" s="919">
        <f t="shared" si="183"/>
        <v>-334</v>
      </c>
      <c r="F428" s="919">
        <f t="shared" si="183"/>
        <v>-64</v>
      </c>
      <c r="G428" s="919">
        <f t="shared" si="183"/>
        <v>-209</v>
      </c>
      <c r="H428" s="919">
        <f t="shared" si="183"/>
        <v>-284</v>
      </c>
      <c r="I428" s="919">
        <f t="shared" si="183"/>
        <v>-189</v>
      </c>
      <c r="J428" s="919">
        <f t="shared" si="183"/>
        <v>-306</v>
      </c>
      <c r="K428" s="919">
        <f t="shared" si="183"/>
        <v>-352</v>
      </c>
      <c r="L428" s="919">
        <f t="shared" si="183"/>
        <v>-467</v>
      </c>
      <c r="M428" s="919">
        <f t="shared" si="183"/>
        <v>-368</v>
      </c>
      <c r="N428" s="919">
        <f t="shared" si="183"/>
        <v>-467</v>
      </c>
      <c r="O428" s="990">
        <f>SUM(C428:N428)</f>
        <v>-3424</v>
      </c>
      <c r="P428" s="990"/>
      <c r="Q428" s="898"/>
      <c r="R428" s="988"/>
      <c r="S428" s="898"/>
      <c r="T428" s="990"/>
      <c r="U428" s="917">
        <f>C428+D428+E428</f>
        <v>-718</v>
      </c>
      <c r="V428" s="917">
        <f>F428+G428+H428</f>
        <v>-557</v>
      </c>
      <c r="W428" s="917">
        <f>I428+J428+K428</f>
        <v>-847</v>
      </c>
      <c r="X428" s="917">
        <f>L428+M428+N428</f>
        <v>-1302</v>
      </c>
      <c r="Y428" s="919">
        <f>SUM(U428:X428)</f>
        <v>-3424</v>
      </c>
      <c r="Z428" s="901"/>
    </row>
    <row r="429" spans="1:26" x14ac:dyDescent="0.2">
      <c r="A429" s="909" t="s">
        <v>573</v>
      </c>
      <c r="B429" s="913"/>
      <c r="C429" s="919">
        <f>+C264+C279</f>
        <v>0</v>
      </c>
      <c r="D429" s="919">
        <f t="shared" ref="D429:N429" si="184">+D264+D279</f>
        <v>0</v>
      </c>
      <c r="E429" s="919">
        <f t="shared" si="184"/>
        <v>0</v>
      </c>
      <c r="F429" s="919">
        <f t="shared" si="184"/>
        <v>0</v>
      </c>
      <c r="G429" s="919">
        <f t="shared" si="184"/>
        <v>0</v>
      </c>
      <c r="H429" s="919">
        <f t="shared" si="184"/>
        <v>0</v>
      </c>
      <c r="I429" s="919">
        <f t="shared" si="184"/>
        <v>0</v>
      </c>
      <c r="J429" s="919">
        <f t="shared" si="184"/>
        <v>0</v>
      </c>
      <c r="K429" s="919">
        <f t="shared" si="184"/>
        <v>0</v>
      </c>
      <c r="L429" s="919">
        <f t="shared" si="184"/>
        <v>0</v>
      </c>
      <c r="M429" s="919">
        <f t="shared" si="184"/>
        <v>0</v>
      </c>
      <c r="N429" s="919">
        <f t="shared" si="184"/>
        <v>0</v>
      </c>
      <c r="O429" s="990">
        <f>SUM(C429:N429)</f>
        <v>0</v>
      </c>
      <c r="P429" s="990"/>
      <c r="Q429" s="898"/>
      <c r="R429" s="988"/>
      <c r="S429" s="898"/>
      <c r="T429" s="990"/>
      <c r="U429" s="917">
        <f>C429+D429+E429</f>
        <v>0</v>
      </c>
      <c r="V429" s="917">
        <f>F429+G429+H429</f>
        <v>0</v>
      </c>
      <c r="W429" s="917">
        <f>I429+J429+K429</f>
        <v>0</v>
      </c>
      <c r="X429" s="917">
        <f>L429+M429+N429</f>
        <v>0</v>
      </c>
      <c r="Y429" s="919">
        <f>SUM(U429:X429)</f>
        <v>0</v>
      </c>
      <c r="Z429" s="901"/>
    </row>
    <row r="430" spans="1:26" x14ac:dyDescent="0.2">
      <c r="A430" s="909" t="s">
        <v>574</v>
      </c>
      <c r="B430" s="913"/>
      <c r="C430" s="906">
        <f t="shared" ref="C430:N430" si="185">+C281</f>
        <v>-12</v>
      </c>
      <c r="D430" s="906">
        <f t="shared" si="185"/>
        <v>-24</v>
      </c>
      <c r="E430" s="906">
        <f t="shared" si="185"/>
        <v>-10</v>
      </c>
      <c r="F430" s="906">
        <f t="shared" si="185"/>
        <v>-9</v>
      </c>
      <c r="G430" s="906">
        <f t="shared" si="185"/>
        <v>-8</v>
      </c>
      <c r="H430" s="906">
        <f t="shared" si="185"/>
        <v>-20</v>
      </c>
      <c r="I430" s="906">
        <f t="shared" si="185"/>
        <v>-9</v>
      </c>
      <c r="J430" s="906">
        <f t="shared" si="185"/>
        <v>-10</v>
      </c>
      <c r="K430" s="906">
        <f t="shared" si="185"/>
        <v>-10</v>
      </c>
      <c r="L430" s="906">
        <f t="shared" si="185"/>
        <v>-10</v>
      </c>
      <c r="M430" s="906">
        <f t="shared" si="185"/>
        <v>-10</v>
      </c>
      <c r="N430" s="906">
        <f t="shared" si="185"/>
        <v>-10</v>
      </c>
      <c r="O430" s="991">
        <f>SUM(C430:N430)</f>
        <v>-142</v>
      </c>
      <c r="P430" s="991"/>
      <c r="Q430" s="898"/>
      <c r="R430" s="988"/>
      <c r="S430" s="898"/>
      <c r="T430" s="991"/>
      <c r="U430" s="960">
        <f>C430+D430+E430</f>
        <v>-46</v>
      </c>
      <c r="V430" s="960">
        <f>F430+G430+H430</f>
        <v>-37</v>
      </c>
      <c r="W430" s="960">
        <f>I430+J430+K430</f>
        <v>-29</v>
      </c>
      <c r="X430" s="960">
        <f>L430+M430+N430</f>
        <v>-30</v>
      </c>
      <c r="Y430" s="906">
        <f>SUM(U430:X430)</f>
        <v>-142</v>
      </c>
      <c r="Z430" s="901"/>
    </row>
    <row r="431" spans="1:26" ht="3.95" customHeight="1" x14ac:dyDescent="0.2">
      <c r="A431" s="928"/>
      <c r="B431" s="913"/>
      <c r="C431" s="919"/>
      <c r="D431" s="919"/>
      <c r="E431" s="919"/>
      <c r="F431" s="919"/>
      <c r="G431" s="919"/>
      <c r="H431" s="919"/>
      <c r="I431" s="919"/>
      <c r="J431" s="919"/>
      <c r="K431" s="919"/>
      <c r="L431" s="919"/>
      <c r="M431" s="919"/>
      <c r="N431" s="919"/>
      <c r="O431" s="917"/>
      <c r="P431" s="917"/>
      <c r="Q431" s="898"/>
      <c r="R431" s="988"/>
      <c r="S431" s="898"/>
      <c r="T431" s="917"/>
      <c r="U431" s="917"/>
      <c r="V431" s="917"/>
      <c r="W431" s="917"/>
      <c r="X431" s="917"/>
      <c r="Y431" s="919"/>
      <c r="Z431" s="901"/>
    </row>
    <row r="432" spans="1:26" x14ac:dyDescent="0.2">
      <c r="A432" s="912" t="s">
        <v>620</v>
      </c>
      <c r="B432" s="913"/>
      <c r="C432" s="963">
        <f t="shared" ref="C432:O432" si="186">SUM(C427:C430)</f>
        <v>-187</v>
      </c>
      <c r="D432" s="963">
        <f t="shared" si="186"/>
        <v>-233</v>
      </c>
      <c r="E432" s="963">
        <f t="shared" si="186"/>
        <v>-344</v>
      </c>
      <c r="F432" s="963">
        <f t="shared" si="186"/>
        <v>-73</v>
      </c>
      <c r="G432" s="963">
        <f t="shared" si="186"/>
        <v>-217</v>
      </c>
      <c r="H432" s="963">
        <f t="shared" si="186"/>
        <v>-304</v>
      </c>
      <c r="I432" s="963">
        <f t="shared" si="186"/>
        <v>-198</v>
      </c>
      <c r="J432" s="963">
        <f t="shared" si="186"/>
        <v>-316</v>
      </c>
      <c r="K432" s="963">
        <f t="shared" si="186"/>
        <v>-362</v>
      </c>
      <c r="L432" s="963">
        <f t="shared" si="186"/>
        <v>-477</v>
      </c>
      <c r="M432" s="963">
        <f t="shared" si="186"/>
        <v>-378</v>
      </c>
      <c r="N432" s="963">
        <f t="shared" si="186"/>
        <v>-477</v>
      </c>
      <c r="O432" s="963">
        <f t="shared" si="186"/>
        <v>-3566</v>
      </c>
      <c r="P432" s="963"/>
      <c r="Q432" s="898"/>
      <c r="R432" s="988"/>
      <c r="S432" s="898"/>
      <c r="T432" s="963"/>
      <c r="U432" s="963">
        <f>SUM(U427:U430)</f>
        <v>-764</v>
      </c>
      <c r="V432" s="963">
        <f>SUM(V427:V430)</f>
        <v>-594</v>
      </c>
      <c r="W432" s="963">
        <f>SUM(W427:W430)</f>
        <v>-876</v>
      </c>
      <c r="X432" s="963">
        <f>SUM(X427:X430)</f>
        <v>-1332</v>
      </c>
      <c r="Y432" s="963">
        <f>SUM(Y427:Y430)</f>
        <v>-3566</v>
      </c>
      <c r="Z432" s="901"/>
    </row>
    <row r="433" spans="1:26" ht="6" customHeight="1" x14ac:dyDescent="0.2">
      <c r="A433" s="912"/>
      <c r="B433" s="913"/>
      <c r="C433" s="963"/>
      <c r="D433" s="963"/>
      <c r="E433" s="963"/>
      <c r="F433" s="963"/>
      <c r="G433" s="963"/>
      <c r="H433" s="963"/>
      <c r="I433" s="963"/>
      <c r="J433" s="963"/>
      <c r="K433" s="963"/>
      <c r="L433" s="963"/>
      <c r="M433" s="963"/>
      <c r="N433" s="963"/>
      <c r="O433" s="963"/>
      <c r="P433" s="963"/>
      <c r="Q433" s="898"/>
      <c r="R433" s="988"/>
      <c r="S433" s="898"/>
      <c r="T433" s="963"/>
      <c r="U433" s="963"/>
      <c r="V433" s="963"/>
      <c r="W433" s="963"/>
      <c r="X433" s="963"/>
      <c r="Y433" s="963"/>
      <c r="Z433" s="901"/>
    </row>
    <row r="434" spans="1:26" x14ac:dyDescent="0.2">
      <c r="A434" s="912" t="s">
        <v>307</v>
      </c>
      <c r="B434" s="913"/>
      <c r="C434" s="963"/>
      <c r="D434" s="963"/>
      <c r="E434" s="963"/>
      <c r="F434" s="963"/>
      <c r="G434" s="963"/>
      <c r="H434" s="963"/>
      <c r="I434" s="963"/>
      <c r="J434" s="963"/>
      <c r="K434" s="963"/>
      <c r="L434" s="963"/>
      <c r="M434" s="963"/>
      <c r="N434" s="963"/>
      <c r="O434" s="963"/>
      <c r="P434" s="963"/>
      <c r="Q434" s="898"/>
      <c r="R434" s="988"/>
      <c r="S434" s="898"/>
      <c r="T434" s="963"/>
      <c r="U434" s="963"/>
      <c r="V434" s="963"/>
      <c r="W434" s="963"/>
      <c r="X434" s="963"/>
      <c r="Y434" s="963"/>
      <c r="Z434" s="901"/>
    </row>
    <row r="435" spans="1:26" x14ac:dyDescent="0.2">
      <c r="A435" s="909" t="s">
        <v>569</v>
      </c>
      <c r="B435" s="913"/>
      <c r="C435" s="919">
        <f t="shared" ref="C435:N435" si="187">+C292</f>
        <v>-60</v>
      </c>
      <c r="D435" s="919">
        <f t="shared" si="187"/>
        <v>-84</v>
      </c>
      <c r="E435" s="919">
        <f t="shared" si="187"/>
        <v>-75</v>
      </c>
      <c r="F435" s="919">
        <f t="shared" si="187"/>
        <v>-81</v>
      </c>
      <c r="G435" s="919">
        <f t="shared" si="187"/>
        <v>-67</v>
      </c>
      <c r="H435" s="919">
        <f t="shared" si="187"/>
        <v>-70</v>
      </c>
      <c r="I435" s="919">
        <f t="shared" si="187"/>
        <v>-62</v>
      </c>
      <c r="J435" s="919">
        <f t="shared" si="187"/>
        <v>-75</v>
      </c>
      <c r="K435" s="919">
        <f t="shared" si="187"/>
        <v>-126</v>
      </c>
      <c r="L435" s="919">
        <f t="shared" si="187"/>
        <v>-126</v>
      </c>
      <c r="M435" s="919">
        <f t="shared" si="187"/>
        <v>-126</v>
      </c>
      <c r="N435" s="919">
        <f t="shared" si="187"/>
        <v>-130</v>
      </c>
      <c r="O435" s="990">
        <f>SUM(C435:N435)</f>
        <v>-1082</v>
      </c>
      <c r="P435" s="990"/>
      <c r="Q435" s="898"/>
      <c r="R435" s="988"/>
      <c r="S435" s="898"/>
      <c r="T435" s="990"/>
      <c r="U435" s="917">
        <f>C435+D435+E435</f>
        <v>-219</v>
      </c>
      <c r="V435" s="917">
        <f>F435+G435+H435</f>
        <v>-218</v>
      </c>
      <c r="W435" s="917">
        <f>I435+J435+K435</f>
        <v>-263</v>
      </c>
      <c r="X435" s="917">
        <f>L435+M435+N435</f>
        <v>-382</v>
      </c>
      <c r="Y435" s="919">
        <f>SUM(U435:X435)</f>
        <v>-1082</v>
      </c>
      <c r="Z435" s="901"/>
    </row>
    <row r="436" spans="1:26" x14ac:dyDescent="0.2">
      <c r="A436" s="909" t="s">
        <v>573</v>
      </c>
      <c r="B436" s="913"/>
      <c r="C436" s="919">
        <f>+C294</f>
        <v>0</v>
      </c>
      <c r="D436" s="919">
        <f t="shared" ref="D436:N436" si="188">+D294</f>
        <v>0</v>
      </c>
      <c r="E436" s="919">
        <f t="shared" si="188"/>
        <v>0</v>
      </c>
      <c r="F436" s="919">
        <f t="shared" si="188"/>
        <v>0</v>
      </c>
      <c r="G436" s="919">
        <f t="shared" si="188"/>
        <v>0</v>
      </c>
      <c r="H436" s="919">
        <f t="shared" si="188"/>
        <v>0</v>
      </c>
      <c r="I436" s="919">
        <f t="shared" si="188"/>
        <v>0</v>
      </c>
      <c r="J436" s="919">
        <f t="shared" si="188"/>
        <v>0</v>
      </c>
      <c r="K436" s="919">
        <f t="shared" si="188"/>
        <v>0</v>
      </c>
      <c r="L436" s="919">
        <f t="shared" si="188"/>
        <v>0</v>
      </c>
      <c r="M436" s="919">
        <f t="shared" si="188"/>
        <v>0</v>
      </c>
      <c r="N436" s="919">
        <f t="shared" si="188"/>
        <v>0</v>
      </c>
      <c r="O436" s="990">
        <f>SUM(C436:N436)</f>
        <v>0</v>
      </c>
      <c r="P436" s="990"/>
      <c r="Q436" s="898"/>
      <c r="R436" s="988"/>
      <c r="S436" s="898"/>
      <c r="T436" s="990"/>
      <c r="U436" s="917">
        <f>C436+D436+E436</f>
        <v>0</v>
      </c>
      <c r="V436" s="917">
        <f>F436+G436+H436</f>
        <v>0</v>
      </c>
      <c r="W436" s="917">
        <f>I436+J436+K436</f>
        <v>0</v>
      </c>
      <c r="X436" s="917">
        <f>L436+M436+N436</f>
        <v>0</v>
      </c>
      <c r="Y436" s="919">
        <f>SUM(U436:X436)</f>
        <v>0</v>
      </c>
      <c r="Z436" s="901"/>
    </row>
    <row r="437" spans="1:26" x14ac:dyDescent="0.2">
      <c r="A437" s="909" t="s">
        <v>574</v>
      </c>
      <c r="B437" s="913"/>
      <c r="C437" s="906">
        <f t="shared" ref="C437:N437" si="189">+C296</f>
        <v>-4</v>
      </c>
      <c r="D437" s="906">
        <f t="shared" si="189"/>
        <v>-12</v>
      </c>
      <c r="E437" s="906">
        <f t="shared" si="189"/>
        <v>-3</v>
      </c>
      <c r="F437" s="906">
        <f t="shared" si="189"/>
        <v>-2</v>
      </c>
      <c r="G437" s="906">
        <f t="shared" si="189"/>
        <v>-2</v>
      </c>
      <c r="H437" s="906">
        <f t="shared" si="189"/>
        <v>-2</v>
      </c>
      <c r="I437" s="906">
        <f t="shared" si="189"/>
        <v>-1</v>
      </c>
      <c r="J437" s="906">
        <f t="shared" si="189"/>
        <v>-2</v>
      </c>
      <c r="K437" s="906">
        <f t="shared" si="189"/>
        <v>-2</v>
      </c>
      <c r="L437" s="906">
        <f t="shared" si="189"/>
        <v>-2</v>
      </c>
      <c r="M437" s="906">
        <f t="shared" si="189"/>
        <v>-2</v>
      </c>
      <c r="N437" s="906">
        <f t="shared" si="189"/>
        <v>-2</v>
      </c>
      <c r="O437" s="991">
        <f>SUM(C437:N437)</f>
        <v>-36</v>
      </c>
      <c r="P437" s="991"/>
      <c r="Q437" s="898"/>
      <c r="R437" s="988"/>
      <c r="S437" s="898"/>
      <c r="T437" s="991"/>
      <c r="U437" s="960">
        <f>C437+D437+E437</f>
        <v>-19</v>
      </c>
      <c r="V437" s="960">
        <f>F437+G437+H437</f>
        <v>-6</v>
      </c>
      <c r="W437" s="960">
        <f>I437+J437+K437</f>
        <v>-5</v>
      </c>
      <c r="X437" s="960">
        <f>L437+M437+N437</f>
        <v>-6</v>
      </c>
      <c r="Y437" s="906">
        <f>SUM(U437:X437)</f>
        <v>-36</v>
      </c>
      <c r="Z437" s="901"/>
    </row>
    <row r="438" spans="1:26" ht="3.95" customHeight="1" x14ac:dyDescent="0.2">
      <c r="A438" s="912"/>
      <c r="B438" s="913"/>
      <c r="C438" s="963"/>
      <c r="D438" s="963"/>
      <c r="E438" s="963"/>
      <c r="F438" s="963"/>
      <c r="G438" s="963"/>
      <c r="H438" s="963"/>
      <c r="I438" s="963"/>
      <c r="J438" s="963"/>
      <c r="K438" s="963"/>
      <c r="L438" s="963"/>
      <c r="M438" s="963"/>
      <c r="N438" s="963"/>
      <c r="O438" s="963"/>
      <c r="P438" s="963"/>
      <c r="Q438" s="898"/>
      <c r="R438" s="988"/>
      <c r="S438" s="898"/>
      <c r="T438" s="963"/>
      <c r="U438" s="963"/>
      <c r="V438" s="963"/>
      <c r="W438" s="963"/>
      <c r="X438" s="963"/>
      <c r="Y438" s="963"/>
      <c r="Z438" s="901"/>
    </row>
    <row r="439" spans="1:26" x14ac:dyDescent="0.2">
      <c r="A439" s="912" t="s">
        <v>621</v>
      </c>
      <c r="B439" s="913"/>
      <c r="C439" s="963">
        <f t="shared" ref="C439:O439" si="190">SUM(C434:C437)</f>
        <v>-64</v>
      </c>
      <c r="D439" s="963">
        <f t="shared" si="190"/>
        <v>-96</v>
      </c>
      <c r="E439" s="963">
        <f t="shared" si="190"/>
        <v>-78</v>
      </c>
      <c r="F439" s="963">
        <f t="shared" si="190"/>
        <v>-83</v>
      </c>
      <c r="G439" s="963">
        <f t="shared" si="190"/>
        <v>-69</v>
      </c>
      <c r="H439" s="963">
        <f t="shared" si="190"/>
        <v>-72</v>
      </c>
      <c r="I439" s="963">
        <f t="shared" si="190"/>
        <v>-63</v>
      </c>
      <c r="J439" s="963">
        <f t="shared" si="190"/>
        <v>-77</v>
      </c>
      <c r="K439" s="963">
        <f t="shared" si="190"/>
        <v>-128</v>
      </c>
      <c r="L439" s="963">
        <f t="shared" si="190"/>
        <v>-128</v>
      </c>
      <c r="M439" s="963">
        <f t="shared" si="190"/>
        <v>-128</v>
      </c>
      <c r="N439" s="963">
        <f t="shared" si="190"/>
        <v>-132</v>
      </c>
      <c r="O439" s="963">
        <f t="shared" si="190"/>
        <v>-1118</v>
      </c>
      <c r="P439" s="963"/>
      <c r="Q439" s="898"/>
      <c r="R439" s="988"/>
      <c r="S439" s="898"/>
      <c r="T439" s="963"/>
      <c r="U439" s="963">
        <f>SUM(U434:U437)</f>
        <v>-238</v>
      </c>
      <c r="V439" s="963">
        <f>SUM(V434:V437)</f>
        <v>-224</v>
      </c>
      <c r="W439" s="963">
        <f>SUM(W434:W437)</f>
        <v>-268</v>
      </c>
      <c r="X439" s="963">
        <f>SUM(X434:X437)</f>
        <v>-388</v>
      </c>
      <c r="Y439" s="963">
        <f>SUM(Y434:Y437)</f>
        <v>-1118</v>
      </c>
      <c r="Z439" s="901"/>
    </row>
    <row r="440" spans="1:26" ht="6" customHeight="1" x14ac:dyDescent="0.2">
      <c r="A440" s="912"/>
      <c r="B440" s="913"/>
      <c r="C440" s="963"/>
      <c r="D440" s="963"/>
      <c r="E440" s="963"/>
      <c r="F440" s="963"/>
      <c r="G440" s="963"/>
      <c r="H440" s="963"/>
      <c r="I440" s="963"/>
      <c r="J440" s="963"/>
      <c r="K440" s="963"/>
      <c r="L440" s="963"/>
      <c r="M440" s="963"/>
      <c r="N440" s="963"/>
      <c r="O440" s="963"/>
      <c r="P440" s="963"/>
      <c r="Q440" s="898"/>
      <c r="R440" s="988"/>
      <c r="S440" s="898"/>
      <c r="T440" s="963"/>
      <c r="U440" s="963"/>
      <c r="V440" s="963"/>
      <c r="W440" s="963"/>
      <c r="X440" s="963"/>
      <c r="Y440" s="963"/>
      <c r="Z440" s="901"/>
    </row>
    <row r="441" spans="1:26" x14ac:dyDescent="0.2">
      <c r="A441" s="912" t="s">
        <v>308</v>
      </c>
      <c r="B441" s="913"/>
      <c r="C441" s="963"/>
      <c r="D441" s="963"/>
      <c r="E441" s="963"/>
      <c r="F441" s="963"/>
      <c r="G441" s="963"/>
      <c r="H441" s="963"/>
      <c r="I441" s="963"/>
      <c r="J441" s="963"/>
      <c r="K441" s="963"/>
      <c r="L441" s="963"/>
      <c r="M441" s="963"/>
      <c r="N441" s="963"/>
      <c r="O441" s="963"/>
      <c r="P441" s="963"/>
      <c r="Q441" s="898"/>
      <c r="R441" s="988"/>
      <c r="S441" s="898"/>
      <c r="T441" s="963"/>
      <c r="U441" s="963"/>
      <c r="V441" s="963"/>
      <c r="W441" s="963"/>
      <c r="X441" s="963"/>
      <c r="Y441" s="963"/>
      <c r="Z441" s="901"/>
    </row>
    <row r="442" spans="1:26" x14ac:dyDescent="0.2">
      <c r="A442" s="909" t="s">
        <v>569</v>
      </c>
      <c r="B442" s="913"/>
      <c r="C442" s="919">
        <f t="shared" ref="C442:N442" si="191">+C306</f>
        <v>-21</v>
      </c>
      <c r="D442" s="919">
        <f t="shared" si="191"/>
        <v>-29</v>
      </c>
      <c r="E442" s="919">
        <f t="shared" si="191"/>
        <v>-30</v>
      </c>
      <c r="F442" s="919">
        <f t="shared" si="191"/>
        <v>-24</v>
      </c>
      <c r="G442" s="919">
        <f t="shared" si="191"/>
        <v>-22</v>
      </c>
      <c r="H442" s="919">
        <f t="shared" si="191"/>
        <v>-25</v>
      </c>
      <c r="I442" s="919">
        <f t="shared" si="191"/>
        <v>-20</v>
      </c>
      <c r="J442" s="919">
        <f t="shared" si="191"/>
        <v>-23</v>
      </c>
      <c r="K442" s="919">
        <f t="shared" si="191"/>
        <v>-23</v>
      </c>
      <c r="L442" s="919">
        <f t="shared" si="191"/>
        <v>-23</v>
      </c>
      <c r="M442" s="919">
        <f t="shared" si="191"/>
        <v>-23</v>
      </c>
      <c r="N442" s="919">
        <f t="shared" si="191"/>
        <v>-26</v>
      </c>
      <c r="O442" s="990">
        <f>SUM(C442:N442)</f>
        <v>-289</v>
      </c>
      <c r="P442" s="990"/>
      <c r="Q442" s="898"/>
      <c r="R442" s="988"/>
      <c r="S442" s="898"/>
      <c r="T442" s="990"/>
      <c r="U442" s="917">
        <f>C442+D442+E442</f>
        <v>-80</v>
      </c>
      <c r="V442" s="917">
        <f>F442+G442+H442</f>
        <v>-71</v>
      </c>
      <c r="W442" s="917">
        <f>I442+J442+K442</f>
        <v>-66</v>
      </c>
      <c r="X442" s="917">
        <f>L442+M442+N442</f>
        <v>-72</v>
      </c>
      <c r="Y442" s="919">
        <f>SUM(U442:X442)</f>
        <v>-289</v>
      </c>
      <c r="Z442" s="901"/>
    </row>
    <row r="443" spans="1:26" x14ac:dyDescent="0.2">
      <c r="A443" s="909" t="s">
        <v>573</v>
      </c>
      <c r="B443" s="913"/>
      <c r="C443" s="919">
        <f>+C308</f>
        <v>0</v>
      </c>
      <c r="D443" s="919">
        <f t="shared" ref="D443:N443" si="192">+D308</f>
        <v>0</v>
      </c>
      <c r="E443" s="919">
        <f t="shared" si="192"/>
        <v>0</v>
      </c>
      <c r="F443" s="919">
        <f t="shared" si="192"/>
        <v>0</v>
      </c>
      <c r="G443" s="919">
        <f t="shared" si="192"/>
        <v>0</v>
      </c>
      <c r="H443" s="919">
        <f t="shared" si="192"/>
        <v>0</v>
      </c>
      <c r="I443" s="919">
        <f t="shared" si="192"/>
        <v>0</v>
      </c>
      <c r="J443" s="919">
        <f t="shared" si="192"/>
        <v>0</v>
      </c>
      <c r="K443" s="919">
        <f t="shared" si="192"/>
        <v>0</v>
      </c>
      <c r="L443" s="919">
        <f t="shared" si="192"/>
        <v>0</v>
      </c>
      <c r="M443" s="919">
        <f t="shared" si="192"/>
        <v>0</v>
      </c>
      <c r="N443" s="919">
        <f t="shared" si="192"/>
        <v>0</v>
      </c>
      <c r="O443" s="990">
        <f>SUM(C443:N443)</f>
        <v>0</v>
      </c>
      <c r="P443" s="990"/>
      <c r="Q443" s="898"/>
      <c r="R443" s="988"/>
      <c r="S443" s="898"/>
      <c r="T443" s="990"/>
      <c r="U443" s="917">
        <f>C443+D443+E443</f>
        <v>0</v>
      </c>
      <c r="V443" s="917">
        <f>F443+G443+H443</f>
        <v>0</v>
      </c>
      <c r="W443" s="917">
        <f>I443+J443+K443</f>
        <v>0</v>
      </c>
      <c r="X443" s="917">
        <f>L443+M443+N443</f>
        <v>0</v>
      </c>
      <c r="Y443" s="919">
        <f>SUM(U443:X443)</f>
        <v>0</v>
      </c>
      <c r="Z443" s="901"/>
    </row>
    <row r="444" spans="1:26" x14ac:dyDescent="0.2">
      <c r="A444" s="909" t="s">
        <v>574</v>
      </c>
      <c r="B444" s="913"/>
      <c r="C444" s="906">
        <f t="shared" ref="C444:N444" si="193">+C310</f>
        <v>-3</v>
      </c>
      <c r="D444" s="906">
        <f t="shared" si="193"/>
        <v>-3</v>
      </c>
      <c r="E444" s="906">
        <f t="shared" si="193"/>
        <v>-2</v>
      </c>
      <c r="F444" s="906">
        <f t="shared" si="193"/>
        <v>-1</v>
      </c>
      <c r="G444" s="906">
        <f t="shared" si="193"/>
        <v>-1</v>
      </c>
      <c r="H444" s="906">
        <f t="shared" si="193"/>
        <v>-1</v>
      </c>
      <c r="I444" s="906">
        <f t="shared" si="193"/>
        <v>-1</v>
      </c>
      <c r="J444" s="906">
        <f t="shared" si="193"/>
        <v>-1</v>
      </c>
      <c r="K444" s="906">
        <f t="shared" si="193"/>
        <v>-1</v>
      </c>
      <c r="L444" s="906">
        <f t="shared" si="193"/>
        <v>-1</v>
      </c>
      <c r="M444" s="906">
        <f t="shared" si="193"/>
        <v>-1</v>
      </c>
      <c r="N444" s="906">
        <f t="shared" si="193"/>
        <v>-1</v>
      </c>
      <c r="O444" s="991">
        <f>SUM(C444:N444)</f>
        <v>-17</v>
      </c>
      <c r="P444" s="991"/>
      <c r="Q444" s="898"/>
      <c r="R444" s="988"/>
      <c r="S444" s="898"/>
      <c r="T444" s="991"/>
      <c r="U444" s="960">
        <f>C444+D444+E444</f>
        <v>-8</v>
      </c>
      <c r="V444" s="960">
        <f>F444+G444+H444</f>
        <v>-3</v>
      </c>
      <c r="W444" s="960">
        <f>I444+J444+K444</f>
        <v>-3</v>
      </c>
      <c r="X444" s="960">
        <f>L444+M444+N444</f>
        <v>-3</v>
      </c>
      <c r="Y444" s="906">
        <f>SUM(U444:X444)</f>
        <v>-17</v>
      </c>
      <c r="Z444" s="901"/>
    </row>
    <row r="445" spans="1:26" ht="3.95" customHeight="1" x14ac:dyDescent="0.2">
      <c r="A445" s="912"/>
      <c r="B445" s="913"/>
      <c r="C445" s="963"/>
      <c r="D445" s="963"/>
      <c r="E445" s="963"/>
      <c r="F445" s="963"/>
      <c r="G445" s="963"/>
      <c r="H445" s="963"/>
      <c r="I445" s="963"/>
      <c r="J445" s="963"/>
      <c r="K445" s="963"/>
      <c r="L445" s="963"/>
      <c r="M445" s="963"/>
      <c r="N445" s="963"/>
      <c r="O445" s="963"/>
      <c r="P445" s="963"/>
      <c r="Q445" s="898"/>
      <c r="R445" s="988"/>
      <c r="S445" s="898"/>
      <c r="T445" s="963"/>
      <c r="U445" s="963"/>
      <c r="V445" s="963"/>
      <c r="W445" s="963"/>
      <c r="X445" s="963"/>
      <c r="Y445" s="963"/>
      <c r="Z445" s="901"/>
    </row>
    <row r="446" spans="1:26" x14ac:dyDescent="0.2">
      <c r="A446" s="912" t="s">
        <v>622</v>
      </c>
      <c r="B446" s="913"/>
      <c r="C446" s="963">
        <f t="shared" ref="C446:O446" si="194">SUM(C441:C444)</f>
        <v>-24</v>
      </c>
      <c r="D446" s="963">
        <f t="shared" si="194"/>
        <v>-32</v>
      </c>
      <c r="E446" s="963">
        <f t="shared" si="194"/>
        <v>-32</v>
      </c>
      <c r="F446" s="963">
        <f t="shared" si="194"/>
        <v>-25</v>
      </c>
      <c r="G446" s="963">
        <f t="shared" si="194"/>
        <v>-23</v>
      </c>
      <c r="H446" s="963">
        <f t="shared" si="194"/>
        <v>-26</v>
      </c>
      <c r="I446" s="963">
        <f t="shared" si="194"/>
        <v>-21</v>
      </c>
      <c r="J446" s="963">
        <f t="shared" si="194"/>
        <v>-24</v>
      </c>
      <c r="K446" s="963">
        <f t="shared" si="194"/>
        <v>-24</v>
      </c>
      <c r="L446" s="963">
        <f t="shared" si="194"/>
        <v>-24</v>
      </c>
      <c r="M446" s="963">
        <f t="shared" si="194"/>
        <v>-24</v>
      </c>
      <c r="N446" s="963">
        <f t="shared" si="194"/>
        <v>-27</v>
      </c>
      <c r="O446" s="963">
        <f t="shared" si="194"/>
        <v>-306</v>
      </c>
      <c r="P446" s="963"/>
      <c r="Q446" s="898"/>
      <c r="R446" s="988"/>
      <c r="S446" s="898"/>
      <c r="T446" s="963"/>
      <c r="U446" s="963">
        <f>SUM(U441:U444)</f>
        <v>-88</v>
      </c>
      <c r="V446" s="963">
        <f>SUM(V441:V444)</f>
        <v>-74</v>
      </c>
      <c r="W446" s="963">
        <f>SUM(W441:W444)</f>
        <v>-69</v>
      </c>
      <c r="X446" s="963">
        <f>SUM(X441:X444)</f>
        <v>-75</v>
      </c>
      <c r="Y446" s="963">
        <f>SUM(Y441:Y444)</f>
        <v>-306</v>
      </c>
      <c r="Z446" s="901"/>
    </row>
    <row r="447" spans="1:26" ht="6" customHeight="1" x14ac:dyDescent="0.2">
      <c r="A447" s="912"/>
      <c r="B447" s="913"/>
      <c r="C447" s="963"/>
      <c r="D447" s="963"/>
      <c r="E447" s="963"/>
      <c r="F447" s="963"/>
      <c r="G447" s="963"/>
      <c r="H447" s="963"/>
      <c r="I447" s="963"/>
      <c r="J447" s="963"/>
      <c r="K447" s="963"/>
      <c r="L447" s="963"/>
      <c r="M447" s="963"/>
      <c r="N447" s="963"/>
      <c r="O447" s="963"/>
      <c r="P447" s="963"/>
      <c r="Q447" s="898"/>
      <c r="R447" s="988"/>
      <c r="S447" s="898"/>
      <c r="T447" s="963"/>
      <c r="U447" s="963"/>
      <c r="V447" s="963"/>
      <c r="W447" s="963"/>
      <c r="X447" s="963"/>
      <c r="Y447" s="963"/>
      <c r="Z447" s="901"/>
    </row>
    <row r="448" spans="1:26" x14ac:dyDescent="0.2">
      <c r="A448" s="912" t="s">
        <v>623</v>
      </c>
      <c r="B448" s="913"/>
      <c r="C448" s="963"/>
      <c r="D448" s="963"/>
      <c r="E448" s="963"/>
      <c r="F448" s="963"/>
      <c r="G448" s="963"/>
      <c r="H448" s="963"/>
      <c r="I448" s="963"/>
      <c r="J448" s="963"/>
      <c r="K448" s="963"/>
      <c r="L448" s="963"/>
      <c r="M448" s="963"/>
      <c r="N448" s="963"/>
      <c r="O448" s="963"/>
      <c r="P448" s="963"/>
      <c r="Q448" s="898"/>
      <c r="R448" s="988"/>
      <c r="S448" s="898"/>
      <c r="T448" s="963"/>
      <c r="U448" s="963"/>
      <c r="V448" s="963"/>
      <c r="W448" s="963"/>
      <c r="X448" s="963"/>
      <c r="Y448" s="963"/>
      <c r="Z448" s="901"/>
    </row>
    <row r="449" spans="1:26" x14ac:dyDescent="0.2">
      <c r="A449" s="909" t="s">
        <v>569</v>
      </c>
      <c r="B449" s="913"/>
      <c r="C449" s="919">
        <f t="shared" ref="C449:N449" si="195">+C323</f>
        <v>-193</v>
      </c>
      <c r="D449" s="919">
        <f t="shared" si="195"/>
        <v>-155</v>
      </c>
      <c r="E449" s="919">
        <f t="shared" si="195"/>
        <v>-163</v>
      </c>
      <c r="F449" s="919">
        <f t="shared" si="195"/>
        <v>-108</v>
      </c>
      <c r="G449" s="919">
        <f t="shared" si="195"/>
        <v>-127</v>
      </c>
      <c r="H449" s="919">
        <f t="shared" si="195"/>
        <v>-225</v>
      </c>
      <c r="I449" s="919">
        <f t="shared" si="195"/>
        <v>150</v>
      </c>
      <c r="J449" s="919">
        <f t="shared" si="195"/>
        <v>-49</v>
      </c>
      <c r="K449" s="919">
        <f t="shared" si="195"/>
        <v>-23</v>
      </c>
      <c r="L449" s="919">
        <f t="shared" si="195"/>
        <v>-25</v>
      </c>
      <c r="M449" s="919">
        <f t="shared" si="195"/>
        <v>-23</v>
      </c>
      <c r="N449" s="919">
        <f t="shared" si="195"/>
        <v>-29</v>
      </c>
      <c r="O449" s="990">
        <f>SUM(C449:N449)</f>
        <v>-970</v>
      </c>
      <c r="P449" s="990"/>
      <c r="Q449" s="898"/>
      <c r="R449" s="988"/>
      <c r="S449" s="898"/>
      <c r="T449" s="990"/>
      <c r="U449" s="917">
        <f>C449+D449+E449</f>
        <v>-511</v>
      </c>
      <c r="V449" s="917">
        <f>F449+G449+H449</f>
        <v>-460</v>
      </c>
      <c r="W449" s="917">
        <f>I449+J449+K449</f>
        <v>78</v>
      </c>
      <c r="X449" s="917">
        <f>L449+M449+N449</f>
        <v>-77</v>
      </c>
      <c r="Y449" s="919">
        <f>SUM(U449:X449)</f>
        <v>-970</v>
      </c>
      <c r="Z449" s="901"/>
    </row>
    <row r="450" spans="1:26" x14ac:dyDescent="0.2">
      <c r="A450" s="909" t="s">
        <v>573</v>
      </c>
      <c r="B450" s="913"/>
      <c r="C450" s="919">
        <f>+C325</f>
        <v>0</v>
      </c>
      <c r="D450" s="919">
        <f t="shared" ref="D450:N450" si="196">+D325</f>
        <v>0</v>
      </c>
      <c r="E450" s="919">
        <f t="shared" si="196"/>
        <v>0</v>
      </c>
      <c r="F450" s="919">
        <f t="shared" si="196"/>
        <v>0</v>
      </c>
      <c r="G450" s="919">
        <f t="shared" si="196"/>
        <v>0</v>
      </c>
      <c r="H450" s="919">
        <f t="shared" si="196"/>
        <v>0</v>
      </c>
      <c r="I450" s="919">
        <f t="shared" si="196"/>
        <v>0</v>
      </c>
      <c r="J450" s="919">
        <f t="shared" si="196"/>
        <v>0</v>
      </c>
      <c r="K450" s="919">
        <f t="shared" si="196"/>
        <v>0</v>
      </c>
      <c r="L450" s="919">
        <f t="shared" si="196"/>
        <v>0</v>
      </c>
      <c r="M450" s="919">
        <f t="shared" si="196"/>
        <v>0</v>
      </c>
      <c r="N450" s="919">
        <f t="shared" si="196"/>
        <v>0</v>
      </c>
      <c r="O450" s="990">
        <f>SUM(C450:N450)</f>
        <v>0</v>
      </c>
      <c r="P450" s="990"/>
      <c r="Q450" s="898"/>
      <c r="R450" s="988"/>
      <c r="S450" s="898"/>
      <c r="T450" s="990"/>
      <c r="U450" s="917">
        <f>C450+D450+E450</f>
        <v>0</v>
      </c>
      <c r="V450" s="917">
        <f>F450+G450+H450</f>
        <v>0</v>
      </c>
      <c r="W450" s="917">
        <f>I450+J450+K450</f>
        <v>0</v>
      </c>
      <c r="X450" s="917">
        <f>L450+M450+N450</f>
        <v>0</v>
      </c>
      <c r="Y450" s="919">
        <f>SUM(U450:X450)</f>
        <v>0</v>
      </c>
      <c r="Z450" s="901"/>
    </row>
    <row r="451" spans="1:26" x14ac:dyDescent="0.2">
      <c r="A451" s="909" t="s">
        <v>574</v>
      </c>
      <c r="B451" s="913"/>
      <c r="C451" s="906">
        <f t="shared" ref="C451:N451" si="197">+C327</f>
        <v>-2</v>
      </c>
      <c r="D451" s="906">
        <f t="shared" si="197"/>
        <v>-3</v>
      </c>
      <c r="E451" s="906">
        <f t="shared" si="197"/>
        <v>-3</v>
      </c>
      <c r="F451" s="906">
        <f t="shared" si="197"/>
        <v>-2</v>
      </c>
      <c r="G451" s="906">
        <f t="shared" si="197"/>
        <v>-2</v>
      </c>
      <c r="H451" s="906">
        <f t="shared" si="197"/>
        <v>-2</v>
      </c>
      <c r="I451" s="906">
        <f t="shared" si="197"/>
        <v>-2</v>
      </c>
      <c r="J451" s="906">
        <f t="shared" si="197"/>
        <v>-2</v>
      </c>
      <c r="K451" s="906">
        <f t="shared" si="197"/>
        <v>-2</v>
      </c>
      <c r="L451" s="906">
        <f t="shared" si="197"/>
        <v>-2</v>
      </c>
      <c r="M451" s="906">
        <f t="shared" si="197"/>
        <v>-2</v>
      </c>
      <c r="N451" s="906">
        <f t="shared" si="197"/>
        <v>-2</v>
      </c>
      <c r="O451" s="991">
        <f>SUM(C451:N451)</f>
        <v>-26</v>
      </c>
      <c r="P451" s="991"/>
      <c r="Q451" s="898"/>
      <c r="R451" s="988"/>
      <c r="S451" s="898"/>
      <c r="T451" s="991"/>
      <c r="U451" s="960">
        <f>C451+D451+E451</f>
        <v>-8</v>
      </c>
      <c r="V451" s="960">
        <f>F451+G451+H451</f>
        <v>-6</v>
      </c>
      <c r="W451" s="960">
        <f>I451+J451+K451</f>
        <v>-6</v>
      </c>
      <c r="X451" s="960">
        <f>L451+M451+N451</f>
        <v>-6</v>
      </c>
      <c r="Y451" s="906">
        <f>SUM(U451:X451)</f>
        <v>-26</v>
      </c>
      <c r="Z451" s="901"/>
    </row>
    <row r="452" spans="1:26" ht="3.95" customHeight="1" x14ac:dyDescent="0.2">
      <c r="A452" s="912"/>
      <c r="B452" s="913"/>
      <c r="C452" s="963"/>
      <c r="D452" s="963"/>
      <c r="E452" s="963"/>
      <c r="F452" s="963"/>
      <c r="G452" s="963"/>
      <c r="H452" s="963"/>
      <c r="I452" s="963"/>
      <c r="J452" s="963"/>
      <c r="K452" s="963"/>
      <c r="L452" s="963"/>
      <c r="M452" s="963"/>
      <c r="N452" s="963"/>
      <c r="O452" s="963"/>
      <c r="P452" s="963"/>
      <c r="Q452" s="898"/>
      <c r="R452" s="988"/>
      <c r="S452" s="898"/>
      <c r="T452" s="963"/>
      <c r="U452" s="963"/>
      <c r="V452" s="963"/>
      <c r="W452" s="963"/>
      <c r="X452" s="963"/>
      <c r="Y452" s="963"/>
      <c r="Z452" s="901"/>
    </row>
    <row r="453" spans="1:26" x14ac:dyDescent="0.2">
      <c r="A453" s="912" t="s">
        <v>624</v>
      </c>
      <c r="B453" s="913"/>
      <c r="C453" s="963">
        <f t="shared" ref="C453:O453" si="198">SUM(C448:C451)</f>
        <v>-195</v>
      </c>
      <c r="D453" s="963">
        <f t="shared" si="198"/>
        <v>-158</v>
      </c>
      <c r="E453" s="963">
        <f t="shared" si="198"/>
        <v>-166</v>
      </c>
      <c r="F453" s="963">
        <f t="shared" si="198"/>
        <v>-110</v>
      </c>
      <c r="G453" s="963">
        <f t="shared" si="198"/>
        <v>-129</v>
      </c>
      <c r="H453" s="963">
        <f t="shared" si="198"/>
        <v>-227</v>
      </c>
      <c r="I453" s="963">
        <f t="shared" si="198"/>
        <v>148</v>
      </c>
      <c r="J453" s="963">
        <f t="shared" si="198"/>
        <v>-51</v>
      </c>
      <c r="K453" s="963">
        <f t="shared" si="198"/>
        <v>-25</v>
      </c>
      <c r="L453" s="963">
        <f t="shared" si="198"/>
        <v>-27</v>
      </c>
      <c r="M453" s="963">
        <f t="shared" si="198"/>
        <v>-25</v>
      </c>
      <c r="N453" s="963">
        <f t="shared" si="198"/>
        <v>-31</v>
      </c>
      <c r="O453" s="963">
        <f t="shared" si="198"/>
        <v>-996</v>
      </c>
      <c r="P453" s="963"/>
      <c r="Q453" s="898"/>
      <c r="R453" s="988"/>
      <c r="S453" s="898"/>
      <c r="T453" s="963"/>
      <c r="U453" s="963">
        <f>SUM(U448:U451)</f>
        <v>-519</v>
      </c>
      <c r="V453" s="963">
        <f>SUM(V448:V451)</f>
        <v>-466</v>
      </c>
      <c r="W453" s="963">
        <f>SUM(W448:W451)</f>
        <v>72</v>
      </c>
      <c r="X453" s="963">
        <f>SUM(X448:X451)</f>
        <v>-83</v>
      </c>
      <c r="Y453" s="963">
        <f>SUM(Y448:Y451)</f>
        <v>-996</v>
      </c>
      <c r="Z453" s="901"/>
    </row>
    <row r="454" spans="1:26" ht="6" customHeight="1" x14ac:dyDescent="0.2">
      <c r="A454" s="912"/>
      <c r="B454" s="913"/>
      <c r="C454" s="963"/>
      <c r="D454" s="963"/>
      <c r="E454" s="963"/>
      <c r="F454" s="963"/>
      <c r="G454" s="963"/>
      <c r="H454" s="963"/>
      <c r="I454" s="963"/>
      <c r="J454" s="963"/>
      <c r="K454" s="963"/>
      <c r="L454" s="963"/>
      <c r="M454" s="963"/>
      <c r="N454" s="963"/>
      <c r="O454" s="963"/>
      <c r="P454" s="963"/>
      <c r="Q454" s="898"/>
      <c r="R454" s="988"/>
      <c r="S454" s="898"/>
      <c r="T454" s="963"/>
      <c r="U454" s="963"/>
      <c r="V454" s="963"/>
      <c r="W454" s="963"/>
      <c r="X454" s="963"/>
      <c r="Y454" s="963"/>
      <c r="Z454" s="901"/>
    </row>
    <row r="455" spans="1:26" x14ac:dyDescent="0.2">
      <c r="A455" s="912" t="s">
        <v>491</v>
      </c>
      <c r="B455" s="913"/>
      <c r="C455" s="932">
        <f t="shared" ref="C455:O455" si="199">+C396+C404+C412+C424+C432+C439+C446+C453</f>
        <v>11959.029</v>
      </c>
      <c r="D455" s="933">
        <f t="shared" si="199"/>
        <v>15034.098</v>
      </c>
      <c r="E455" s="933">
        <f t="shared" si="199"/>
        <v>1338</v>
      </c>
      <c r="F455" s="933">
        <f t="shared" si="199"/>
        <v>12359</v>
      </c>
      <c r="G455" s="933">
        <f t="shared" si="199"/>
        <v>11795</v>
      </c>
      <c r="H455" s="933">
        <f t="shared" si="199"/>
        <v>9740</v>
      </c>
      <c r="I455" s="933">
        <f t="shared" si="199"/>
        <v>10603</v>
      </c>
      <c r="J455" s="933">
        <f t="shared" si="199"/>
        <v>9845</v>
      </c>
      <c r="K455" s="933">
        <f t="shared" si="199"/>
        <v>10087</v>
      </c>
      <c r="L455" s="933">
        <f t="shared" si="199"/>
        <v>9164</v>
      </c>
      <c r="M455" s="933">
        <f t="shared" si="199"/>
        <v>8328</v>
      </c>
      <c r="N455" s="933">
        <f t="shared" si="199"/>
        <v>9150</v>
      </c>
      <c r="O455" s="934">
        <f t="shared" si="199"/>
        <v>119402.12700000001</v>
      </c>
      <c r="P455" s="935"/>
      <c r="Q455" s="898"/>
      <c r="R455" s="988"/>
      <c r="S455" s="898"/>
      <c r="T455" s="935"/>
      <c r="U455" s="932">
        <f>+U396+U404+U412+U424+U432+U439+U446+U453</f>
        <v>28331.127</v>
      </c>
      <c r="V455" s="933">
        <f>+V396+V404+V412+V424+V432+V439+V446+V453</f>
        <v>33894</v>
      </c>
      <c r="W455" s="933">
        <f>+W396+W404+W412+W424+W432+W439+W446+W453</f>
        <v>30535</v>
      </c>
      <c r="X455" s="933">
        <f>+X396+X404+X412+X424+X432+X439+X446+X453</f>
        <v>26642</v>
      </c>
      <c r="Y455" s="934">
        <f>+Y396+Y404+Y412+Y424+Y432+Y439+Y446+Y453</f>
        <v>119402.12700000001</v>
      </c>
      <c r="Z455" s="901"/>
    </row>
    <row r="456" spans="1:26" x14ac:dyDescent="0.2">
      <c r="A456" s="912"/>
      <c r="B456" s="913"/>
      <c r="C456" s="963"/>
      <c r="D456" s="963"/>
      <c r="E456" s="963"/>
      <c r="F456" s="963"/>
      <c r="G456" s="963"/>
      <c r="H456" s="963"/>
      <c r="I456" s="963"/>
      <c r="J456" s="963"/>
      <c r="K456" s="963"/>
      <c r="L456" s="963"/>
      <c r="M456" s="963"/>
      <c r="N456" s="963"/>
      <c r="O456" s="963"/>
      <c r="P456" s="963"/>
      <c r="Q456" s="898"/>
      <c r="R456" s="988"/>
      <c r="S456" s="898"/>
      <c r="T456" s="963"/>
      <c r="U456" s="963"/>
      <c r="V456" s="963"/>
      <c r="W456" s="963"/>
      <c r="X456" s="963"/>
      <c r="Y456" s="963"/>
      <c r="Z456" s="901"/>
    </row>
    <row r="457" spans="1:26" x14ac:dyDescent="0.2">
      <c r="A457" s="909" t="s">
        <v>56</v>
      </c>
      <c r="B457" s="913"/>
      <c r="C457" s="919">
        <f>+C386+C399+C407+C416+C428+C435+C442+C449</f>
        <v>-3424.971</v>
      </c>
      <c r="D457" s="919">
        <f t="shared" ref="D457:O457" si="200">+D386+D399+D407+D416+D428+D435+D442+D449</f>
        <v>-3729.902</v>
      </c>
      <c r="E457" s="919">
        <f t="shared" si="200"/>
        <v>-5310</v>
      </c>
      <c r="F457" s="919">
        <f t="shared" si="200"/>
        <v>-3154</v>
      </c>
      <c r="G457" s="919">
        <f t="shared" si="200"/>
        <v>-4079</v>
      </c>
      <c r="H457" s="919">
        <f t="shared" si="200"/>
        <v>-4208</v>
      </c>
      <c r="I457" s="919">
        <f t="shared" si="200"/>
        <v>-3219</v>
      </c>
      <c r="J457" s="919">
        <f t="shared" si="200"/>
        <v>-3925</v>
      </c>
      <c r="K457" s="919">
        <f t="shared" si="200"/>
        <v>-2696</v>
      </c>
      <c r="L457" s="919">
        <f t="shared" si="200"/>
        <v>-3359</v>
      </c>
      <c r="M457" s="919">
        <f t="shared" si="200"/>
        <v>-3255</v>
      </c>
      <c r="N457" s="919">
        <f t="shared" si="200"/>
        <v>-2950</v>
      </c>
      <c r="O457" s="919">
        <f t="shared" si="200"/>
        <v>-43309.873</v>
      </c>
      <c r="P457" s="963"/>
      <c r="Q457" s="898"/>
      <c r="R457" s="988"/>
      <c r="S457" s="898"/>
      <c r="T457" s="963"/>
      <c r="U457" s="919">
        <f>+U386+U399+U407+U416+U428+U435+U442+U449</f>
        <v>-12464.873</v>
      </c>
      <c r="V457" s="919">
        <f>+V386+V399+V407+V416+V428+V435+V442+V449</f>
        <v>-11441</v>
      </c>
      <c r="W457" s="919">
        <f>+W386+W399+W407+W416+W428+W435+W442+W449</f>
        <v>-9840</v>
      </c>
      <c r="X457" s="919">
        <f>+X386+X399+X407+X416+X428+X435+X442+X449</f>
        <v>-9564</v>
      </c>
      <c r="Y457" s="919">
        <f>+Y386+Y399+Y407+Y416+Y428+Y435+Y442+Y449</f>
        <v>-43309.873</v>
      </c>
      <c r="Z457" s="901"/>
    </row>
    <row r="458" spans="1:26" x14ac:dyDescent="0.2">
      <c r="A458" s="909" t="s">
        <v>57</v>
      </c>
      <c r="B458" s="913"/>
      <c r="C458" s="1008">
        <f>+C390+C400+C408+C417+C429+C436+C443+C450</f>
        <v>-1621</v>
      </c>
      <c r="D458" s="1008">
        <f t="shared" ref="D458:O458" si="201">+D390+D400+D408+D417+D429+D436+D443+D450</f>
        <v>-1587</v>
      </c>
      <c r="E458" s="1008">
        <f t="shared" si="201"/>
        <v>-1631</v>
      </c>
      <c r="F458" s="1008">
        <f t="shared" si="201"/>
        <v>-1643</v>
      </c>
      <c r="G458" s="1008">
        <f t="shared" si="201"/>
        <v>-1600</v>
      </c>
      <c r="H458" s="1008">
        <f t="shared" si="201"/>
        <v>-1710</v>
      </c>
      <c r="I458" s="1008">
        <f t="shared" si="201"/>
        <v>-1648</v>
      </c>
      <c r="J458" s="1008">
        <f t="shared" si="201"/>
        <v>-1650</v>
      </c>
      <c r="K458" s="1008">
        <f t="shared" si="201"/>
        <v>-1700</v>
      </c>
      <c r="L458" s="1008">
        <f t="shared" si="201"/>
        <v>-1800</v>
      </c>
      <c r="M458" s="1008">
        <f t="shared" si="201"/>
        <v>-1900</v>
      </c>
      <c r="N458" s="1008">
        <f t="shared" si="201"/>
        <v>-1950</v>
      </c>
      <c r="O458" s="1008">
        <f t="shared" si="201"/>
        <v>-20440</v>
      </c>
      <c r="P458" s="990"/>
      <c r="Q458" s="898"/>
      <c r="R458" s="988"/>
      <c r="S458" s="898"/>
      <c r="T458" s="990"/>
      <c r="U458" s="1008">
        <f>+U390+U400+U408+U417+U429+U436+U443+U450</f>
        <v>-4839</v>
      </c>
      <c r="V458" s="1008">
        <f>+V390+V400+V408+V417+V429+V436+V443+V450</f>
        <v>-4953</v>
      </c>
      <c r="W458" s="1008">
        <f>+W390+W400+W408+W417+W429+W436+W443+W450</f>
        <v>-4998</v>
      </c>
      <c r="X458" s="1008">
        <f>+X390+X400+X408+X417+X429+X436+X443+X450</f>
        <v>-5650</v>
      </c>
      <c r="Y458" s="1008">
        <f>+Y390+Y400+Y408+Y417+Y429+Y436+Y443+Y450</f>
        <v>-20440</v>
      </c>
      <c r="Z458" s="901"/>
    </row>
    <row r="459" spans="1:26" x14ac:dyDescent="0.2">
      <c r="A459" s="928"/>
      <c r="B459" s="913"/>
      <c r="C459" s="919"/>
      <c r="D459" s="919"/>
      <c r="E459" s="919"/>
      <c r="F459" s="919"/>
      <c r="G459" s="919"/>
      <c r="H459" s="919"/>
      <c r="I459" s="919"/>
      <c r="J459" s="919"/>
      <c r="K459" s="919"/>
      <c r="L459" s="919"/>
      <c r="M459" s="919"/>
      <c r="N459" s="919"/>
      <c r="O459" s="917"/>
      <c r="P459" s="917"/>
      <c r="Q459" s="898"/>
      <c r="R459" s="988"/>
      <c r="S459" s="898"/>
      <c r="T459" s="917"/>
      <c r="U459" s="917"/>
      <c r="V459" s="917"/>
      <c r="W459" s="917"/>
      <c r="X459" s="917"/>
      <c r="Y459" s="919"/>
      <c r="Z459" s="901"/>
    </row>
    <row r="460" spans="1:26" x14ac:dyDescent="0.2">
      <c r="A460" s="912"/>
      <c r="B460" s="913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898"/>
      <c r="R460" s="988"/>
      <c r="S460" s="898"/>
      <c r="T460" s="704"/>
      <c r="U460" s="704"/>
      <c r="V460" s="704"/>
      <c r="W460" s="704"/>
      <c r="X460" s="704"/>
      <c r="Y460" s="704"/>
      <c r="Z460" s="901"/>
    </row>
    <row r="461" spans="1:26" x14ac:dyDescent="0.2">
      <c r="A461" s="928"/>
      <c r="B461" s="913"/>
      <c r="C461" s="919"/>
      <c r="D461" s="919"/>
      <c r="E461" s="919"/>
      <c r="F461" s="919"/>
      <c r="G461" s="919"/>
      <c r="H461" s="919"/>
      <c r="I461" s="919"/>
      <c r="J461" s="919"/>
      <c r="K461" s="919"/>
      <c r="L461" s="919"/>
      <c r="M461" s="919"/>
      <c r="N461" s="919"/>
      <c r="O461" s="917"/>
      <c r="P461" s="917"/>
      <c r="Q461" s="898"/>
      <c r="R461" s="988"/>
      <c r="S461" s="898"/>
      <c r="T461" s="917"/>
      <c r="U461" s="917"/>
      <c r="V461" s="917"/>
      <c r="W461" s="917"/>
      <c r="X461" s="917"/>
      <c r="Y461" s="919"/>
      <c r="Z461" s="901"/>
    </row>
    <row r="462" spans="1:26" x14ac:dyDescent="0.2">
      <c r="A462" s="909" t="s">
        <v>625</v>
      </c>
      <c r="C462" s="919">
        <f t="shared" ref="C462:O462" si="202">+C342-C455</f>
        <v>0</v>
      </c>
      <c r="D462" s="919">
        <f t="shared" si="202"/>
        <v>0</v>
      </c>
      <c r="E462" s="919">
        <f t="shared" si="202"/>
        <v>0</v>
      </c>
      <c r="F462" s="919">
        <f t="shared" si="202"/>
        <v>0</v>
      </c>
      <c r="G462" s="919">
        <f t="shared" si="202"/>
        <v>0</v>
      </c>
      <c r="H462" s="919">
        <f t="shared" si="202"/>
        <v>0</v>
      </c>
      <c r="I462" s="919">
        <f t="shared" si="202"/>
        <v>0</v>
      </c>
      <c r="J462" s="919">
        <f t="shared" si="202"/>
        <v>0</v>
      </c>
      <c r="K462" s="919">
        <f t="shared" si="202"/>
        <v>0</v>
      </c>
      <c r="L462" s="919">
        <f t="shared" si="202"/>
        <v>0</v>
      </c>
      <c r="M462" s="919">
        <f t="shared" si="202"/>
        <v>0</v>
      </c>
      <c r="N462" s="919">
        <f t="shared" si="202"/>
        <v>0</v>
      </c>
      <c r="O462" s="919">
        <f t="shared" si="202"/>
        <v>0</v>
      </c>
      <c r="P462" s="919"/>
      <c r="Q462" s="898"/>
      <c r="R462" s="988"/>
      <c r="S462" s="898"/>
      <c r="T462" s="919"/>
      <c r="U462" s="919">
        <f>+U342-U455</f>
        <v>0</v>
      </c>
      <c r="V462" s="919">
        <f>+V342-V455</f>
        <v>0</v>
      </c>
      <c r="W462" s="919" t="e">
        <f>+W342-W455</f>
        <v>#REF!</v>
      </c>
      <c r="X462" s="919">
        <f>+X342-X455</f>
        <v>0</v>
      </c>
      <c r="Y462" s="919" t="e">
        <f>+Y342-Y455</f>
        <v>#REF!</v>
      </c>
      <c r="Z462" s="901"/>
    </row>
    <row r="463" spans="1:26" x14ac:dyDescent="0.2">
      <c r="Q463" s="898"/>
      <c r="S463" s="898"/>
      <c r="U463" s="894"/>
      <c r="V463" s="894"/>
    </row>
    <row r="464" spans="1:26" x14ac:dyDescent="0.2">
      <c r="A464" s="912" t="s">
        <v>492</v>
      </c>
      <c r="C464" s="978"/>
      <c r="D464" s="978"/>
      <c r="E464" s="978"/>
      <c r="F464" s="978"/>
      <c r="G464" s="978"/>
      <c r="H464" s="978"/>
      <c r="I464" s="978"/>
      <c r="J464" s="978"/>
      <c r="K464" s="978"/>
      <c r="L464" s="978"/>
      <c r="M464" s="978"/>
      <c r="N464" s="978"/>
      <c r="O464" s="978"/>
      <c r="P464" s="978"/>
      <c r="Q464" s="898"/>
      <c r="R464" s="986"/>
      <c r="S464" s="898"/>
      <c r="T464" s="978"/>
      <c r="U464" s="978"/>
      <c r="V464" s="978"/>
      <c r="W464" s="978"/>
      <c r="X464" s="978"/>
      <c r="Y464" s="978"/>
    </row>
    <row r="465" spans="1:25" x14ac:dyDescent="0.2">
      <c r="A465" s="912" t="s">
        <v>580</v>
      </c>
      <c r="C465" s="978"/>
      <c r="D465" s="978"/>
      <c r="E465" s="978"/>
      <c r="F465" s="978"/>
      <c r="G465" s="978"/>
      <c r="H465" s="978"/>
      <c r="I465" s="978"/>
      <c r="J465" s="978"/>
      <c r="K465" s="978"/>
      <c r="L465" s="978"/>
      <c r="M465" s="978"/>
      <c r="N465" s="978"/>
      <c r="O465" s="978"/>
      <c r="P465" s="978"/>
      <c r="Q465" s="898"/>
      <c r="R465" s="986"/>
      <c r="S465" s="898"/>
      <c r="T465" s="978"/>
      <c r="U465" s="978"/>
      <c r="V465" s="978"/>
      <c r="W465" s="978"/>
      <c r="X465" s="978"/>
      <c r="Y465" s="978"/>
    </row>
    <row r="466" spans="1:25" x14ac:dyDescent="0.2">
      <c r="A466" s="912" t="s">
        <v>565</v>
      </c>
      <c r="B466" s="913"/>
      <c r="C466" s="917"/>
      <c r="D466" s="917"/>
      <c r="E466" s="917"/>
      <c r="F466" s="917"/>
      <c r="G466" s="917"/>
      <c r="H466" s="917"/>
      <c r="I466" s="917"/>
      <c r="J466" s="917"/>
      <c r="K466" s="917"/>
      <c r="L466" s="917"/>
      <c r="M466" s="917"/>
      <c r="N466" s="917"/>
      <c r="O466" s="917"/>
      <c r="P466" s="917"/>
      <c r="Q466" s="898"/>
      <c r="R466" s="987"/>
      <c r="S466" s="898"/>
      <c r="T466" s="917"/>
      <c r="U466" s="900"/>
      <c r="V466" s="900"/>
      <c r="W466" s="900"/>
      <c r="X466" s="900"/>
      <c r="Y466" s="919"/>
    </row>
    <row r="467" spans="1:25" x14ac:dyDescent="0.2">
      <c r="A467" s="909" t="s">
        <v>581</v>
      </c>
      <c r="B467" s="913"/>
      <c r="C467" s="919"/>
      <c r="D467" s="919"/>
      <c r="E467" s="919"/>
      <c r="F467" s="919"/>
      <c r="G467" s="919"/>
      <c r="H467" s="919"/>
      <c r="I467" s="919"/>
      <c r="J467" s="919"/>
      <c r="K467" s="919"/>
      <c r="L467" s="919"/>
      <c r="M467" s="919"/>
      <c r="N467" s="919"/>
      <c r="O467" s="142"/>
      <c r="P467" s="142"/>
      <c r="Q467" s="898"/>
      <c r="R467" s="988"/>
      <c r="S467" s="898"/>
      <c r="T467" s="142"/>
      <c r="U467" s="917"/>
      <c r="V467" s="917"/>
      <c r="W467" s="917"/>
      <c r="X467" s="917"/>
      <c r="Y467" s="901"/>
    </row>
    <row r="468" spans="1:25" x14ac:dyDescent="0.2">
      <c r="A468" s="909" t="s">
        <v>606</v>
      </c>
      <c r="B468" s="913"/>
      <c r="C468" s="862">
        <f>1955+2918+242</f>
        <v>5115</v>
      </c>
      <c r="D468" s="862">
        <f>2556+4569</f>
        <v>7125</v>
      </c>
      <c r="E468" s="862">
        <f>3390+1878+240</f>
        <v>5508</v>
      </c>
      <c r="F468" s="862">
        <f>2388+816+1562</f>
        <v>4766</v>
      </c>
      <c r="G468" s="862">
        <f>2654+793</f>
        <v>3447</v>
      </c>
      <c r="H468" s="862">
        <f>2290+762</f>
        <v>3052</v>
      </c>
      <c r="I468" s="862">
        <f>574+2728</f>
        <v>3302</v>
      </c>
      <c r="J468" s="862">
        <f>3207+498</f>
        <v>3705</v>
      </c>
      <c r="K468" s="862">
        <f>2934+480</f>
        <v>3414</v>
      </c>
      <c r="L468" s="862">
        <v>2600</v>
      </c>
      <c r="M468" s="862">
        <v>2600</v>
      </c>
      <c r="N468" s="862">
        <v>2600</v>
      </c>
      <c r="O468" s="142">
        <f t="shared" ref="O468:O476" si="203">SUM(C468:N468)</f>
        <v>47234</v>
      </c>
      <c r="P468" s="142"/>
      <c r="Q468" s="898"/>
      <c r="R468" s="988"/>
      <c r="S468" s="898"/>
      <c r="T468" s="142"/>
      <c r="U468" s="917">
        <f t="shared" ref="U468:U476" si="204">C468+D468+E468</f>
        <v>17748</v>
      </c>
      <c r="V468" s="917">
        <f t="shared" ref="V468:V476" si="205">F468+G468+H468</f>
        <v>11265</v>
      </c>
      <c r="W468" s="917">
        <f t="shared" ref="W468:W476" si="206">I468+J468+K468</f>
        <v>10421</v>
      </c>
      <c r="X468" s="917">
        <f t="shared" ref="X468:X476" si="207">L468+M468+N468</f>
        <v>7800</v>
      </c>
      <c r="Y468" s="919">
        <f t="shared" ref="Y468:Y476" si="208">SUM(U468:X468)</f>
        <v>47234</v>
      </c>
    </row>
    <row r="469" spans="1:25" x14ac:dyDescent="0.2">
      <c r="A469" s="909" t="s">
        <v>582</v>
      </c>
      <c r="B469" s="913"/>
      <c r="C469" s="128">
        <v>687</v>
      </c>
      <c r="D469" s="128">
        <v>38</v>
      </c>
      <c r="E469" s="128">
        <v>40</v>
      </c>
      <c r="F469" s="128">
        <v>351</v>
      </c>
      <c r="G469" s="128">
        <v>146</v>
      </c>
      <c r="H469" s="128">
        <v>0</v>
      </c>
      <c r="I469" s="128">
        <v>295</v>
      </c>
      <c r="J469" s="128">
        <v>950</v>
      </c>
      <c r="K469" s="128">
        <v>237</v>
      </c>
      <c r="L469" s="128">
        <v>0</v>
      </c>
      <c r="M469" s="128">
        <v>0</v>
      </c>
      <c r="N469" s="128">
        <v>0</v>
      </c>
      <c r="O469" s="142">
        <f t="shared" si="203"/>
        <v>2744</v>
      </c>
      <c r="P469" s="142"/>
      <c r="Q469" s="898"/>
      <c r="R469" s="988"/>
      <c r="S469" s="898"/>
      <c r="T469" s="142"/>
      <c r="U469" s="917">
        <f t="shared" si="204"/>
        <v>765</v>
      </c>
      <c r="V469" s="917">
        <f t="shared" si="205"/>
        <v>497</v>
      </c>
      <c r="W469" s="917">
        <f t="shared" si="206"/>
        <v>1482</v>
      </c>
      <c r="X469" s="917">
        <f t="shared" si="207"/>
        <v>0</v>
      </c>
      <c r="Y469" s="919">
        <f t="shared" si="208"/>
        <v>2744</v>
      </c>
    </row>
    <row r="470" spans="1:25" x14ac:dyDescent="0.2">
      <c r="A470" s="909" t="s">
        <v>603</v>
      </c>
      <c r="B470" s="913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3"/>
        <v>0</v>
      </c>
      <c r="P470" s="142"/>
      <c r="Q470" s="898"/>
      <c r="R470" s="988"/>
      <c r="S470" s="898"/>
      <c r="T470" s="142"/>
      <c r="U470" s="917">
        <f t="shared" si="204"/>
        <v>0</v>
      </c>
      <c r="V470" s="917">
        <f t="shared" si="205"/>
        <v>0</v>
      </c>
      <c r="W470" s="917">
        <f t="shared" si="206"/>
        <v>0</v>
      </c>
      <c r="X470" s="917">
        <f t="shared" si="207"/>
        <v>0</v>
      </c>
      <c r="Y470" s="919">
        <f t="shared" si="208"/>
        <v>0</v>
      </c>
    </row>
    <row r="471" spans="1:25" x14ac:dyDescent="0.2">
      <c r="A471" s="909" t="s">
        <v>604</v>
      </c>
      <c r="B471" s="913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3"/>
        <v>0</v>
      </c>
      <c r="P471" s="142"/>
      <c r="Q471" s="923"/>
      <c r="R471" s="989"/>
      <c r="S471" s="923"/>
      <c r="T471" s="142"/>
      <c r="U471" s="917">
        <f t="shared" si="204"/>
        <v>0</v>
      </c>
      <c r="V471" s="917">
        <f t="shared" si="205"/>
        <v>0</v>
      </c>
      <c r="W471" s="917">
        <f t="shared" si="206"/>
        <v>0</v>
      </c>
      <c r="X471" s="917">
        <f t="shared" si="207"/>
        <v>0</v>
      </c>
      <c r="Y471" s="919">
        <f t="shared" si="208"/>
        <v>0</v>
      </c>
    </row>
    <row r="472" spans="1:25" x14ac:dyDescent="0.2">
      <c r="A472" s="909" t="s">
        <v>605</v>
      </c>
      <c r="B472" s="913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3"/>
        <v>0</v>
      </c>
      <c r="P472" s="142"/>
      <c r="Q472" s="898"/>
      <c r="R472" s="988"/>
      <c r="S472" s="898"/>
      <c r="T472" s="142"/>
      <c r="U472" s="917">
        <f t="shared" si="204"/>
        <v>0</v>
      </c>
      <c r="V472" s="917">
        <f t="shared" si="205"/>
        <v>0</v>
      </c>
      <c r="W472" s="917">
        <f t="shared" si="206"/>
        <v>0</v>
      </c>
      <c r="X472" s="917">
        <f t="shared" si="207"/>
        <v>0</v>
      </c>
      <c r="Y472" s="919">
        <f t="shared" si="208"/>
        <v>0</v>
      </c>
    </row>
    <row r="473" spans="1:25" x14ac:dyDescent="0.2">
      <c r="A473" s="909" t="s">
        <v>610</v>
      </c>
      <c r="B473" s="913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208</v>
      </c>
      <c r="J473" s="128">
        <v>0</v>
      </c>
      <c r="K473" s="128">
        <v>900</v>
      </c>
      <c r="L473" s="128">
        <v>0</v>
      </c>
      <c r="M473" s="128">
        <v>0</v>
      </c>
      <c r="N473" s="128">
        <v>0</v>
      </c>
      <c r="O473" s="142">
        <f t="shared" si="203"/>
        <v>1108</v>
      </c>
      <c r="P473" s="142"/>
      <c r="Q473" s="898"/>
      <c r="R473" s="988"/>
      <c r="S473" s="898"/>
      <c r="T473" s="142"/>
      <c r="U473" s="917">
        <f t="shared" si="204"/>
        <v>0</v>
      </c>
      <c r="V473" s="917">
        <f t="shared" si="205"/>
        <v>0</v>
      </c>
      <c r="W473" s="917">
        <f t="shared" si="206"/>
        <v>1108</v>
      </c>
      <c r="X473" s="917">
        <f t="shared" si="207"/>
        <v>0</v>
      </c>
      <c r="Y473" s="919">
        <f t="shared" si="208"/>
        <v>1108</v>
      </c>
    </row>
    <row r="474" spans="1:25" x14ac:dyDescent="0.2">
      <c r="A474" s="909" t="s">
        <v>583</v>
      </c>
      <c r="B474" s="913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3"/>
        <v>0</v>
      </c>
      <c r="P474" s="142"/>
      <c r="Q474" s="898"/>
      <c r="R474" s="988"/>
      <c r="S474" s="898"/>
      <c r="T474" s="142"/>
      <c r="U474" s="917">
        <f t="shared" si="204"/>
        <v>0</v>
      </c>
      <c r="V474" s="917">
        <f t="shared" si="205"/>
        <v>0</v>
      </c>
      <c r="W474" s="917">
        <f t="shared" si="206"/>
        <v>0</v>
      </c>
      <c r="X474" s="917">
        <f t="shared" si="207"/>
        <v>0</v>
      </c>
      <c r="Y474" s="919">
        <f t="shared" si="208"/>
        <v>0</v>
      </c>
    </row>
    <row r="475" spans="1:25" x14ac:dyDescent="0.2">
      <c r="A475" s="909" t="s">
        <v>584</v>
      </c>
      <c r="B475" s="913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3"/>
        <v>0</v>
      </c>
      <c r="P475" s="142"/>
      <c r="Q475" s="898"/>
      <c r="R475" s="988"/>
      <c r="S475" s="898"/>
      <c r="T475" s="142"/>
      <c r="U475" s="917">
        <f t="shared" si="204"/>
        <v>0</v>
      </c>
      <c r="V475" s="917">
        <f t="shared" si="205"/>
        <v>0</v>
      </c>
      <c r="W475" s="917">
        <f t="shared" si="206"/>
        <v>0</v>
      </c>
      <c r="X475" s="917">
        <f t="shared" si="207"/>
        <v>0</v>
      </c>
      <c r="Y475" s="919">
        <f t="shared" si="208"/>
        <v>0</v>
      </c>
    </row>
    <row r="476" spans="1:25" x14ac:dyDescent="0.2">
      <c r="A476" s="909" t="s">
        <v>590</v>
      </c>
      <c r="B476" s="913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91">
        <f t="shared" si="203"/>
        <v>0</v>
      </c>
      <c r="P476" s="991"/>
      <c r="Q476" s="898"/>
      <c r="R476" s="988"/>
      <c r="S476" s="898"/>
      <c r="T476" s="991"/>
      <c r="U476" s="960">
        <f t="shared" si="204"/>
        <v>0</v>
      </c>
      <c r="V476" s="960">
        <f t="shared" si="205"/>
        <v>0</v>
      </c>
      <c r="W476" s="960">
        <f t="shared" si="206"/>
        <v>0</v>
      </c>
      <c r="X476" s="960">
        <f t="shared" si="207"/>
        <v>0</v>
      </c>
      <c r="Y476" s="906">
        <f t="shared" si="208"/>
        <v>0</v>
      </c>
    </row>
    <row r="477" spans="1:25" x14ac:dyDescent="0.2">
      <c r="A477" s="909" t="s">
        <v>585</v>
      </c>
      <c r="B477" s="913"/>
      <c r="C477" s="906">
        <f>SUM(C468:C476)</f>
        <v>5802</v>
      </c>
      <c r="D477" s="906">
        <f t="shared" ref="D477:O477" si="209">SUM(D468:D476)</f>
        <v>7163</v>
      </c>
      <c r="E477" s="906">
        <f t="shared" si="209"/>
        <v>5548</v>
      </c>
      <c r="F477" s="906">
        <f t="shared" si="209"/>
        <v>5117</v>
      </c>
      <c r="G477" s="906">
        <f t="shared" si="209"/>
        <v>3593</v>
      </c>
      <c r="H477" s="906">
        <f t="shared" si="209"/>
        <v>3052</v>
      </c>
      <c r="I477" s="906">
        <f t="shared" si="209"/>
        <v>3805</v>
      </c>
      <c r="J477" s="906">
        <f t="shared" si="209"/>
        <v>4655</v>
      </c>
      <c r="K477" s="906">
        <f t="shared" si="209"/>
        <v>4551</v>
      </c>
      <c r="L477" s="906">
        <f t="shared" si="209"/>
        <v>2600</v>
      </c>
      <c r="M477" s="906">
        <f t="shared" si="209"/>
        <v>2600</v>
      </c>
      <c r="N477" s="906">
        <f t="shared" si="209"/>
        <v>2600</v>
      </c>
      <c r="O477" s="906">
        <f t="shared" si="209"/>
        <v>51086</v>
      </c>
      <c r="P477" s="917"/>
      <c r="Q477" s="898"/>
      <c r="R477" s="988"/>
      <c r="S477" s="898"/>
      <c r="T477" s="917"/>
      <c r="U477" s="906">
        <f>SUM(U468:U476)</f>
        <v>18513</v>
      </c>
      <c r="V477" s="906">
        <f>SUM(V468:V476)</f>
        <v>11762</v>
      </c>
      <c r="W477" s="906">
        <f>SUM(W468:W476)</f>
        <v>13011</v>
      </c>
      <c r="X477" s="906">
        <f>SUM(X468:X476)</f>
        <v>7800</v>
      </c>
      <c r="Y477" s="906">
        <f>SUM(Y468:Y476)</f>
        <v>51086</v>
      </c>
    </row>
    <row r="478" spans="1:25" ht="3.95" customHeight="1" x14ac:dyDescent="0.2">
      <c r="A478" s="928"/>
      <c r="B478" s="913"/>
      <c r="C478" s="919"/>
      <c r="D478" s="919"/>
      <c r="E478" s="919"/>
      <c r="F478" s="919"/>
      <c r="G478" s="919"/>
      <c r="H478" s="919"/>
      <c r="I478" s="919"/>
      <c r="J478" s="919"/>
      <c r="K478" s="919"/>
      <c r="L478" s="919"/>
      <c r="M478" s="919"/>
      <c r="N478" s="919"/>
      <c r="O478" s="917"/>
      <c r="P478" s="917"/>
      <c r="Q478" s="898"/>
      <c r="R478" s="988"/>
      <c r="S478" s="898"/>
      <c r="T478" s="917"/>
      <c r="U478" s="917"/>
      <c r="V478" s="917"/>
      <c r="W478" s="917"/>
      <c r="X478" s="917"/>
      <c r="Y478" s="919"/>
    </row>
    <row r="479" spans="1:25" x14ac:dyDescent="0.2">
      <c r="A479" s="909" t="s">
        <v>586</v>
      </c>
      <c r="B479" s="913"/>
      <c r="C479" s="919"/>
      <c r="D479" s="919"/>
      <c r="E479" s="919"/>
      <c r="F479" s="919"/>
      <c r="G479" s="919"/>
      <c r="H479" s="919"/>
      <c r="I479" s="919"/>
      <c r="J479" s="919"/>
      <c r="K479" s="919"/>
      <c r="L479" s="919"/>
      <c r="M479" s="919"/>
      <c r="N479" s="919"/>
      <c r="O479" s="142"/>
      <c r="P479" s="142"/>
      <c r="Q479" s="898"/>
      <c r="R479" s="988"/>
      <c r="S479" s="898"/>
      <c r="T479" s="142"/>
      <c r="U479" s="917"/>
      <c r="V479" s="917"/>
      <c r="W479" s="917"/>
      <c r="X479" s="917"/>
      <c r="Y479" s="901"/>
    </row>
    <row r="480" spans="1:25" x14ac:dyDescent="0.2">
      <c r="A480" s="909" t="s">
        <v>609</v>
      </c>
      <c r="B480" s="913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0">SUM(C480:N480)</f>
        <v>0</v>
      </c>
      <c r="P480" s="142"/>
      <c r="Q480" s="898"/>
      <c r="R480" s="988"/>
      <c r="S480" s="898"/>
      <c r="T480" s="142"/>
      <c r="U480" s="917">
        <f t="shared" ref="U480:U489" si="211">C480+D480+E480</f>
        <v>0</v>
      </c>
      <c r="V480" s="917">
        <f t="shared" ref="V480:V489" si="212">F480+G480+H480</f>
        <v>0</v>
      </c>
      <c r="W480" s="917">
        <f t="shared" ref="W480:W489" si="213">I480+J480+K480</f>
        <v>0</v>
      </c>
      <c r="X480" s="917">
        <f t="shared" ref="X480:X489" si="214">L480+M480+N480</f>
        <v>0</v>
      </c>
      <c r="Y480" s="919">
        <f t="shared" ref="Y480:Y489" si="215">SUM(U480:X480)</f>
        <v>0</v>
      </c>
    </row>
    <row r="481" spans="1:25" x14ac:dyDescent="0.2">
      <c r="A481" s="909" t="s">
        <v>582</v>
      </c>
      <c r="B481" s="913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-212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0"/>
        <v>-212</v>
      </c>
      <c r="P481" s="142"/>
      <c r="Q481" s="898"/>
      <c r="R481" s="988"/>
      <c r="S481" s="898"/>
      <c r="T481" s="142"/>
      <c r="U481" s="917">
        <f t="shared" si="211"/>
        <v>0</v>
      </c>
      <c r="V481" s="917">
        <f t="shared" si="212"/>
        <v>0</v>
      </c>
      <c r="W481" s="917">
        <f t="shared" si="213"/>
        <v>-212</v>
      </c>
      <c r="X481" s="917">
        <f t="shared" si="214"/>
        <v>0</v>
      </c>
      <c r="Y481" s="919">
        <f t="shared" si="215"/>
        <v>-212</v>
      </c>
    </row>
    <row r="482" spans="1:25" x14ac:dyDescent="0.2">
      <c r="A482" s="909" t="s">
        <v>610</v>
      </c>
      <c r="B482" s="913"/>
      <c r="C482" s="128">
        <v>-1816</v>
      </c>
      <c r="D482" s="128">
        <v>-3884</v>
      </c>
      <c r="E482" s="128">
        <v>-1738</v>
      </c>
      <c r="F482" s="128">
        <v>-976</v>
      </c>
      <c r="G482" s="128">
        <v>-711</v>
      </c>
      <c r="H482" s="128">
        <v>-846</v>
      </c>
      <c r="I482" s="128">
        <v>-164</v>
      </c>
      <c r="J482" s="128">
        <v>0</v>
      </c>
      <c r="K482" s="128">
        <v>-100</v>
      </c>
      <c r="L482" s="128">
        <v>-700</v>
      </c>
      <c r="M482" s="128">
        <v>-700</v>
      </c>
      <c r="N482" s="128">
        <v>-700</v>
      </c>
      <c r="O482" s="142">
        <f>SUM(C482:N482)</f>
        <v>-12335</v>
      </c>
      <c r="P482" s="142"/>
      <c r="Q482" s="898"/>
      <c r="R482" s="988"/>
      <c r="S482" s="898"/>
      <c r="T482" s="142"/>
      <c r="U482" s="917">
        <f>C482+D482+E482</f>
        <v>-7438</v>
      </c>
      <c r="V482" s="917">
        <f>F482+G482+H482</f>
        <v>-2533</v>
      </c>
      <c r="W482" s="917">
        <f>I482+J482+K482</f>
        <v>-264</v>
      </c>
      <c r="X482" s="917">
        <f>L482+M482+N482</f>
        <v>-2100</v>
      </c>
      <c r="Y482" s="919">
        <f>SUM(U482:X482)</f>
        <v>-12335</v>
      </c>
    </row>
    <row r="483" spans="1:25" x14ac:dyDescent="0.2">
      <c r="A483" s="909" t="s">
        <v>587</v>
      </c>
      <c r="B483" s="913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-1308</v>
      </c>
      <c r="L483" s="128">
        <v>0</v>
      </c>
      <c r="M483" s="128">
        <v>0</v>
      </c>
      <c r="N483" s="128">
        <v>0</v>
      </c>
      <c r="O483" s="142">
        <f t="shared" si="210"/>
        <v>-1308</v>
      </c>
      <c r="P483" s="142"/>
      <c r="Q483" s="898"/>
      <c r="R483" s="988"/>
      <c r="S483" s="898"/>
      <c r="T483" s="142"/>
      <c r="U483" s="917">
        <f t="shared" si="211"/>
        <v>0</v>
      </c>
      <c r="V483" s="917">
        <f t="shared" si="212"/>
        <v>0</v>
      </c>
      <c r="W483" s="917">
        <f t="shared" si="213"/>
        <v>-1308</v>
      </c>
      <c r="X483" s="917">
        <f t="shared" si="214"/>
        <v>0</v>
      </c>
      <c r="Y483" s="919">
        <f t="shared" si="215"/>
        <v>-1308</v>
      </c>
    </row>
    <row r="484" spans="1:25" x14ac:dyDescent="0.2">
      <c r="A484" s="909" t="s">
        <v>607</v>
      </c>
      <c r="B484" s="913"/>
      <c r="C484" s="128">
        <v>0</v>
      </c>
      <c r="D484" s="128">
        <v>0</v>
      </c>
      <c r="E484" s="128">
        <v>0</v>
      </c>
      <c r="F484" s="128">
        <v>0</v>
      </c>
      <c r="G484" s="128">
        <v>-15000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0"/>
        <v>-15000</v>
      </c>
      <c r="P484" s="142"/>
      <c r="Q484" s="898"/>
      <c r="R484" s="988"/>
      <c r="S484" s="898"/>
      <c r="T484" s="142"/>
      <c r="U484" s="917">
        <f t="shared" si="211"/>
        <v>0</v>
      </c>
      <c r="V484" s="917">
        <f t="shared" si="212"/>
        <v>-15000</v>
      </c>
      <c r="W484" s="917">
        <f t="shared" si="213"/>
        <v>0</v>
      </c>
      <c r="X484" s="917">
        <f t="shared" si="214"/>
        <v>0</v>
      </c>
      <c r="Y484" s="919">
        <f t="shared" si="215"/>
        <v>-15000</v>
      </c>
    </row>
    <row r="485" spans="1:25" x14ac:dyDescent="0.2">
      <c r="A485" s="909" t="s">
        <v>608</v>
      </c>
      <c r="B485" s="913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-3560</v>
      </c>
      <c r="L485" s="128">
        <v>0</v>
      </c>
      <c r="M485" s="128">
        <v>0</v>
      </c>
      <c r="N485" s="128">
        <v>0</v>
      </c>
      <c r="O485" s="142">
        <f t="shared" si="210"/>
        <v>-3560</v>
      </c>
      <c r="P485" s="142"/>
      <c r="Q485" s="898"/>
      <c r="R485" s="988"/>
      <c r="S485" s="898"/>
      <c r="T485" s="142"/>
      <c r="U485" s="917">
        <f t="shared" si="211"/>
        <v>0</v>
      </c>
      <c r="V485" s="917">
        <f t="shared" si="212"/>
        <v>0</v>
      </c>
      <c r="W485" s="917">
        <f t="shared" si="213"/>
        <v>-3560</v>
      </c>
      <c r="X485" s="917">
        <f t="shared" si="214"/>
        <v>0</v>
      </c>
      <c r="Y485" s="919">
        <f t="shared" si="215"/>
        <v>-3560</v>
      </c>
    </row>
    <row r="486" spans="1:25" x14ac:dyDescent="0.2">
      <c r="A486" s="909" t="s">
        <v>588</v>
      </c>
      <c r="B486" s="913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0"/>
        <v>0</v>
      </c>
      <c r="P486" s="142"/>
      <c r="Q486" s="898"/>
      <c r="R486" s="988"/>
      <c r="S486" s="898"/>
      <c r="T486" s="142"/>
      <c r="U486" s="917">
        <f t="shared" si="211"/>
        <v>0</v>
      </c>
      <c r="V486" s="917">
        <f t="shared" si="212"/>
        <v>0</v>
      </c>
      <c r="W486" s="917">
        <f t="shared" si="213"/>
        <v>0</v>
      </c>
      <c r="X486" s="917">
        <f t="shared" si="214"/>
        <v>0</v>
      </c>
      <c r="Y486" s="919">
        <f t="shared" si="215"/>
        <v>0</v>
      </c>
    </row>
    <row r="487" spans="1:25" x14ac:dyDescent="0.2">
      <c r="A487" s="909" t="s">
        <v>589</v>
      </c>
      <c r="B487" s="913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-8728</v>
      </c>
      <c r="L487" s="128">
        <v>-2690</v>
      </c>
      <c r="M487" s="128">
        <v>-6577</v>
      </c>
      <c r="N487" s="128">
        <v>-9006</v>
      </c>
      <c r="O487" s="142">
        <f t="shared" si="210"/>
        <v>-27001</v>
      </c>
      <c r="P487" s="142"/>
      <c r="Q487" s="898"/>
      <c r="R487" s="988"/>
      <c r="S487" s="898"/>
      <c r="T487" s="142"/>
      <c r="U487" s="917">
        <f t="shared" si="211"/>
        <v>0</v>
      </c>
      <c r="V487" s="917">
        <f t="shared" si="212"/>
        <v>0</v>
      </c>
      <c r="W487" s="917">
        <f t="shared" si="213"/>
        <v>-8728</v>
      </c>
      <c r="X487" s="917">
        <f t="shared" si="214"/>
        <v>-18273</v>
      </c>
      <c r="Y487" s="919">
        <f t="shared" si="215"/>
        <v>-27001</v>
      </c>
    </row>
    <row r="488" spans="1:25" x14ac:dyDescent="0.2">
      <c r="A488" s="909" t="s">
        <v>584</v>
      </c>
      <c r="B488" s="913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0"/>
        <v>0</v>
      </c>
      <c r="P488" s="142"/>
      <c r="Q488" s="898"/>
      <c r="R488" s="988"/>
      <c r="S488" s="898"/>
      <c r="T488" s="142"/>
      <c r="U488" s="917">
        <f t="shared" si="211"/>
        <v>0</v>
      </c>
      <c r="V488" s="917">
        <f t="shared" si="212"/>
        <v>0</v>
      </c>
      <c r="W488" s="917">
        <f t="shared" si="213"/>
        <v>0</v>
      </c>
      <c r="X488" s="917">
        <f t="shared" si="214"/>
        <v>0</v>
      </c>
      <c r="Y488" s="919">
        <f t="shared" si="215"/>
        <v>0</v>
      </c>
    </row>
    <row r="489" spans="1:25" x14ac:dyDescent="0.2">
      <c r="A489" s="909" t="s">
        <v>590</v>
      </c>
      <c r="B489" s="913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91">
        <f t="shared" si="210"/>
        <v>0</v>
      </c>
      <c r="P489" s="991"/>
      <c r="Q489" s="898"/>
      <c r="R489" s="988"/>
      <c r="S489" s="898"/>
      <c r="T489" s="991"/>
      <c r="U489" s="960">
        <f t="shared" si="211"/>
        <v>0</v>
      </c>
      <c r="V489" s="960">
        <f t="shared" si="212"/>
        <v>0</v>
      </c>
      <c r="W489" s="960">
        <f t="shared" si="213"/>
        <v>0</v>
      </c>
      <c r="X489" s="960">
        <f t="shared" si="214"/>
        <v>0</v>
      </c>
      <c r="Y489" s="906">
        <f t="shared" si="215"/>
        <v>0</v>
      </c>
    </row>
    <row r="490" spans="1:25" x14ac:dyDescent="0.2">
      <c r="A490" s="909" t="s">
        <v>591</v>
      </c>
      <c r="B490" s="913"/>
      <c r="C490" s="906">
        <f>SUM(C480:C489)</f>
        <v>-1816</v>
      </c>
      <c r="D490" s="906">
        <f t="shared" ref="D490:O490" si="216">SUM(D480:D489)</f>
        <v>-3884</v>
      </c>
      <c r="E490" s="906">
        <f t="shared" si="216"/>
        <v>-1738</v>
      </c>
      <c r="F490" s="906">
        <f t="shared" si="216"/>
        <v>-976</v>
      </c>
      <c r="G490" s="906">
        <f t="shared" si="216"/>
        <v>-15711</v>
      </c>
      <c r="H490" s="906">
        <f t="shared" si="216"/>
        <v>-846</v>
      </c>
      <c r="I490" s="906">
        <f t="shared" si="216"/>
        <v>-376</v>
      </c>
      <c r="J490" s="906">
        <f t="shared" si="216"/>
        <v>0</v>
      </c>
      <c r="K490" s="906">
        <f t="shared" si="216"/>
        <v>-13696</v>
      </c>
      <c r="L490" s="906">
        <f t="shared" si="216"/>
        <v>-3390</v>
      </c>
      <c r="M490" s="906">
        <f t="shared" si="216"/>
        <v>-7277</v>
      </c>
      <c r="N490" s="906">
        <f t="shared" si="216"/>
        <v>-9706</v>
      </c>
      <c r="O490" s="906">
        <f t="shared" si="216"/>
        <v>-59416</v>
      </c>
      <c r="P490" s="917"/>
      <c r="Q490" s="898"/>
      <c r="R490" s="988"/>
      <c r="S490" s="898"/>
      <c r="T490" s="917"/>
      <c r="U490" s="906">
        <f>SUM(U480:U489)</f>
        <v>-7438</v>
      </c>
      <c r="V490" s="906">
        <f>SUM(V480:V489)</f>
        <v>-17533</v>
      </c>
      <c r="W490" s="906">
        <f>SUM(W480:W489)</f>
        <v>-14072</v>
      </c>
      <c r="X490" s="906">
        <f>SUM(X480:X489)</f>
        <v>-20373</v>
      </c>
      <c r="Y490" s="906">
        <f>SUM(Y480:Y489)</f>
        <v>-59416</v>
      </c>
    </row>
    <row r="491" spans="1:25" ht="3.95" customHeight="1" x14ac:dyDescent="0.2">
      <c r="A491" s="928"/>
      <c r="B491" s="913"/>
      <c r="C491" s="919"/>
      <c r="D491" s="919"/>
      <c r="E491" s="919"/>
      <c r="F491" s="919"/>
      <c r="G491" s="919"/>
      <c r="H491" s="919"/>
      <c r="I491" s="919"/>
      <c r="J491" s="919"/>
      <c r="K491" s="919"/>
      <c r="L491" s="919"/>
      <c r="M491" s="919"/>
      <c r="N491" s="919"/>
      <c r="O491" s="917"/>
      <c r="P491" s="917"/>
      <c r="Q491" s="898"/>
      <c r="R491" s="988"/>
      <c r="S491" s="898"/>
      <c r="T491" s="917"/>
      <c r="U491" s="917"/>
      <c r="V491" s="917"/>
      <c r="W491" s="917"/>
      <c r="X491" s="917"/>
      <c r="Y491" s="919"/>
    </row>
    <row r="492" spans="1:25" x14ac:dyDescent="0.2">
      <c r="A492" s="912" t="s">
        <v>592</v>
      </c>
      <c r="B492" s="913"/>
      <c r="C492" s="963">
        <f t="shared" ref="C492:O492" si="217">+C477+C490</f>
        <v>3986</v>
      </c>
      <c r="D492" s="963">
        <f t="shared" si="217"/>
        <v>3279</v>
      </c>
      <c r="E492" s="963">
        <f t="shared" si="217"/>
        <v>3810</v>
      </c>
      <c r="F492" s="963">
        <f t="shared" si="217"/>
        <v>4141</v>
      </c>
      <c r="G492" s="963">
        <f t="shared" si="217"/>
        <v>-12118</v>
      </c>
      <c r="H492" s="963">
        <f t="shared" si="217"/>
        <v>2206</v>
      </c>
      <c r="I492" s="963">
        <f t="shared" si="217"/>
        <v>3429</v>
      </c>
      <c r="J492" s="963">
        <f t="shared" si="217"/>
        <v>4655</v>
      </c>
      <c r="K492" s="963">
        <f t="shared" si="217"/>
        <v>-9145</v>
      </c>
      <c r="L492" s="963">
        <f t="shared" si="217"/>
        <v>-790</v>
      </c>
      <c r="M492" s="963">
        <f t="shared" si="217"/>
        <v>-4677</v>
      </c>
      <c r="N492" s="963">
        <f t="shared" si="217"/>
        <v>-7106</v>
      </c>
      <c r="O492" s="963">
        <f t="shared" si="217"/>
        <v>-8330</v>
      </c>
      <c r="P492" s="963"/>
      <c r="Q492" s="898"/>
      <c r="R492" s="988"/>
      <c r="S492" s="898"/>
      <c r="T492" s="963"/>
      <c r="U492" s="963">
        <f>+U477+U490</f>
        <v>11075</v>
      </c>
      <c r="V492" s="963">
        <f>+V477+V490</f>
        <v>-5771</v>
      </c>
      <c r="W492" s="963">
        <f>+W477+W490</f>
        <v>-1061</v>
      </c>
      <c r="X492" s="963">
        <f>+X477+X490</f>
        <v>-12573</v>
      </c>
      <c r="Y492" s="963">
        <f>+Y477+Y490</f>
        <v>-8330</v>
      </c>
    </row>
    <row r="493" spans="1:25" ht="6" customHeight="1" x14ac:dyDescent="0.2">
      <c r="A493" s="912"/>
      <c r="B493" s="913"/>
      <c r="C493" s="963"/>
      <c r="D493" s="963"/>
      <c r="E493" s="963"/>
      <c r="F493" s="963"/>
      <c r="G493" s="963"/>
      <c r="H493" s="963"/>
      <c r="I493" s="963"/>
      <c r="J493" s="963"/>
      <c r="K493" s="963"/>
      <c r="L493" s="963"/>
      <c r="M493" s="963"/>
      <c r="N493" s="963"/>
      <c r="O493" s="963"/>
      <c r="P493" s="963"/>
      <c r="Q493" s="898"/>
      <c r="R493" s="988"/>
      <c r="S493" s="898"/>
      <c r="T493" s="963"/>
      <c r="U493" s="963"/>
      <c r="V493" s="963"/>
      <c r="W493" s="963"/>
      <c r="X493" s="963"/>
      <c r="Y493" s="963"/>
    </row>
    <row r="494" spans="1:25" x14ac:dyDescent="0.2">
      <c r="A494" s="912" t="s">
        <v>578</v>
      </c>
      <c r="B494" s="913"/>
      <c r="C494" s="963"/>
      <c r="D494" s="963"/>
      <c r="E494" s="963"/>
      <c r="F494" s="963"/>
      <c r="G494" s="963"/>
      <c r="H494" s="963"/>
      <c r="I494" s="963"/>
      <c r="J494" s="963"/>
      <c r="K494" s="963"/>
      <c r="L494" s="963"/>
      <c r="M494" s="963"/>
      <c r="N494" s="963"/>
      <c r="O494" s="963"/>
      <c r="P494" s="963"/>
      <c r="Q494" s="898"/>
      <c r="R494" s="988"/>
      <c r="S494" s="898"/>
      <c r="T494" s="963"/>
      <c r="U494" s="963"/>
      <c r="V494" s="963"/>
      <c r="W494" s="963"/>
      <c r="X494" s="963"/>
      <c r="Y494" s="963"/>
    </row>
    <row r="495" spans="1:25" x14ac:dyDescent="0.2">
      <c r="A495" s="909" t="s">
        <v>593</v>
      </c>
      <c r="B495" s="913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98"/>
      <c r="R495" s="988"/>
      <c r="S495" s="898"/>
      <c r="T495" s="142"/>
      <c r="U495" s="917">
        <f>C495+D495+E495</f>
        <v>0</v>
      </c>
      <c r="V495" s="917">
        <f>F495+G495+H495</f>
        <v>0</v>
      </c>
      <c r="W495" s="917">
        <f>I495+J495+K495</f>
        <v>0</v>
      </c>
      <c r="X495" s="917">
        <f>L495+M495+N495</f>
        <v>0</v>
      </c>
      <c r="Y495" s="919">
        <f>SUM(U495:X495)</f>
        <v>0</v>
      </c>
    </row>
    <row r="496" spans="1:25" x14ac:dyDescent="0.2">
      <c r="A496" s="909" t="s">
        <v>590</v>
      </c>
      <c r="B496" s="913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91">
        <f>SUM(C496:N496)</f>
        <v>0</v>
      </c>
      <c r="P496" s="991"/>
      <c r="Q496" s="898"/>
      <c r="R496" s="988"/>
      <c r="S496" s="898"/>
      <c r="T496" s="991"/>
      <c r="U496" s="960">
        <f>C496+D496+E496</f>
        <v>0</v>
      </c>
      <c r="V496" s="960">
        <f>F496+G496+H496</f>
        <v>0</v>
      </c>
      <c r="W496" s="960">
        <f>I496+J496+K496</f>
        <v>0</v>
      </c>
      <c r="X496" s="960">
        <f>L496+M496+N496</f>
        <v>0</v>
      </c>
      <c r="Y496" s="906">
        <f>SUM(U496:X496)</f>
        <v>0</v>
      </c>
    </row>
    <row r="497" spans="1:25" x14ac:dyDescent="0.2">
      <c r="A497" s="909" t="s">
        <v>591</v>
      </c>
      <c r="B497" s="913"/>
      <c r="C497" s="906">
        <f>SUM(C495:C496)</f>
        <v>0</v>
      </c>
      <c r="D497" s="906">
        <f t="shared" ref="D497:O497" si="218">SUM(D495:D496)</f>
        <v>0</v>
      </c>
      <c r="E497" s="906">
        <f t="shared" si="218"/>
        <v>0</v>
      </c>
      <c r="F497" s="906">
        <f t="shared" si="218"/>
        <v>0</v>
      </c>
      <c r="G497" s="906">
        <f t="shared" si="218"/>
        <v>0</v>
      </c>
      <c r="H497" s="906">
        <f t="shared" si="218"/>
        <v>0</v>
      </c>
      <c r="I497" s="906">
        <f t="shared" si="218"/>
        <v>0</v>
      </c>
      <c r="J497" s="906">
        <f t="shared" si="218"/>
        <v>0</v>
      </c>
      <c r="K497" s="906">
        <f t="shared" si="218"/>
        <v>0</v>
      </c>
      <c r="L497" s="906">
        <f t="shared" si="218"/>
        <v>0</v>
      </c>
      <c r="M497" s="906">
        <f t="shared" si="218"/>
        <v>0</v>
      </c>
      <c r="N497" s="906">
        <f t="shared" si="218"/>
        <v>0</v>
      </c>
      <c r="O497" s="906">
        <f t="shared" si="218"/>
        <v>0</v>
      </c>
      <c r="P497" s="906"/>
      <c r="Q497" s="898"/>
      <c r="R497" s="988"/>
      <c r="S497" s="898"/>
      <c r="T497" s="917"/>
      <c r="U497" s="906">
        <f>SUM(U495:U496)</f>
        <v>0</v>
      </c>
      <c r="V497" s="906">
        <f>SUM(V495:V496)</f>
        <v>0</v>
      </c>
      <c r="W497" s="906">
        <f>SUM(W495:W496)</f>
        <v>0</v>
      </c>
      <c r="X497" s="906">
        <f>SUM(X495:X496)</f>
        <v>0</v>
      </c>
      <c r="Y497" s="906">
        <f>SUM(Y495:Y496)</f>
        <v>0</v>
      </c>
    </row>
    <row r="498" spans="1:25" ht="3.95" customHeight="1" x14ac:dyDescent="0.2">
      <c r="A498" s="912"/>
      <c r="B498" s="913"/>
      <c r="C498" s="963"/>
      <c r="D498" s="963"/>
      <c r="E498" s="963"/>
      <c r="F498" s="963"/>
      <c r="G498" s="963"/>
      <c r="H498" s="963"/>
      <c r="I498" s="963"/>
      <c r="J498" s="963"/>
      <c r="K498" s="963"/>
      <c r="L498" s="963"/>
      <c r="M498" s="963"/>
      <c r="N498" s="963"/>
      <c r="O498" s="963"/>
      <c r="P498" s="963"/>
      <c r="Q498" s="898"/>
      <c r="R498" s="988"/>
      <c r="S498" s="898"/>
      <c r="T498" s="963"/>
      <c r="U498" s="963"/>
      <c r="V498" s="963"/>
      <c r="W498" s="963"/>
      <c r="X498" s="963"/>
      <c r="Y498" s="963"/>
    </row>
    <row r="499" spans="1:25" x14ac:dyDescent="0.2">
      <c r="A499" s="912" t="s">
        <v>594</v>
      </c>
      <c r="B499" s="913"/>
      <c r="C499" s="963">
        <f>+C497</f>
        <v>0</v>
      </c>
      <c r="D499" s="963">
        <f t="shared" ref="D499:O499" si="219">+D497</f>
        <v>0</v>
      </c>
      <c r="E499" s="963">
        <f t="shared" si="219"/>
        <v>0</v>
      </c>
      <c r="F499" s="963">
        <f t="shared" si="219"/>
        <v>0</v>
      </c>
      <c r="G499" s="963">
        <f t="shared" si="219"/>
        <v>0</v>
      </c>
      <c r="H499" s="963">
        <f t="shared" si="219"/>
        <v>0</v>
      </c>
      <c r="I499" s="963">
        <f t="shared" si="219"/>
        <v>0</v>
      </c>
      <c r="J499" s="963">
        <f t="shared" si="219"/>
        <v>0</v>
      </c>
      <c r="K499" s="963">
        <f t="shared" si="219"/>
        <v>0</v>
      </c>
      <c r="L499" s="963">
        <f t="shared" si="219"/>
        <v>0</v>
      </c>
      <c r="M499" s="963">
        <f t="shared" si="219"/>
        <v>0</v>
      </c>
      <c r="N499" s="963">
        <f t="shared" si="219"/>
        <v>0</v>
      </c>
      <c r="O499" s="963">
        <f t="shared" si="219"/>
        <v>0</v>
      </c>
      <c r="P499" s="963"/>
      <c r="Q499" s="898"/>
      <c r="R499" s="988"/>
      <c r="S499" s="898"/>
      <c r="T499" s="963"/>
      <c r="U499" s="963">
        <f>+U497</f>
        <v>0</v>
      </c>
      <c r="V499" s="963">
        <f>+V497</f>
        <v>0</v>
      </c>
      <c r="W499" s="963">
        <f>+W497</f>
        <v>0</v>
      </c>
      <c r="X499" s="963">
        <f>+X497</f>
        <v>0</v>
      </c>
      <c r="Y499" s="963">
        <f>+Y497</f>
        <v>0</v>
      </c>
    </row>
    <row r="500" spans="1:25" ht="6" customHeight="1" x14ac:dyDescent="0.2">
      <c r="A500" s="912"/>
      <c r="B500" s="913"/>
      <c r="C500" s="963"/>
      <c r="D500" s="963"/>
      <c r="E500" s="963"/>
      <c r="F500" s="963"/>
      <c r="G500" s="963"/>
      <c r="H500" s="963"/>
      <c r="I500" s="963"/>
      <c r="J500" s="963"/>
      <c r="K500" s="963"/>
      <c r="L500" s="963"/>
      <c r="M500" s="963"/>
      <c r="N500" s="963"/>
      <c r="O500" s="963"/>
      <c r="P500" s="963"/>
      <c r="Q500" s="898"/>
      <c r="R500" s="988"/>
      <c r="S500" s="898"/>
      <c r="T500" s="963"/>
      <c r="U500" s="963"/>
      <c r="V500" s="963"/>
      <c r="W500" s="963"/>
      <c r="X500" s="963"/>
      <c r="Y500" s="963"/>
    </row>
    <row r="501" spans="1:25" x14ac:dyDescent="0.2">
      <c r="A501" s="912" t="s">
        <v>612</v>
      </c>
      <c r="B501" s="913"/>
      <c r="C501" s="963"/>
      <c r="D501" s="963"/>
      <c r="E501" s="963"/>
      <c r="F501" s="963"/>
      <c r="G501" s="963"/>
      <c r="H501" s="963"/>
      <c r="I501" s="963"/>
      <c r="J501" s="963"/>
      <c r="K501" s="963"/>
      <c r="L501" s="963"/>
      <c r="M501" s="963"/>
      <c r="N501" s="963"/>
      <c r="O501" s="963"/>
      <c r="P501" s="963"/>
      <c r="Q501" s="898"/>
      <c r="R501" s="988"/>
      <c r="S501" s="898"/>
      <c r="T501" s="963"/>
      <c r="U501" s="963"/>
      <c r="V501" s="963"/>
      <c r="W501" s="963"/>
      <c r="X501" s="963"/>
      <c r="Y501" s="963"/>
    </row>
    <row r="502" spans="1:25" x14ac:dyDescent="0.2">
      <c r="A502" s="909" t="s">
        <v>595</v>
      </c>
      <c r="B502" s="913"/>
      <c r="C502" s="128">
        <v>550</v>
      </c>
      <c r="D502" s="128">
        <v>828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1378</v>
      </c>
      <c r="P502" s="142"/>
      <c r="Q502" s="898"/>
      <c r="R502" s="988"/>
      <c r="S502" s="898"/>
      <c r="T502" s="142"/>
      <c r="U502" s="917">
        <f>C502+D502+E502</f>
        <v>1378</v>
      </c>
      <c r="V502" s="917">
        <f>F502+G502+H502</f>
        <v>0</v>
      </c>
      <c r="W502" s="917">
        <f>I502+J502+K502</f>
        <v>0</v>
      </c>
      <c r="X502" s="917">
        <f>L502+M502+N502</f>
        <v>0</v>
      </c>
      <c r="Y502" s="919">
        <f>SUM(U502:X502)</f>
        <v>1378</v>
      </c>
    </row>
    <row r="503" spans="1:25" x14ac:dyDescent="0.2">
      <c r="A503" s="909" t="s">
        <v>590</v>
      </c>
      <c r="B503" s="913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91">
        <f>SUM(C503:N503)</f>
        <v>0</v>
      </c>
      <c r="P503" s="991"/>
      <c r="Q503" s="898"/>
      <c r="R503" s="988"/>
      <c r="S503" s="898"/>
      <c r="T503" s="991"/>
      <c r="U503" s="960">
        <f>C503+D503+E503</f>
        <v>0</v>
      </c>
      <c r="V503" s="960">
        <f>F503+G503+H503</f>
        <v>0</v>
      </c>
      <c r="W503" s="960">
        <f>I503+J503+K503</f>
        <v>0</v>
      </c>
      <c r="X503" s="960">
        <f>L503+M503+N503</f>
        <v>0</v>
      </c>
      <c r="Y503" s="906">
        <f>SUM(U503:X503)</f>
        <v>0</v>
      </c>
    </row>
    <row r="504" spans="1:25" x14ac:dyDescent="0.2">
      <c r="A504" s="909" t="s">
        <v>585</v>
      </c>
      <c r="B504" s="913"/>
      <c r="C504" s="906">
        <f>SUM(C502:C503)</f>
        <v>550</v>
      </c>
      <c r="D504" s="906">
        <f t="shared" ref="D504:O504" si="220">SUM(D502:D503)</f>
        <v>828</v>
      </c>
      <c r="E504" s="906">
        <f t="shared" si="220"/>
        <v>0</v>
      </c>
      <c r="F504" s="906">
        <f t="shared" si="220"/>
        <v>0</v>
      </c>
      <c r="G504" s="906">
        <f t="shared" si="220"/>
        <v>0</v>
      </c>
      <c r="H504" s="906">
        <f t="shared" si="220"/>
        <v>0</v>
      </c>
      <c r="I504" s="906">
        <f t="shared" si="220"/>
        <v>0</v>
      </c>
      <c r="J504" s="906">
        <f t="shared" si="220"/>
        <v>0</v>
      </c>
      <c r="K504" s="906">
        <f t="shared" si="220"/>
        <v>0</v>
      </c>
      <c r="L504" s="906">
        <f t="shared" si="220"/>
        <v>0</v>
      </c>
      <c r="M504" s="906">
        <f t="shared" si="220"/>
        <v>0</v>
      </c>
      <c r="N504" s="906">
        <f t="shared" si="220"/>
        <v>0</v>
      </c>
      <c r="O504" s="906">
        <f t="shared" si="220"/>
        <v>1378</v>
      </c>
      <c r="P504" s="906"/>
      <c r="Q504" s="898"/>
      <c r="R504" s="988"/>
      <c r="S504" s="898"/>
      <c r="T504" s="917"/>
      <c r="U504" s="906">
        <f>SUM(U502:U503)</f>
        <v>1378</v>
      </c>
      <c r="V504" s="906">
        <f>SUM(V502:V503)</f>
        <v>0</v>
      </c>
      <c r="W504" s="906">
        <f>SUM(W502:W503)</f>
        <v>0</v>
      </c>
      <c r="X504" s="906">
        <f>SUM(X502:X503)</f>
        <v>0</v>
      </c>
      <c r="Y504" s="906">
        <f>SUM(Y502:Y503)</f>
        <v>1378</v>
      </c>
    </row>
    <row r="505" spans="1:25" ht="3.95" customHeight="1" x14ac:dyDescent="0.2">
      <c r="A505" s="912"/>
      <c r="B505" s="913"/>
      <c r="C505" s="963"/>
      <c r="D505" s="963"/>
      <c r="E505" s="963"/>
      <c r="F505" s="963"/>
      <c r="G505" s="963"/>
      <c r="H505" s="963"/>
      <c r="I505" s="963"/>
      <c r="J505" s="963"/>
      <c r="K505" s="963"/>
      <c r="L505" s="963"/>
      <c r="M505" s="963"/>
      <c r="N505" s="963"/>
      <c r="O505" s="963"/>
      <c r="P505" s="963"/>
      <c r="Q505" s="898"/>
      <c r="R505" s="988"/>
      <c r="S505" s="898"/>
      <c r="T505" s="963"/>
      <c r="U505" s="963"/>
      <c r="V505" s="963"/>
      <c r="W505" s="963"/>
      <c r="X505" s="963"/>
      <c r="Y505" s="963"/>
    </row>
    <row r="506" spans="1:25" x14ac:dyDescent="0.2">
      <c r="A506" s="909" t="s">
        <v>593</v>
      </c>
      <c r="B506" s="913"/>
      <c r="C506" s="128">
        <f>-400-400-200</f>
        <v>-1000</v>
      </c>
      <c r="D506" s="128">
        <f>-300-200</f>
        <v>-500</v>
      </c>
      <c r="E506" s="128">
        <f>-800-100-200</f>
        <v>-1100</v>
      </c>
      <c r="F506" s="128">
        <f>-900-100-200</f>
        <v>-1200</v>
      </c>
      <c r="G506" s="128">
        <f>-2500-100-200</f>
        <v>-2800</v>
      </c>
      <c r="H506" s="128">
        <f>-1600-0-200</f>
        <v>-1800</v>
      </c>
      <c r="I506" s="128">
        <f>-2300-2600-200</f>
        <v>-5100</v>
      </c>
      <c r="J506" s="128">
        <f>-1800-0-200</f>
        <v>-2000</v>
      </c>
      <c r="K506" s="128">
        <v>-1114</v>
      </c>
      <c r="L506" s="128">
        <v>-1559</v>
      </c>
      <c r="M506" s="128">
        <v>-2415</v>
      </c>
      <c r="N506" s="128">
        <v>-2190</v>
      </c>
      <c r="O506" s="142">
        <f>SUM(C506:N506)</f>
        <v>-22778</v>
      </c>
      <c r="P506" s="142"/>
      <c r="Q506" s="898"/>
      <c r="R506" s="988"/>
      <c r="S506" s="898"/>
      <c r="T506" s="142"/>
      <c r="U506" s="917">
        <f>C506+D506+E506</f>
        <v>-2600</v>
      </c>
      <c r="V506" s="917">
        <f>F506+G506+H506</f>
        <v>-5800</v>
      </c>
      <c r="W506" s="917">
        <f>I506+J506+K506</f>
        <v>-8214</v>
      </c>
      <c r="X506" s="917">
        <f>L506+M506+N506</f>
        <v>-6164</v>
      </c>
      <c r="Y506" s="919">
        <f>SUM(U506:X506)</f>
        <v>-22778</v>
      </c>
    </row>
    <row r="507" spans="1:25" x14ac:dyDescent="0.2">
      <c r="A507" s="909" t="s">
        <v>590</v>
      </c>
      <c r="B507" s="913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91">
        <f>SUM(C507:N507)</f>
        <v>0</v>
      </c>
      <c r="P507" s="991"/>
      <c r="Q507" s="898"/>
      <c r="R507" s="988"/>
      <c r="S507" s="898"/>
      <c r="T507" s="991"/>
      <c r="U507" s="960">
        <f>C507+D507+E507</f>
        <v>0</v>
      </c>
      <c r="V507" s="960">
        <f>F507+G507+H507</f>
        <v>0</v>
      </c>
      <c r="W507" s="960">
        <f>I507+J507+K507</f>
        <v>0</v>
      </c>
      <c r="X507" s="960">
        <f>L507+M507+N507</f>
        <v>0</v>
      </c>
      <c r="Y507" s="906">
        <f>SUM(U507:X507)</f>
        <v>0</v>
      </c>
    </row>
    <row r="508" spans="1:25" x14ac:dyDescent="0.2">
      <c r="A508" s="909" t="s">
        <v>591</v>
      </c>
      <c r="B508" s="913"/>
      <c r="C508" s="906">
        <f>SUM(C506:C507)</f>
        <v>-1000</v>
      </c>
      <c r="D508" s="906">
        <f t="shared" ref="D508:O508" si="221">SUM(D506:D507)</f>
        <v>-500</v>
      </c>
      <c r="E508" s="906">
        <f t="shared" si="221"/>
        <v>-1100</v>
      </c>
      <c r="F508" s="906">
        <f t="shared" si="221"/>
        <v>-1200</v>
      </c>
      <c r="G508" s="906">
        <f t="shared" si="221"/>
        <v>-2800</v>
      </c>
      <c r="H508" s="906">
        <f t="shared" si="221"/>
        <v>-1800</v>
      </c>
      <c r="I508" s="906">
        <f t="shared" si="221"/>
        <v>-5100</v>
      </c>
      <c r="J508" s="906">
        <f t="shared" si="221"/>
        <v>-2000</v>
      </c>
      <c r="K508" s="906">
        <f t="shared" si="221"/>
        <v>-1114</v>
      </c>
      <c r="L508" s="906">
        <f t="shared" si="221"/>
        <v>-1559</v>
      </c>
      <c r="M508" s="906">
        <f t="shared" si="221"/>
        <v>-2415</v>
      </c>
      <c r="N508" s="906">
        <f t="shared" si="221"/>
        <v>-2190</v>
      </c>
      <c r="O508" s="906">
        <f t="shared" si="221"/>
        <v>-22778</v>
      </c>
      <c r="P508" s="906"/>
      <c r="Q508" s="898"/>
      <c r="R508" s="988"/>
      <c r="S508" s="898"/>
      <c r="T508" s="917"/>
      <c r="U508" s="906">
        <f>SUM(U506:U507)</f>
        <v>-2600</v>
      </c>
      <c r="V508" s="906">
        <f>SUM(V506:V507)</f>
        <v>-5800</v>
      </c>
      <c r="W508" s="906">
        <f>SUM(W506:W507)</f>
        <v>-8214</v>
      </c>
      <c r="X508" s="906">
        <f>SUM(X506:X507)</f>
        <v>-6164</v>
      </c>
      <c r="Y508" s="906">
        <f>SUM(Y506:Y507)</f>
        <v>-22778</v>
      </c>
    </row>
    <row r="509" spans="1:25" ht="3.95" customHeight="1" x14ac:dyDescent="0.2">
      <c r="A509" s="912"/>
      <c r="B509" s="913"/>
      <c r="C509" s="963"/>
      <c r="D509" s="963"/>
      <c r="E509" s="963"/>
      <c r="F509" s="963"/>
      <c r="G509" s="963"/>
      <c r="H509" s="963"/>
      <c r="I509" s="963"/>
      <c r="J509" s="963"/>
      <c r="K509" s="963"/>
      <c r="L509" s="963"/>
      <c r="M509" s="963"/>
      <c r="N509" s="963"/>
      <c r="O509" s="963"/>
      <c r="P509" s="963"/>
      <c r="Q509" s="898"/>
      <c r="R509" s="988"/>
      <c r="S509" s="898"/>
      <c r="T509" s="963"/>
      <c r="U509" s="963"/>
      <c r="V509" s="963"/>
      <c r="W509" s="963"/>
      <c r="X509" s="963"/>
      <c r="Y509" s="963"/>
    </row>
    <row r="510" spans="1:25" x14ac:dyDescent="0.2">
      <c r="A510" s="912" t="s">
        <v>596</v>
      </c>
      <c r="B510" s="913"/>
      <c r="C510" s="963">
        <f>+C504+C508</f>
        <v>-450</v>
      </c>
      <c r="D510" s="963">
        <f t="shared" ref="D510:O510" si="222">+D504+D508</f>
        <v>328</v>
      </c>
      <c r="E510" s="963">
        <f t="shared" si="222"/>
        <v>-1100</v>
      </c>
      <c r="F510" s="963">
        <f t="shared" si="222"/>
        <v>-1200</v>
      </c>
      <c r="G510" s="963">
        <f t="shared" si="222"/>
        <v>-2800</v>
      </c>
      <c r="H510" s="963">
        <f t="shared" si="222"/>
        <v>-1800</v>
      </c>
      <c r="I510" s="963">
        <f t="shared" si="222"/>
        <v>-5100</v>
      </c>
      <c r="J510" s="963">
        <f t="shared" si="222"/>
        <v>-2000</v>
      </c>
      <c r="K510" s="963">
        <f t="shared" si="222"/>
        <v>-1114</v>
      </c>
      <c r="L510" s="963">
        <f t="shared" si="222"/>
        <v>-1559</v>
      </c>
      <c r="M510" s="963">
        <f t="shared" si="222"/>
        <v>-2415</v>
      </c>
      <c r="N510" s="963">
        <f t="shared" si="222"/>
        <v>-2190</v>
      </c>
      <c r="O510" s="963">
        <f t="shared" si="222"/>
        <v>-21400</v>
      </c>
      <c r="P510" s="963"/>
      <c r="Q510" s="898"/>
      <c r="R510" s="988"/>
      <c r="S510" s="898"/>
      <c r="T510" s="963"/>
      <c r="U510" s="963">
        <f>+U504+U508</f>
        <v>-1222</v>
      </c>
      <c r="V510" s="963">
        <f>+V504+V508</f>
        <v>-5800</v>
      </c>
      <c r="W510" s="963">
        <f>+W504+W508</f>
        <v>-8214</v>
      </c>
      <c r="X510" s="963">
        <f>+X504+X508</f>
        <v>-6164</v>
      </c>
      <c r="Y510" s="963">
        <f>+Y504+Y508</f>
        <v>-21400</v>
      </c>
    </row>
    <row r="511" spans="1:25" ht="6" customHeight="1" x14ac:dyDescent="0.2">
      <c r="A511" s="912"/>
      <c r="B511" s="913"/>
      <c r="C511" s="963"/>
      <c r="D511" s="963"/>
      <c r="E511" s="963"/>
      <c r="F511" s="963"/>
      <c r="G511" s="963"/>
      <c r="H511" s="963"/>
      <c r="I511" s="963"/>
      <c r="J511" s="963"/>
      <c r="K511" s="963"/>
      <c r="L511" s="963"/>
      <c r="M511" s="963"/>
      <c r="N511" s="963"/>
      <c r="O511" s="963"/>
      <c r="P511" s="963"/>
      <c r="Q511" s="898"/>
      <c r="R511" s="988"/>
      <c r="S511" s="898"/>
      <c r="T511" s="963"/>
      <c r="U511" s="963"/>
      <c r="V511" s="963"/>
      <c r="W511" s="963"/>
      <c r="X511" s="963"/>
      <c r="Y511" s="963"/>
    </row>
    <row r="512" spans="1:25" x14ac:dyDescent="0.2">
      <c r="A512" s="912" t="s">
        <v>597</v>
      </c>
      <c r="B512" s="913"/>
      <c r="C512" s="963"/>
      <c r="D512" s="963"/>
      <c r="E512" s="963"/>
      <c r="F512" s="963"/>
      <c r="G512" s="963"/>
      <c r="H512" s="963"/>
      <c r="I512" s="963"/>
      <c r="J512" s="963"/>
      <c r="K512" s="963"/>
      <c r="L512" s="963"/>
      <c r="M512" s="963"/>
      <c r="N512" s="963"/>
      <c r="O512" s="963"/>
      <c r="P512" s="963"/>
      <c r="Q512" s="898"/>
      <c r="R512" s="988"/>
      <c r="S512" s="898"/>
      <c r="T512" s="963"/>
      <c r="U512" s="963"/>
      <c r="V512" s="963"/>
      <c r="W512" s="963"/>
      <c r="X512" s="963"/>
      <c r="Y512" s="963"/>
    </row>
    <row r="513" spans="1:25" x14ac:dyDescent="0.2">
      <c r="A513" s="909" t="s">
        <v>593</v>
      </c>
      <c r="B513" s="913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98"/>
      <c r="R513" s="988"/>
      <c r="S513" s="898"/>
      <c r="T513" s="142"/>
      <c r="U513" s="917">
        <f>C513+D513+E513</f>
        <v>0</v>
      </c>
      <c r="V513" s="917">
        <f>F513+G513+H513</f>
        <v>0</v>
      </c>
      <c r="W513" s="917">
        <f>I513+J513+K513</f>
        <v>0</v>
      </c>
      <c r="X513" s="917">
        <f>L513+M513+N513</f>
        <v>0</v>
      </c>
      <c r="Y513" s="919">
        <f>SUM(U513:X513)</f>
        <v>0</v>
      </c>
    </row>
    <row r="514" spans="1:25" x14ac:dyDescent="0.2">
      <c r="A514" s="909" t="s">
        <v>363</v>
      </c>
      <c r="B514" s="913"/>
      <c r="C514" s="128">
        <v>1083</v>
      </c>
      <c r="D514" s="128">
        <v>23</v>
      </c>
      <c r="E514" s="128">
        <v>55</v>
      </c>
      <c r="F514" s="128">
        <v>2940</v>
      </c>
      <c r="G514" s="128">
        <v>1116</v>
      </c>
      <c r="H514" s="128">
        <v>296</v>
      </c>
      <c r="I514" s="128">
        <v>0</v>
      </c>
      <c r="J514" s="128">
        <v>216</v>
      </c>
      <c r="K514" s="128">
        <v>0</v>
      </c>
      <c r="L514" s="128">
        <v>3300</v>
      </c>
      <c r="M514" s="128">
        <v>200</v>
      </c>
      <c r="N514" s="128">
        <v>1200</v>
      </c>
      <c r="O514" s="142">
        <f>SUM(C514:N514)</f>
        <v>10429</v>
      </c>
      <c r="P514" s="142"/>
      <c r="Q514" s="898"/>
      <c r="R514" s="988"/>
      <c r="S514" s="898"/>
      <c r="T514" s="142"/>
      <c r="U514" s="917">
        <f>C514+D514+E514</f>
        <v>1161</v>
      </c>
      <c r="V514" s="917">
        <f>F514+G514+H514</f>
        <v>4352</v>
      </c>
      <c r="W514" s="917">
        <f>I514+J514+K514</f>
        <v>216</v>
      </c>
      <c r="X514" s="917">
        <f>L514+M514+N514</f>
        <v>4700</v>
      </c>
      <c r="Y514" s="919">
        <f>SUM(U514:X514)</f>
        <v>10429</v>
      </c>
    </row>
    <row r="515" spans="1:25" x14ac:dyDescent="0.2">
      <c r="A515" s="909" t="s">
        <v>590</v>
      </c>
      <c r="B515" s="913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91">
        <f>SUM(C515:N515)</f>
        <v>0</v>
      </c>
      <c r="P515" s="991"/>
      <c r="Q515" s="898"/>
      <c r="R515" s="988"/>
      <c r="S515" s="898"/>
      <c r="T515" s="991"/>
      <c r="U515" s="960">
        <f>C515+D515+E515</f>
        <v>0</v>
      </c>
      <c r="V515" s="960">
        <f>F515+G515+H515</f>
        <v>0</v>
      </c>
      <c r="W515" s="960">
        <f>I515+J515+K515</f>
        <v>0</v>
      </c>
      <c r="X515" s="960">
        <f>L515+M515+N515</f>
        <v>0</v>
      </c>
      <c r="Y515" s="906">
        <f>SUM(U515:X515)</f>
        <v>0</v>
      </c>
    </row>
    <row r="516" spans="1:25" x14ac:dyDescent="0.2">
      <c r="A516" s="909" t="s">
        <v>591</v>
      </c>
      <c r="B516" s="913"/>
      <c r="C516" s="906">
        <f>SUM(C513:C515)</f>
        <v>1083</v>
      </c>
      <c r="D516" s="906">
        <f t="shared" ref="D516:O516" si="223">SUM(D513:D515)</f>
        <v>23</v>
      </c>
      <c r="E516" s="906">
        <f t="shared" si="223"/>
        <v>55</v>
      </c>
      <c r="F516" s="906">
        <f t="shared" si="223"/>
        <v>2940</v>
      </c>
      <c r="G516" s="906">
        <f t="shared" si="223"/>
        <v>1116</v>
      </c>
      <c r="H516" s="906">
        <f t="shared" si="223"/>
        <v>296</v>
      </c>
      <c r="I516" s="906">
        <f t="shared" si="223"/>
        <v>0</v>
      </c>
      <c r="J516" s="906">
        <f t="shared" si="223"/>
        <v>216</v>
      </c>
      <c r="K516" s="906">
        <f t="shared" si="223"/>
        <v>0</v>
      </c>
      <c r="L516" s="906">
        <f t="shared" si="223"/>
        <v>3300</v>
      </c>
      <c r="M516" s="906">
        <f t="shared" si="223"/>
        <v>200</v>
      </c>
      <c r="N516" s="906">
        <f t="shared" si="223"/>
        <v>1200</v>
      </c>
      <c r="O516" s="906">
        <f t="shared" si="223"/>
        <v>10429</v>
      </c>
      <c r="P516" s="906"/>
      <c r="Q516" s="898"/>
      <c r="R516" s="988"/>
      <c r="S516" s="898"/>
      <c r="T516" s="917"/>
      <c r="U516" s="906">
        <f>SUM(U513:U515)</f>
        <v>1161</v>
      </c>
      <c r="V516" s="906">
        <f>SUM(V513:V515)</f>
        <v>4352</v>
      </c>
      <c r="W516" s="906">
        <f>SUM(W513:W515)</f>
        <v>216</v>
      </c>
      <c r="X516" s="906">
        <f>SUM(X513:X515)</f>
        <v>4700</v>
      </c>
      <c r="Y516" s="906">
        <f>SUM(Y513:Y515)</f>
        <v>10429</v>
      </c>
    </row>
    <row r="517" spans="1:25" ht="3.95" customHeight="1" x14ac:dyDescent="0.2">
      <c r="A517" s="912"/>
      <c r="B517" s="913"/>
      <c r="C517" s="963"/>
      <c r="D517" s="963"/>
      <c r="E517" s="963"/>
      <c r="F517" s="963"/>
      <c r="G517" s="963"/>
      <c r="H517" s="963"/>
      <c r="I517" s="963"/>
      <c r="J517" s="963"/>
      <c r="K517" s="963"/>
      <c r="L517" s="963"/>
      <c r="M517" s="963"/>
      <c r="N517" s="963"/>
      <c r="O517" s="963"/>
      <c r="P517" s="963"/>
      <c r="Q517" s="898"/>
      <c r="R517" s="988"/>
      <c r="S517" s="898"/>
      <c r="T517" s="963"/>
      <c r="U517" s="963"/>
      <c r="V517" s="963"/>
      <c r="W517" s="963"/>
      <c r="X517" s="963"/>
      <c r="Y517" s="963"/>
    </row>
    <row r="518" spans="1:25" x14ac:dyDescent="0.2">
      <c r="A518" s="912" t="s">
        <v>598</v>
      </c>
      <c r="B518" s="913"/>
      <c r="C518" s="963">
        <f>+C516</f>
        <v>1083</v>
      </c>
      <c r="D518" s="963">
        <f t="shared" ref="D518:O518" si="224">+D516</f>
        <v>23</v>
      </c>
      <c r="E518" s="963">
        <f t="shared" si="224"/>
        <v>55</v>
      </c>
      <c r="F518" s="963">
        <f t="shared" si="224"/>
        <v>2940</v>
      </c>
      <c r="G518" s="963">
        <f t="shared" si="224"/>
        <v>1116</v>
      </c>
      <c r="H518" s="963">
        <f t="shared" si="224"/>
        <v>296</v>
      </c>
      <c r="I518" s="963">
        <f t="shared" si="224"/>
        <v>0</v>
      </c>
      <c r="J518" s="963">
        <f t="shared" si="224"/>
        <v>216</v>
      </c>
      <c r="K518" s="963">
        <f t="shared" si="224"/>
        <v>0</v>
      </c>
      <c r="L518" s="963">
        <f t="shared" si="224"/>
        <v>3300</v>
      </c>
      <c r="M518" s="963">
        <f t="shared" si="224"/>
        <v>200</v>
      </c>
      <c r="N518" s="963">
        <f t="shared" si="224"/>
        <v>1200</v>
      </c>
      <c r="O518" s="963">
        <f t="shared" si="224"/>
        <v>10429</v>
      </c>
      <c r="P518" s="963"/>
      <c r="Q518" s="898"/>
      <c r="R518" s="988"/>
      <c r="S518" s="898"/>
      <c r="T518" s="963"/>
      <c r="U518" s="963">
        <f>+U516</f>
        <v>1161</v>
      </c>
      <c r="V518" s="963">
        <f>+V516</f>
        <v>4352</v>
      </c>
      <c r="W518" s="963">
        <f>+W516</f>
        <v>216</v>
      </c>
      <c r="X518" s="963">
        <f>+X516</f>
        <v>4700</v>
      </c>
      <c r="Y518" s="963">
        <f>+Y516</f>
        <v>10429</v>
      </c>
    </row>
    <row r="519" spans="1:25" ht="6" customHeight="1" x14ac:dyDescent="0.2">
      <c r="A519" s="912"/>
      <c r="B519" s="913"/>
      <c r="C519" s="963"/>
      <c r="D519" s="963"/>
      <c r="E519" s="963"/>
      <c r="F519" s="963"/>
      <c r="G519" s="963"/>
      <c r="H519" s="963"/>
      <c r="I519" s="963"/>
      <c r="J519" s="963"/>
      <c r="K519" s="963"/>
      <c r="L519" s="963"/>
      <c r="M519" s="963"/>
      <c r="N519" s="963"/>
      <c r="O519" s="963"/>
      <c r="P519" s="963"/>
      <c r="Q519" s="898"/>
      <c r="R519" s="988"/>
      <c r="S519" s="898"/>
      <c r="T519" s="963"/>
      <c r="U519" s="963"/>
      <c r="V519" s="963"/>
      <c r="W519" s="963"/>
      <c r="X519" s="963"/>
      <c r="Y519" s="963"/>
    </row>
    <row r="520" spans="1:25" x14ac:dyDescent="0.2">
      <c r="A520" s="912" t="s">
        <v>619</v>
      </c>
      <c r="B520" s="913"/>
      <c r="C520" s="963"/>
      <c r="D520" s="963"/>
      <c r="E520" s="963"/>
      <c r="F520" s="963"/>
      <c r="G520" s="963"/>
      <c r="H520" s="963"/>
      <c r="I520" s="963"/>
      <c r="J520" s="963"/>
      <c r="K520" s="963"/>
      <c r="L520" s="963"/>
      <c r="M520" s="963"/>
      <c r="N520" s="963"/>
      <c r="O520" s="963"/>
      <c r="P520" s="963"/>
      <c r="Q520" s="898"/>
      <c r="R520" s="988"/>
      <c r="S520" s="898"/>
      <c r="T520" s="963"/>
      <c r="U520" s="963"/>
      <c r="V520" s="963"/>
      <c r="W520" s="963"/>
      <c r="X520" s="963"/>
      <c r="Y520" s="963"/>
    </row>
    <row r="521" spans="1:25" x14ac:dyDescent="0.2">
      <c r="A521" s="909" t="s">
        <v>593</v>
      </c>
      <c r="B521" s="913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-100</v>
      </c>
      <c r="L521" s="128">
        <v>-200</v>
      </c>
      <c r="M521" s="128">
        <v>-300</v>
      </c>
      <c r="N521" s="128">
        <v>-300</v>
      </c>
      <c r="O521" s="142">
        <f>SUM(C521:N521)</f>
        <v>-900</v>
      </c>
      <c r="P521" s="142"/>
      <c r="Q521" s="898"/>
      <c r="R521" s="988"/>
      <c r="S521" s="898"/>
      <c r="T521" s="142"/>
      <c r="U521" s="917">
        <f>C521+D521+E521</f>
        <v>0</v>
      </c>
      <c r="V521" s="917">
        <f>F521+G521+H521</f>
        <v>0</v>
      </c>
      <c r="W521" s="917">
        <f>I521+J521+K521</f>
        <v>-100</v>
      </c>
      <c r="X521" s="917">
        <f>L521+M521+N521</f>
        <v>-800</v>
      </c>
      <c r="Y521" s="919">
        <f>SUM(U521:X521)</f>
        <v>-900</v>
      </c>
    </row>
    <row r="522" spans="1:25" x14ac:dyDescent="0.2">
      <c r="A522" s="909" t="s">
        <v>590</v>
      </c>
      <c r="B522" s="913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91">
        <f>SUM(C522:N522)</f>
        <v>0</v>
      </c>
      <c r="P522" s="991"/>
      <c r="Q522" s="898"/>
      <c r="R522" s="988"/>
      <c r="S522" s="898"/>
      <c r="T522" s="991"/>
      <c r="U522" s="960">
        <f>C522+D522+E522</f>
        <v>0</v>
      </c>
      <c r="V522" s="960">
        <f>F522+G522+H522</f>
        <v>0</v>
      </c>
      <c r="W522" s="960">
        <f>I522+J522+K522</f>
        <v>0</v>
      </c>
      <c r="X522" s="960">
        <f>L522+M522+N522</f>
        <v>0</v>
      </c>
      <c r="Y522" s="906">
        <f>SUM(U522:X522)</f>
        <v>0</v>
      </c>
    </row>
    <row r="523" spans="1:25" x14ac:dyDescent="0.2">
      <c r="A523" s="909" t="s">
        <v>591</v>
      </c>
      <c r="B523" s="913"/>
      <c r="C523" s="906">
        <f>SUM(C521:C522)</f>
        <v>0</v>
      </c>
      <c r="D523" s="906">
        <f t="shared" ref="D523:O523" si="225">SUM(D521:D522)</f>
        <v>0</v>
      </c>
      <c r="E523" s="906">
        <f t="shared" si="225"/>
        <v>0</v>
      </c>
      <c r="F523" s="906">
        <f t="shared" si="225"/>
        <v>0</v>
      </c>
      <c r="G523" s="906">
        <f t="shared" si="225"/>
        <v>0</v>
      </c>
      <c r="H523" s="906">
        <f t="shared" si="225"/>
        <v>0</v>
      </c>
      <c r="I523" s="906">
        <f t="shared" si="225"/>
        <v>0</v>
      </c>
      <c r="J523" s="906">
        <f t="shared" si="225"/>
        <v>0</v>
      </c>
      <c r="K523" s="906">
        <f t="shared" si="225"/>
        <v>-100</v>
      </c>
      <c r="L523" s="906">
        <f t="shared" si="225"/>
        <v>-200</v>
      </c>
      <c r="M523" s="906">
        <f t="shared" si="225"/>
        <v>-300</v>
      </c>
      <c r="N523" s="906">
        <f t="shared" si="225"/>
        <v>-300</v>
      </c>
      <c r="O523" s="906">
        <f t="shared" si="225"/>
        <v>-900</v>
      </c>
      <c r="P523" s="906"/>
      <c r="Q523" s="898"/>
      <c r="R523" s="988"/>
      <c r="S523" s="898"/>
      <c r="T523" s="917"/>
      <c r="U523" s="906">
        <f>SUM(U521:U522)</f>
        <v>0</v>
      </c>
      <c r="V523" s="906">
        <f>SUM(V521:V522)</f>
        <v>0</v>
      </c>
      <c r="W523" s="906">
        <f>SUM(W521:W522)</f>
        <v>-100</v>
      </c>
      <c r="X523" s="906">
        <f>SUM(X521:X522)</f>
        <v>-800</v>
      </c>
      <c r="Y523" s="906">
        <f>SUM(Y521:Y522)</f>
        <v>-900</v>
      </c>
    </row>
    <row r="524" spans="1:25" ht="3.95" customHeight="1" x14ac:dyDescent="0.2">
      <c r="A524" s="912"/>
      <c r="B524" s="913"/>
      <c r="C524" s="963"/>
      <c r="D524" s="963"/>
      <c r="E524" s="963"/>
      <c r="F524" s="963"/>
      <c r="G524" s="963"/>
      <c r="H524" s="963"/>
      <c r="I524" s="963"/>
      <c r="J524" s="963"/>
      <c r="K524" s="963"/>
      <c r="L524" s="963"/>
      <c r="M524" s="963"/>
      <c r="N524" s="963"/>
      <c r="O524" s="963"/>
      <c r="P524" s="963"/>
      <c r="Q524" s="898"/>
      <c r="R524" s="988"/>
      <c r="S524" s="898"/>
      <c r="T524" s="963"/>
      <c r="U524" s="963"/>
      <c r="V524" s="963"/>
      <c r="W524" s="963"/>
      <c r="X524" s="963"/>
      <c r="Y524" s="963"/>
    </row>
    <row r="525" spans="1:25" x14ac:dyDescent="0.2">
      <c r="A525" s="912" t="s">
        <v>599</v>
      </c>
      <c r="B525" s="913"/>
      <c r="C525" s="963">
        <f>+C523</f>
        <v>0</v>
      </c>
      <c r="D525" s="963">
        <f t="shared" ref="D525:O525" si="226">+D523</f>
        <v>0</v>
      </c>
      <c r="E525" s="963">
        <f t="shared" si="226"/>
        <v>0</v>
      </c>
      <c r="F525" s="963">
        <f t="shared" si="226"/>
        <v>0</v>
      </c>
      <c r="G525" s="963">
        <f t="shared" si="226"/>
        <v>0</v>
      </c>
      <c r="H525" s="963">
        <f t="shared" si="226"/>
        <v>0</v>
      </c>
      <c r="I525" s="963">
        <f t="shared" si="226"/>
        <v>0</v>
      </c>
      <c r="J525" s="963">
        <f t="shared" si="226"/>
        <v>0</v>
      </c>
      <c r="K525" s="963">
        <f t="shared" si="226"/>
        <v>-100</v>
      </c>
      <c r="L525" s="963">
        <f t="shared" si="226"/>
        <v>-200</v>
      </c>
      <c r="M525" s="963">
        <f t="shared" si="226"/>
        <v>-300</v>
      </c>
      <c r="N525" s="963">
        <f t="shared" si="226"/>
        <v>-300</v>
      </c>
      <c r="O525" s="963">
        <f t="shared" si="226"/>
        <v>-900</v>
      </c>
      <c r="P525" s="963"/>
      <c r="Q525" s="898"/>
      <c r="R525" s="988"/>
      <c r="S525" s="898"/>
      <c r="T525" s="963"/>
      <c r="U525" s="963">
        <f>+U523</f>
        <v>0</v>
      </c>
      <c r="V525" s="963">
        <f>+V523</f>
        <v>0</v>
      </c>
      <c r="W525" s="963">
        <f>+W523</f>
        <v>-100</v>
      </c>
      <c r="X525" s="963">
        <f>+X523</f>
        <v>-800</v>
      </c>
      <c r="Y525" s="963">
        <f>+Y523</f>
        <v>-900</v>
      </c>
    </row>
    <row r="526" spans="1:25" ht="6" customHeight="1" x14ac:dyDescent="0.2">
      <c r="A526" s="912"/>
      <c r="B526" s="913"/>
      <c r="C526" s="963"/>
      <c r="D526" s="963"/>
      <c r="E526" s="963"/>
      <c r="F526" s="963"/>
      <c r="G526" s="963"/>
      <c r="H526" s="963"/>
      <c r="I526" s="963"/>
      <c r="J526" s="963"/>
      <c r="K526" s="963"/>
      <c r="L526" s="963"/>
      <c r="M526" s="963"/>
      <c r="N526" s="963"/>
      <c r="O526" s="963"/>
      <c r="P526" s="963"/>
      <c r="Q526" s="898"/>
      <c r="R526" s="988"/>
      <c r="S526" s="898"/>
      <c r="T526" s="963"/>
      <c r="U526" s="963"/>
      <c r="V526" s="963"/>
      <c r="W526" s="963"/>
      <c r="X526" s="963"/>
      <c r="Y526" s="963"/>
    </row>
    <row r="527" spans="1:25" x14ac:dyDescent="0.2">
      <c r="A527" s="912" t="s">
        <v>600</v>
      </c>
      <c r="B527" s="913"/>
      <c r="C527" s="963"/>
      <c r="D527" s="963"/>
      <c r="E527" s="963"/>
      <c r="F527" s="963"/>
      <c r="G527" s="963"/>
      <c r="H527" s="963"/>
      <c r="I527" s="963"/>
      <c r="J527" s="963"/>
      <c r="K527" s="963"/>
      <c r="L527" s="963"/>
      <c r="M527" s="963"/>
      <c r="N527" s="963"/>
      <c r="O527" s="963"/>
      <c r="P527" s="963"/>
      <c r="Q527" s="898"/>
      <c r="R527" s="988"/>
      <c r="S527" s="898"/>
      <c r="T527" s="963"/>
      <c r="U527" s="963"/>
      <c r="V527" s="963"/>
      <c r="W527" s="963"/>
      <c r="X527" s="963"/>
      <c r="Y527" s="963"/>
    </row>
    <row r="528" spans="1:25" x14ac:dyDescent="0.2">
      <c r="A528" s="909" t="s">
        <v>593</v>
      </c>
      <c r="B528" s="913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98"/>
      <c r="R528" s="988"/>
      <c r="S528" s="898"/>
      <c r="T528" s="142"/>
      <c r="U528" s="917">
        <f>C528+D528+E528</f>
        <v>0</v>
      </c>
      <c r="V528" s="917">
        <f>F528+G528+H528</f>
        <v>0</v>
      </c>
      <c r="W528" s="917">
        <f>I528+J528+K528</f>
        <v>0</v>
      </c>
      <c r="X528" s="917">
        <f>L528+M528+N528</f>
        <v>0</v>
      </c>
      <c r="Y528" s="919">
        <f>SUM(U528:X528)</f>
        <v>0</v>
      </c>
    </row>
    <row r="529" spans="1:25" x14ac:dyDescent="0.2">
      <c r="A529" s="909" t="s">
        <v>590</v>
      </c>
      <c r="B529" s="913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91">
        <f>SUM(C529:N529)</f>
        <v>0</v>
      </c>
      <c r="P529" s="991"/>
      <c r="Q529" s="898"/>
      <c r="R529" s="988"/>
      <c r="S529" s="898"/>
      <c r="T529" s="991"/>
      <c r="U529" s="960">
        <f>C529+D529+E529</f>
        <v>0</v>
      </c>
      <c r="V529" s="960">
        <f>F529+G529+H529</f>
        <v>0</v>
      </c>
      <c r="W529" s="960">
        <f>I529+J529+K529</f>
        <v>0</v>
      </c>
      <c r="X529" s="960">
        <f>L529+M529+N529</f>
        <v>0</v>
      </c>
      <c r="Y529" s="906">
        <f>SUM(U529:X529)</f>
        <v>0</v>
      </c>
    </row>
    <row r="530" spans="1:25" x14ac:dyDescent="0.2">
      <c r="A530" s="909" t="s">
        <v>591</v>
      </c>
      <c r="B530" s="913"/>
      <c r="C530" s="906">
        <f>SUM(C528:C529)</f>
        <v>0</v>
      </c>
      <c r="D530" s="906">
        <f t="shared" ref="D530:O530" si="227">SUM(D528:D529)</f>
        <v>0</v>
      </c>
      <c r="E530" s="906">
        <f t="shared" si="227"/>
        <v>0</v>
      </c>
      <c r="F530" s="906">
        <f t="shared" si="227"/>
        <v>0</v>
      </c>
      <c r="G530" s="906">
        <f t="shared" si="227"/>
        <v>0</v>
      </c>
      <c r="H530" s="906">
        <f t="shared" si="227"/>
        <v>0</v>
      </c>
      <c r="I530" s="906">
        <f t="shared" si="227"/>
        <v>0</v>
      </c>
      <c r="J530" s="906">
        <f t="shared" si="227"/>
        <v>0</v>
      </c>
      <c r="K530" s="906">
        <f t="shared" si="227"/>
        <v>0</v>
      </c>
      <c r="L530" s="906">
        <f t="shared" si="227"/>
        <v>0</v>
      </c>
      <c r="M530" s="906">
        <f t="shared" si="227"/>
        <v>0</v>
      </c>
      <c r="N530" s="906">
        <f t="shared" si="227"/>
        <v>0</v>
      </c>
      <c r="O530" s="906">
        <f t="shared" si="227"/>
        <v>0</v>
      </c>
      <c r="P530" s="906"/>
      <c r="Q530" s="898"/>
      <c r="R530" s="988"/>
      <c r="S530" s="898"/>
      <c r="T530" s="917"/>
      <c r="U530" s="906">
        <f>SUM(U528:U529)</f>
        <v>0</v>
      </c>
      <c r="V530" s="906">
        <f>SUM(V528:V529)</f>
        <v>0</v>
      </c>
      <c r="W530" s="906">
        <f>SUM(W528:W529)</f>
        <v>0</v>
      </c>
      <c r="X530" s="906">
        <f>SUM(X528:X529)</f>
        <v>0</v>
      </c>
      <c r="Y530" s="906">
        <f>SUM(Y528:Y529)</f>
        <v>0</v>
      </c>
    </row>
    <row r="531" spans="1:25" ht="3.95" customHeight="1" x14ac:dyDescent="0.2">
      <c r="A531" s="912"/>
      <c r="B531" s="913"/>
      <c r="C531" s="963"/>
      <c r="D531" s="963"/>
      <c r="E531" s="963"/>
      <c r="F531" s="963"/>
      <c r="G531" s="963"/>
      <c r="H531" s="963"/>
      <c r="I531" s="963"/>
      <c r="J531" s="963"/>
      <c r="K531" s="963"/>
      <c r="L531" s="963"/>
      <c r="M531" s="963"/>
      <c r="N531" s="963"/>
      <c r="O531" s="963"/>
      <c r="P531" s="963"/>
      <c r="Q531" s="898"/>
      <c r="R531" s="988"/>
      <c r="S531" s="898"/>
      <c r="T531" s="963"/>
      <c r="U531" s="963"/>
      <c r="V531" s="963"/>
      <c r="W531" s="963"/>
      <c r="X531" s="963"/>
      <c r="Y531" s="963"/>
    </row>
    <row r="532" spans="1:25" x14ac:dyDescent="0.2">
      <c r="A532" s="912" t="s">
        <v>601</v>
      </c>
      <c r="B532" s="913"/>
      <c r="C532" s="963">
        <f>+C530</f>
        <v>0</v>
      </c>
      <c r="D532" s="963">
        <f t="shared" ref="D532:O532" si="228">+D530</f>
        <v>0</v>
      </c>
      <c r="E532" s="963">
        <f t="shared" si="228"/>
        <v>0</v>
      </c>
      <c r="F532" s="963">
        <f t="shared" si="228"/>
        <v>0</v>
      </c>
      <c r="G532" s="963">
        <f t="shared" si="228"/>
        <v>0</v>
      </c>
      <c r="H532" s="963">
        <f t="shared" si="228"/>
        <v>0</v>
      </c>
      <c r="I532" s="963">
        <f t="shared" si="228"/>
        <v>0</v>
      </c>
      <c r="J532" s="963">
        <f t="shared" si="228"/>
        <v>0</v>
      </c>
      <c r="K532" s="963">
        <f t="shared" si="228"/>
        <v>0</v>
      </c>
      <c r="L532" s="963">
        <f t="shared" si="228"/>
        <v>0</v>
      </c>
      <c r="M532" s="963">
        <f t="shared" si="228"/>
        <v>0</v>
      </c>
      <c r="N532" s="963">
        <f t="shared" si="228"/>
        <v>0</v>
      </c>
      <c r="O532" s="963">
        <f t="shared" si="228"/>
        <v>0</v>
      </c>
      <c r="P532" s="963"/>
      <c r="Q532" s="898"/>
      <c r="R532" s="988"/>
      <c r="S532" s="898"/>
      <c r="T532" s="963"/>
      <c r="U532" s="963">
        <f>+U530</f>
        <v>0</v>
      </c>
      <c r="V532" s="963">
        <f>+V530</f>
        <v>0</v>
      </c>
      <c r="W532" s="963">
        <f>+W530</f>
        <v>0</v>
      </c>
      <c r="X532" s="963">
        <f>+X530</f>
        <v>0</v>
      </c>
      <c r="Y532" s="963">
        <f>+Y530</f>
        <v>0</v>
      </c>
    </row>
    <row r="533" spans="1:25" x14ac:dyDescent="0.2">
      <c r="A533" s="912"/>
      <c r="B533" s="913"/>
      <c r="C533" s="963"/>
      <c r="D533" s="963"/>
      <c r="E533" s="963"/>
      <c r="F533" s="963"/>
      <c r="G533" s="963"/>
      <c r="H533" s="963"/>
      <c r="I533" s="963"/>
      <c r="J533" s="963"/>
      <c r="K533" s="963"/>
      <c r="L533" s="963"/>
      <c r="M533" s="963"/>
      <c r="N533" s="963"/>
      <c r="O533" s="963"/>
      <c r="P533" s="963"/>
      <c r="Q533" s="898"/>
      <c r="R533" s="988"/>
      <c r="S533" s="898"/>
      <c r="T533" s="963"/>
      <c r="U533" s="963"/>
      <c r="V533" s="963"/>
      <c r="W533" s="963"/>
      <c r="X533" s="963"/>
      <c r="Y533" s="963"/>
    </row>
    <row r="534" spans="1:25" x14ac:dyDescent="0.2">
      <c r="A534" s="912" t="s">
        <v>602</v>
      </c>
      <c r="B534" s="913"/>
      <c r="C534" s="963">
        <f t="shared" ref="C534:O534" si="229">+C474+C487+C495+C502+C506+C513+C521+C528</f>
        <v>-450</v>
      </c>
      <c r="D534" s="963">
        <f t="shared" si="229"/>
        <v>328</v>
      </c>
      <c r="E534" s="963">
        <f t="shared" si="229"/>
        <v>-1100</v>
      </c>
      <c r="F534" s="963">
        <f t="shared" si="229"/>
        <v>-1200</v>
      </c>
      <c r="G534" s="963">
        <f t="shared" si="229"/>
        <v>-2800</v>
      </c>
      <c r="H534" s="963">
        <f t="shared" si="229"/>
        <v>-1800</v>
      </c>
      <c r="I534" s="963">
        <f t="shared" si="229"/>
        <v>-5100</v>
      </c>
      <c r="J534" s="963">
        <f t="shared" si="229"/>
        <v>-2000</v>
      </c>
      <c r="K534" s="963">
        <f t="shared" si="229"/>
        <v>-9942</v>
      </c>
      <c r="L534" s="963">
        <f t="shared" si="229"/>
        <v>-4449</v>
      </c>
      <c r="M534" s="963">
        <f t="shared" si="229"/>
        <v>-9292</v>
      </c>
      <c r="N534" s="963">
        <f t="shared" si="229"/>
        <v>-11496</v>
      </c>
      <c r="O534" s="963">
        <f t="shared" si="229"/>
        <v>-49301</v>
      </c>
      <c r="P534" s="963"/>
      <c r="Q534" s="898"/>
      <c r="R534" s="988"/>
      <c r="S534" s="898"/>
      <c r="T534" s="963"/>
      <c r="U534" s="963">
        <f>+U474+U487+U495+U502+U506+U513+U521+U528</f>
        <v>-1222</v>
      </c>
      <c r="V534" s="963">
        <f>+V474+V487+V495+V502+V506+V513+V521+V528</f>
        <v>-5800</v>
      </c>
      <c r="W534" s="963">
        <f>+W474+W487+W495+W502+W506+W513+W521+W528</f>
        <v>-17042</v>
      </c>
      <c r="X534" s="963">
        <f>+X474+X487+X495+X502+X506+X513+X521+X528</f>
        <v>-25237</v>
      </c>
      <c r="Y534" s="963">
        <f>+Y474+Y487+Y495+Y502+Y506+Y513+Y521+Y528</f>
        <v>-49301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I5" activePane="bottomRight" state="frozen"/>
      <selection activeCell="D3" sqref="D3"/>
      <selection pane="topRight" activeCell="D3" sqref="D3"/>
      <selection pane="bottomLeft" activeCell="D3" sqref="D3"/>
      <selection pane="bottomRight" activeCell="J7" sqref="J7"/>
    </sheetView>
  </sheetViews>
  <sheetFormatPr defaultColWidth="10.7109375" defaultRowHeight="12.75" x14ac:dyDescent="0.2"/>
  <cols>
    <col min="1" max="1" width="45.7109375" style="150" customWidth="1"/>
    <col min="2" max="2" width="8.7109375" style="797" customWidth="1"/>
    <col min="3" max="14" width="8.7109375" style="150" customWidth="1"/>
    <col min="15" max="17" width="9.7109375" style="150" customWidth="1"/>
    <col min="18" max="16384" width="10.7109375" style="150"/>
  </cols>
  <sheetData>
    <row r="1" spans="1:21" x14ac:dyDescent="0.2">
      <c r="A1" s="551" t="str">
        <f ca="1">CELL("FILENAME")</f>
        <v>P:\Finance\2001CE\[TW3rdCEEM.XLS]DataBase</v>
      </c>
      <c r="R1" s="151"/>
    </row>
    <row r="2" spans="1:21" x14ac:dyDescent="0.2">
      <c r="A2" s="392" t="s">
        <v>113</v>
      </c>
      <c r="C2" s="152" t="s">
        <v>905</v>
      </c>
      <c r="D2" s="152" t="s">
        <v>905</v>
      </c>
      <c r="E2" s="152" t="s">
        <v>905</v>
      </c>
      <c r="F2" s="152" t="s">
        <v>905</v>
      </c>
      <c r="G2" s="491"/>
      <c r="H2" s="152" t="s">
        <v>905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">
      <c r="A3" s="554" t="str">
        <f>IncomeState!A3</f>
        <v>2001 CURRENT ESTIMATE</v>
      </c>
      <c r="B3" s="798">
        <f ca="1">NOW()</f>
        <v>37154.4025400463</v>
      </c>
      <c r="C3" s="568" t="str">
        <f>DataBase!C2</f>
        <v>ACT.</v>
      </c>
      <c r="D3" s="568" t="str">
        <f>DataBase!D2</f>
        <v>ACT.</v>
      </c>
      <c r="E3" s="568" t="str">
        <f>DataBase!E2</f>
        <v>ACT.</v>
      </c>
      <c r="F3" s="568" t="str">
        <f>DataBase!F2</f>
        <v>ACT.</v>
      </c>
      <c r="G3" s="568" t="str">
        <f>DataBase!G2</f>
        <v>ACT.</v>
      </c>
      <c r="H3" s="568" t="str">
        <f>DataBase!H2</f>
        <v>ACT.</v>
      </c>
      <c r="I3" s="568" t="str">
        <f>DataBase!I2</f>
        <v>ACT.</v>
      </c>
      <c r="J3" s="568" t="str">
        <f>DataBase!J2</f>
        <v>ACT.</v>
      </c>
      <c r="K3" s="568" t="str">
        <f>DataBase!K2</f>
        <v>3rd CE</v>
      </c>
      <c r="L3" s="568" t="str">
        <f>DataBase!L2</f>
        <v>3rd CE</v>
      </c>
      <c r="M3" s="568" t="str">
        <f>DataBase!M2</f>
        <v>3rd CE</v>
      </c>
      <c r="N3" s="568" t="str">
        <f>DataBase!N2</f>
        <v>3rd CE</v>
      </c>
      <c r="O3" s="568" t="str">
        <f>DataBase!O2</f>
        <v>TOTAL</v>
      </c>
      <c r="P3" s="568" t="str">
        <f>IncomeState!P6</f>
        <v>AUGUST</v>
      </c>
      <c r="Q3" s="568" t="str">
        <f>IncomeState!Q6</f>
        <v>ESTIMATE</v>
      </c>
    </row>
    <row r="4" spans="1:21" x14ac:dyDescent="0.2">
      <c r="A4" s="393"/>
      <c r="B4" s="799">
        <f ca="1">NOW()</f>
        <v>37154.4025400463</v>
      </c>
      <c r="C4" s="396" t="s">
        <v>906</v>
      </c>
      <c r="D4" s="396" t="s">
        <v>907</v>
      </c>
      <c r="E4" s="396" t="s">
        <v>908</v>
      </c>
      <c r="F4" s="396" t="s">
        <v>909</v>
      </c>
      <c r="G4" s="396" t="s">
        <v>910</v>
      </c>
      <c r="H4" s="396" t="s">
        <v>911</v>
      </c>
      <c r="I4" s="396" t="s">
        <v>912</v>
      </c>
      <c r="J4" s="396" t="s">
        <v>913</v>
      </c>
      <c r="K4" s="396" t="s">
        <v>914</v>
      </c>
      <c r="L4" s="396" t="s">
        <v>915</v>
      </c>
      <c r="M4" s="396" t="s">
        <v>916</v>
      </c>
      <c r="N4" s="396" t="s">
        <v>917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</row>
    <row r="5" spans="1:21" ht="3.95" customHeight="1" x14ac:dyDescent="0.2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">
      <c r="A6" s="397" t="s">
        <v>190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">
      <c r="A7" s="157" t="s">
        <v>289</v>
      </c>
      <c r="B7" s="851" t="s">
        <v>283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SUM(C7:J7)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">
      <c r="A8" s="157" t="s">
        <v>290</v>
      </c>
      <c r="B8" s="851" t="s">
        <v>283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SUM(C8:J8)</f>
        <v>0</v>
      </c>
      <c r="Q8" s="156">
        <f t="shared" si="1"/>
        <v>0</v>
      </c>
      <c r="R8" s="156"/>
    </row>
    <row r="9" spans="1:21" x14ac:dyDescent="0.2">
      <c r="A9" s="157" t="s">
        <v>291</v>
      </c>
      <c r="B9" s="851" t="s">
        <v>283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">
      <c r="A10" s="157" t="s">
        <v>292</v>
      </c>
      <c r="B10" s="851" t="s">
        <v>283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">
      <c r="A11" s="157" t="s">
        <v>293</v>
      </c>
      <c r="B11" s="800" t="s">
        <v>927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">
      <c r="A12" s="157" t="s">
        <v>191</v>
      </c>
      <c r="B12" s="853" t="s">
        <v>261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-5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-26</v>
      </c>
      <c r="P12" s="158">
        <f t="shared" si="2"/>
        <v>-15</v>
      </c>
      <c r="Q12" s="156">
        <f t="shared" si="1"/>
        <v>-11</v>
      </c>
      <c r="R12" s="156"/>
      <c r="S12" s="156"/>
      <c r="T12" s="156"/>
      <c r="U12" s="156"/>
    </row>
    <row r="13" spans="1:21" x14ac:dyDescent="0.2">
      <c r="A13" s="157" t="s">
        <v>196</v>
      </c>
      <c r="B13" s="801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">
      <c r="A14" s="157" t="s">
        <v>920</v>
      </c>
      <c r="B14" s="802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-2</v>
      </c>
      <c r="Q14" s="156">
        <f t="shared" si="1"/>
        <v>0</v>
      </c>
      <c r="R14" s="156"/>
      <c r="S14" s="156"/>
      <c r="T14" s="156"/>
      <c r="U14" s="156"/>
    </row>
    <row r="15" spans="1:21" x14ac:dyDescent="0.2">
      <c r="A15" s="157" t="s">
        <v>225</v>
      </c>
      <c r="B15" s="802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 t="shared" si="2"/>
        <v>0</v>
      </c>
      <c r="Q15" s="156">
        <f>(O15-P15)</f>
        <v>0</v>
      </c>
      <c r="R15" s="156"/>
      <c r="S15" s="156"/>
      <c r="T15" s="156"/>
      <c r="U15" s="156"/>
    </row>
    <row r="16" spans="1:21" x14ac:dyDescent="0.2">
      <c r="A16" s="157" t="s">
        <v>919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5" customHeight="1" x14ac:dyDescent="0.2">
      <c r="A17" s="394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">
      <c r="A18" s="395" t="s">
        <v>124</v>
      </c>
      <c r="B18" s="803"/>
      <c r="C18" s="161">
        <f>SUM(C7:C17)</f>
        <v>-1</v>
      </c>
      <c r="D18" s="161">
        <f t="shared" ref="D18:Q18" si="3">SUM(D7:D17)</f>
        <v>-2</v>
      </c>
      <c r="E18" s="161">
        <f t="shared" si="3"/>
        <v>-1</v>
      </c>
      <c r="F18" s="161">
        <f t="shared" si="3"/>
        <v>-2</v>
      </c>
      <c r="G18" s="161">
        <f t="shared" si="3"/>
        <v>-1</v>
      </c>
      <c r="H18" s="161">
        <f t="shared" si="3"/>
        <v>-1</v>
      </c>
      <c r="I18" s="161">
        <f t="shared" si="3"/>
        <v>-5</v>
      </c>
      <c r="J18" s="161">
        <f t="shared" si="3"/>
        <v>-4</v>
      </c>
      <c r="K18" s="161">
        <f t="shared" si="3"/>
        <v>-3</v>
      </c>
      <c r="L18" s="161">
        <f t="shared" si="3"/>
        <v>-2</v>
      </c>
      <c r="M18" s="161">
        <f t="shared" si="3"/>
        <v>-3</v>
      </c>
      <c r="N18" s="161">
        <f t="shared" si="3"/>
        <v>-3</v>
      </c>
      <c r="O18" s="161">
        <f t="shared" si="3"/>
        <v>-28</v>
      </c>
      <c r="P18" s="161">
        <f t="shared" si="3"/>
        <v>-17</v>
      </c>
      <c r="Q18" s="161">
        <f t="shared" si="3"/>
        <v>-11</v>
      </c>
      <c r="R18" s="162"/>
      <c r="S18" s="162"/>
      <c r="T18" s="162"/>
      <c r="U18" s="156"/>
    </row>
    <row r="19" spans="1:21" ht="6" customHeight="1" x14ac:dyDescent="0.2">
      <c r="A19" s="395"/>
      <c r="B19" s="803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">
      <c r="A20" s="397" t="s">
        <v>188</v>
      </c>
      <c r="B20" s="803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">
      <c r="A21" s="157" t="s">
        <v>325</v>
      </c>
      <c r="B21" s="803"/>
      <c r="C21" s="158">
        <v>118</v>
      </c>
      <c r="D21" s="158">
        <v>118</v>
      </c>
      <c r="E21" s="158">
        <v>119</v>
      </c>
      <c r="F21" s="158">
        <v>118</v>
      </c>
      <c r="G21" s="158">
        <v>118</v>
      </c>
      <c r="H21" s="158">
        <v>118</v>
      </c>
      <c r="I21" s="158">
        <v>118</v>
      </c>
      <c r="J21" s="158">
        <v>118</v>
      </c>
      <c r="K21" s="158">
        <v>119</v>
      </c>
      <c r="L21" s="158">
        <v>118</v>
      </c>
      <c r="M21" s="158">
        <v>89</v>
      </c>
      <c r="N21" s="158">
        <v>89</v>
      </c>
      <c r="O21" s="156">
        <f t="shared" ref="O21:O26" si="4">SUM(C21:N21)</f>
        <v>1360</v>
      </c>
      <c r="P21" s="158">
        <f t="shared" ref="P21:P26" si="5">SUM(C21:J21)</f>
        <v>945</v>
      </c>
      <c r="Q21" s="156">
        <f t="shared" ref="Q21:Q26" si="6">(O21-P21)</f>
        <v>415</v>
      </c>
      <c r="R21" s="162"/>
      <c r="S21" s="162"/>
      <c r="T21" s="162"/>
      <c r="U21" s="156"/>
    </row>
    <row r="22" spans="1:21" x14ac:dyDescent="0.2">
      <c r="A22" s="157" t="s">
        <v>327</v>
      </c>
      <c r="B22" s="803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8</v>
      </c>
      <c r="Q22" s="156">
        <f t="shared" si="6"/>
        <v>4</v>
      </c>
      <c r="R22" s="162"/>
      <c r="S22" s="162"/>
      <c r="T22" s="162"/>
      <c r="U22" s="156"/>
    </row>
    <row r="23" spans="1:21" x14ac:dyDescent="0.2">
      <c r="A23" s="157" t="s">
        <v>326</v>
      </c>
      <c r="B23" s="803"/>
      <c r="C23" s="158">
        <v>925</v>
      </c>
      <c r="D23" s="158">
        <v>925</v>
      </c>
      <c r="E23" s="158">
        <v>925</v>
      </c>
      <c r="F23" s="158">
        <v>657</v>
      </c>
      <c r="G23" s="158">
        <v>678</v>
      </c>
      <c r="H23" s="158">
        <v>613</v>
      </c>
      <c r="I23" s="860">
        <f>678-678</f>
        <v>0</v>
      </c>
      <c r="J23" s="860">
        <f>678-678</f>
        <v>0</v>
      </c>
      <c r="K23" s="860">
        <f>657-657</f>
        <v>0</v>
      </c>
      <c r="L23" s="860">
        <f>678-678</f>
        <v>0</v>
      </c>
      <c r="M23" s="860">
        <f>657-657</f>
        <v>0</v>
      </c>
      <c r="N23" s="860">
        <f>678-678</f>
        <v>0</v>
      </c>
      <c r="O23" s="156">
        <f t="shared" si="4"/>
        <v>4723</v>
      </c>
      <c r="P23" s="158">
        <f t="shared" si="5"/>
        <v>4723</v>
      </c>
      <c r="Q23" s="156">
        <f t="shared" si="6"/>
        <v>0</v>
      </c>
      <c r="R23" s="162"/>
      <c r="S23" s="162"/>
      <c r="T23" s="162"/>
      <c r="U23" s="156"/>
    </row>
    <row r="24" spans="1:21" x14ac:dyDescent="0.2">
      <c r="A24" s="157" t="s">
        <v>328</v>
      </c>
      <c r="B24" s="801"/>
      <c r="C24" s="860">
        <f>-1251+1251</f>
        <v>0</v>
      </c>
      <c r="D24" s="860">
        <f>-1134+1134</f>
        <v>0</v>
      </c>
      <c r="E24" s="860">
        <v>-5198</v>
      </c>
      <c r="F24" s="158">
        <v>-1785</v>
      </c>
      <c r="G24" s="158">
        <v>-1429</v>
      </c>
      <c r="H24" s="158">
        <v>-1319</v>
      </c>
      <c r="I24" s="158">
        <v>-825</v>
      </c>
      <c r="J24" s="158">
        <v>-825</v>
      </c>
      <c r="K24" s="158">
        <v>-770</v>
      </c>
      <c r="L24" s="158">
        <v>-788</v>
      </c>
      <c r="M24" s="158">
        <v>-743</v>
      </c>
      <c r="N24" s="158">
        <v>-730</v>
      </c>
      <c r="O24" s="156">
        <f t="shared" si="4"/>
        <v>-14412</v>
      </c>
      <c r="P24" s="158">
        <f t="shared" si="5"/>
        <v>-11381</v>
      </c>
      <c r="Q24" s="156">
        <f t="shared" si="6"/>
        <v>-3031</v>
      </c>
      <c r="R24" s="162"/>
      <c r="S24" s="162"/>
      <c r="T24" s="162"/>
      <c r="U24" s="156"/>
    </row>
    <row r="25" spans="1:21" x14ac:dyDescent="0.2">
      <c r="A25" s="157" t="s">
        <v>920</v>
      </c>
      <c r="B25" s="802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">
      <c r="A26" s="157" t="s">
        <v>919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5" customHeight="1" x14ac:dyDescent="0.2">
      <c r="A27" s="394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">
      <c r="A28" s="397" t="s">
        <v>189</v>
      </c>
      <c r="B28" s="803"/>
      <c r="C28" s="161">
        <f>SUM(C21:C27)</f>
        <v>1044</v>
      </c>
      <c r="D28" s="161">
        <f t="shared" ref="D28:N28" si="7">SUM(D21:D27)</f>
        <v>1044</v>
      </c>
      <c r="E28" s="161">
        <f t="shared" si="7"/>
        <v>-4153</v>
      </c>
      <c r="F28" s="161">
        <f t="shared" si="7"/>
        <v>-1009</v>
      </c>
      <c r="G28" s="161">
        <f t="shared" si="7"/>
        <v>-632</v>
      </c>
      <c r="H28" s="161">
        <f t="shared" si="7"/>
        <v>-587</v>
      </c>
      <c r="I28" s="161">
        <f t="shared" si="7"/>
        <v>-706</v>
      </c>
      <c r="J28" s="161">
        <f t="shared" si="7"/>
        <v>-706</v>
      </c>
      <c r="K28" s="161">
        <f t="shared" si="7"/>
        <v>-650</v>
      </c>
      <c r="L28" s="161">
        <f t="shared" si="7"/>
        <v>-669</v>
      </c>
      <c r="M28" s="161">
        <f t="shared" si="7"/>
        <v>-653</v>
      </c>
      <c r="N28" s="161">
        <f t="shared" si="7"/>
        <v>-640</v>
      </c>
      <c r="O28" s="161">
        <f>SUM(O21:O27)</f>
        <v>-8317</v>
      </c>
      <c r="P28" s="161">
        <f>SUM(P21:P27)</f>
        <v>-5705</v>
      </c>
      <c r="Q28" s="161">
        <f>SUM(Q21:Q27)</f>
        <v>-2612</v>
      </c>
      <c r="R28" s="162"/>
      <c r="S28" s="162"/>
      <c r="T28" s="162"/>
      <c r="U28" s="156"/>
    </row>
    <row r="29" spans="1:21" ht="6" customHeight="1" x14ac:dyDescent="0.2">
      <c r="A29" s="394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">
      <c r="A30" s="395" t="s">
        <v>125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">
      <c r="A31" s="157" t="s">
        <v>269</v>
      </c>
      <c r="B31" s="801"/>
      <c r="C31" s="158">
        <v>-11</v>
      </c>
      <c r="D31" s="158">
        <v>-10</v>
      </c>
      <c r="E31" s="158">
        <v>-9</v>
      </c>
      <c r="F31" s="158">
        <v>-7</v>
      </c>
      <c r="G31" s="158">
        <v>-8</v>
      </c>
      <c r="H31" s="158">
        <v>-11</v>
      </c>
      <c r="I31" s="158">
        <v>-35</v>
      </c>
      <c r="J31" s="158">
        <v>-34</v>
      </c>
      <c r="K31" s="158">
        <v>-25</v>
      </c>
      <c r="L31" s="158">
        <v>-15</v>
      </c>
      <c r="M31" s="158">
        <v>-27</v>
      </c>
      <c r="N31" s="158">
        <v>-22</v>
      </c>
      <c r="O31" s="156">
        <f>SUM(C31:N31)</f>
        <v>-214</v>
      </c>
      <c r="P31" s="158">
        <f>SUM(C31:J31)</f>
        <v>-125</v>
      </c>
      <c r="Q31" s="156">
        <f>(O31-P31)</f>
        <v>-89</v>
      </c>
      <c r="R31" s="156"/>
      <c r="S31" s="156"/>
      <c r="T31" s="156"/>
      <c r="U31" s="156"/>
    </row>
    <row r="32" spans="1:21" x14ac:dyDescent="0.2">
      <c r="A32" s="157" t="s">
        <v>920</v>
      </c>
      <c r="C32" s="158">
        <v>0</v>
      </c>
      <c r="D32" s="158">
        <v>0</v>
      </c>
      <c r="E32" s="158">
        <v>0</v>
      </c>
      <c r="F32" s="544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544">
        <v>0</v>
      </c>
      <c r="N32" s="158">
        <v>0</v>
      </c>
      <c r="O32" s="156">
        <f>SUM(C32:N32)</f>
        <v>0</v>
      </c>
      <c r="P32" s="158">
        <f>SUM(C32:J32)</f>
        <v>0</v>
      </c>
      <c r="Q32" s="156">
        <f>(O32-P32)</f>
        <v>0</v>
      </c>
      <c r="R32" s="156"/>
      <c r="S32" s="156"/>
      <c r="T32" s="156"/>
      <c r="U32" s="156"/>
    </row>
    <row r="33" spans="1:21" x14ac:dyDescent="0.2">
      <c r="A33" s="157" t="s">
        <v>919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SUM(C33:J33)</f>
        <v>0</v>
      </c>
      <c r="Q33" s="160">
        <f>(O33-P33)</f>
        <v>0</v>
      </c>
      <c r="R33" s="156"/>
      <c r="S33" s="156"/>
      <c r="T33" s="156"/>
      <c r="U33" s="156"/>
    </row>
    <row r="34" spans="1:21" ht="3.95" customHeight="1" x14ac:dyDescent="0.2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">
      <c r="A35" s="395" t="s">
        <v>126</v>
      </c>
      <c r="B35" s="152"/>
      <c r="C35" s="161">
        <f t="shared" ref="C35:Q35" si="8">SUM(C31:C33)</f>
        <v>-11</v>
      </c>
      <c r="D35" s="161">
        <f t="shared" si="8"/>
        <v>-10</v>
      </c>
      <c r="E35" s="161">
        <f t="shared" si="8"/>
        <v>-9</v>
      </c>
      <c r="F35" s="161">
        <f t="shared" si="8"/>
        <v>-7</v>
      </c>
      <c r="G35" s="161">
        <f t="shared" si="8"/>
        <v>-8</v>
      </c>
      <c r="H35" s="161">
        <f t="shared" si="8"/>
        <v>-11</v>
      </c>
      <c r="I35" s="161">
        <f t="shared" si="8"/>
        <v>-35</v>
      </c>
      <c r="J35" s="161">
        <f t="shared" si="8"/>
        <v>-34</v>
      </c>
      <c r="K35" s="161">
        <f t="shared" si="8"/>
        <v>-25</v>
      </c>
      <c r="L35" s="161">
        <f t="shared" si="8"/>
        <v>-15</v>
      </c>
      <c r="M35" s="161">
        <f t="shared" si="8"/>
        <v>-27</v>
      </c>
      <c r="N35" s="161">
        <f t="shared" si="8"/>
        <v>-22</v>
      </c>
      <c r="O35" s="161">
        <f t="shared" si="8"/>
        <v>-214</v>
      </c>
      <c r="P35" s="161">
        <f t="shared" si="8"/>
        <v>-125</v>
      </c>
      <c r="Q35" s="161">
        <f t="shared" si="8"/>
        <v>-89</v>
      </c>
      <c r="R35" s="162"/>
      <c r="S35" s="162"/>
      <c r="T35" s="156"/>
      <c r="U35" s="156"/>
    </row>
    <row r="36" spans="1:21" ht="6" customHeight="1" x14ac:dyDescent="0.2">
      <c r="A36" s="155"/>
      <c r="B36" s="800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">
      <c r="A37" s="397" t="s">
        <v>192</v>
      </c>
      <c r="B37" s="80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">
      <c r="A38" s="157" t="s">
        <v>127</v>
      </c>
      <c r="B38" s="853" t="s">
        <v>261</v>
      </c>
      <c r="C38" s="1006">
        <f>DataBase!C241</f>
        <v>0</v>
      </c>
      <c r="D38" s="1006">
        <f>DataBase!D241</f>
        <v>0</v>
      </c>
      <c r="E38" s="1006">
        <f>DataBase!E241</f>
        <v>0</v>
      </c>
      <c r="F38" s="1006">
        <f>DataBase!F241</f>
        <v>0</v>
      </c>
      <c r="G38" s="1006">
        <f>DataBase!G241</f>
        <v>0</v>
      </c>
      <c r="H38" s="1006">
        <f>DataBase!H241</f>
        <v>0</v>
      </c>
      <c r="I38" s="1006">
        <f>DataBase!I241</f>
        <v>0</v>
      </c>
      <c r="J38" s="1006">
        <f>DataBase!J241</f>
        <v>0</v>
      </c>
      <c r="K38" s="1006">
        <f>DataBase!K241</f>
        <v>0</v>
      </c>
      <c r="L38" s="1006">
        <f>DataBase!L241</f>
        <v>0</v>
      </c>
      <c r="M38" s="1006">
        <f>DataBase!M241</f>
        <v>0</v>
      </c>
      <c r="N38" s="1006">
        <f>DataBase!N241</f>
        <v>0</v>
      </c>
      <c r="O38" s="156">
        <f t="shared" ref="O38:O49" si="9">SUM(C38:N38)</f>
        <v>0</v>
      </c>
      <c r="P38" s="158">
        <f t="shared" ref="P38:P49" si="10">SUM(C38:J38)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">
      <c r="A39" s="157" t="s">
        <v>128</v>
      </c>
      <c r="B39" s="853" t="s">
        <v>261</v>
      </c>
      <c r="C39" s="1006">
        <f>DataBase!C242</f>
        <v>0</v>
      </c>
      <c r="D39" s="1006">
        <f>DataBase!D242</f>
        <v>0</v>
      </c>
      <c r="E39" s="1006">
        <f>DataBase!E242</f>
        <v>0</v>
      </c>
      <c r="F39" s="1006">
        <f>DataBase!F242</f>
        <v>0</v>
      </c>
      <c r="G39" s="1006">
        <f>DataBase!G242</f>
        <v>0</v>
      </c>
      <c r="H39" s="1006">
        <f>DataBase!H242</f>
        <v>0</v>
      </c>
      <c r="I39" s="1006">
        <f>DataBase!I242</f>
        <v>0</v>
      </c>
      <c r="J39" s="1006">
        <f>DataBase!J242</f>
        <v>0</v>
      </c>
      <c r="K39" s="1006">
        <f>DataBase!K242</f>
        <v>0</v>
      </c>
      <c r="L39" s="1006">
        <f>DataBase!L242</f>
        <v>0</v>
      </c>
      <c r="M39" s="1006">
        <f>DataBase!M242</f>
        <v>0</v>
      </c>
      <c r="N39" s="1006">
        <f>DataBase!N242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">
      <c r="A40" s="157" t="s">
        <v>982</v>
      </c>
      <c r="B40" s="801"/>
      <c r="C40" s="1006">
        <f>DataBase!C243</f>
        <v>0</v>
      </c>
      <c r="D40" s="1006">
        <f>DataBase!D243</f>
        <v>0</v>
      </c>
      <c r="E40" s="1006">
        <f>DataBase!E243</f>
        <v>0</v>
      </c>
      <c r="F40" s="1006">
        <f>DataBase!F243</f>
        <v>0</v>
      </c>
      <c r="G40" s="1006">
        <f>DataBase!G243</f>
        <v>0</v>
      </c>
      <c r="H40" s="1006">
        <f>DataBase!H243</f>
        <v>0</v>
      </c>
      <c r="I40" s="1006">
        <f>DataBase!I243</f>
        <v>0</v>
      </c>
      <c r="J40" s="1006">
        <f>DataBase!J243</f>
        <v>0</v>
      </c>
      <c r="K40" s="1006">
        <f>DataBase!K243</f>
        <v>0</v>
      </c>
      <c r="L40" s="1006">
        <f>DataBase!L243</f>
        <v>0</v>
      </c>
      <c r="M40" s="1006">
        <f>DataBase!M243</f>
        <v>0</v>
      </c>
      <c r="N40" s="1006">
        <f>DataBase!N243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">
      <c r="A41" s="157" t="s">
        <v>45</v>
      </c>
      <c r="B41" s="853" t="s">
        <v>261</v>
      </c>
      <c r="C41" s="1006">
        <f>DataBase!C244</f>
        <v>0</v>
      </c>
      <c r="D41" s="1006">
        <f>DataBase!D244</f>
        <v>0</v>
      </c>
      <c r="E41" s="1006">
        <f>DataBase!E244</f>
        <v>0</v>
      </c>
      <c r="F41" s="1006">
        <f>DataBase!F244</f>
        <v>0</v>
      </c>
      <c r="G41" s="1006">
        <f>DataBase!G244</f>
        <v>0</v>
      </c>
      <c r="H41" s="1006">
        <f>DataBase!H244</f>
        <v>0</v>
      </c>
      <c r="I41" s="1006">
        <f>DataBase!I244</f>
        <v>0</v>
      </c>
      <c r="J41" s="1006">
        <f>DataBase!J244</f>
        <v>0</v>
      </c>
      <c r="K41" s="1006">
        <f>DataBase!K244</f>
        <v>0</v>
      </c>
      <c r="L41" s="1006">
        <f>DataBase!L244</f>
        <v>0</v>
      </c>
      <c r="M41" s="1006">
        <f>DataBase!M244</f>
        <v>0</v>
      </c>
      <c r="N41" s="1006">
        <f>DataBase!N244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">
      <c r="A42" s="157" t="s">
        <v>46</v>
      </c>
      <c r="B42" s="853" t="s">
        <v>261</v>
      </c>
      <c r="C42" s="1006">
        <f>DataBase!C245</f>
        <v>0</v>
      </c>
      <c r="D42" s="1006">
        <f>DataBase!D245</f>
        <v>0</v>
      </c>
      <c r="E42" s="1006">
        <f>DataBase!E245</f>
        <v>0</v>
      </c>
      <c r="F42" s="1006">
        <f>DataBase!F245</f>
        <v>0</v>
      </c>
      <c r="G42" s="1006">
        <f>DataBase!G245</f>
        <v>0</v>
      </c>
      <c r="H42" s="1006">
        <f>DataBase!H245</f>
        <v>0</v>
      </c>
      <c r="I42" s="1006">
        <f>DataBase!I245</f>
        <v>0</v>
      </c>
      <c r="J42" s="1006">
        <f>DataBase!J245</f>
        <v>0</v>
      </c>
      <c r="K42" s="1006">
        <f>DataBase!K245</f>
        <v>0</v>
      </c>
      <c r="L42" s="1006">
        <f>DataBase!L245</f>
        <v>0</v>
      </c>
      <c r="M42" s="1006">
        <f>DataBase!M245</f>
        <v>0</v>
      </c>
      <c r="N42" s="1006">
        <f>DataBase!N245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">
      <c r="A43" s="157" t="s">
        <v>47</v>
      </c>
      <c r="B43" s="853" t="s">
        <v>261</v>
      </c>
      <c r="C43" s="1006">
        <f>DataBase!C246</f>
        <v>0</v>
      </c>
      <c r="D43" s="1006">
        <f>DataBase!D246</f>
        <v>0</v>
      </c>
      <c r="E43" s="1006">
        <f>DataBase!E246</f>
        <v>0</v>
      </c>
      <c r="F43" s="1006">
        <f>DataBase!F246</f>
        <v>0</v>
      </c>
      <c r="G43" s="1006">
        <f>DataBase!G246</f>
        <v>0</v>
      </c>
      <c r="H43" s="1006">
        <f>DataBase!H246</f>
        <v>0</v>
      </c>
      <c r="I43" s="1006">
        <f>DataBase!I246</f>
        <v>0</v>
      </c>
      <c r="J43" s="1006">
        <f>DataBase!J246</f>
        <v>0</v>
      </c>
      <c r="K43" s="1006">
        <f>DataBase!K246</f>
        <v>0</v>
      </c>
      <c r="L43" s="1006">
        <f>DataBase!L246</f>
        <v>0</v>
      </c>
      <c r="M43" s="1006">
        <f>DataBase!M246</f>
        <v>0</v>
      </c>
      <c r="N43" s="1006">
        <f>DataBase!N246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">
      <c r="A44" s="157" t="s">
        <v>304</v>
      </c>
      <c r="B44" s="801"/>
      <c r="C44" s="1006">
        <f>-DataBase!C247</f>
        <v>3</v>
      </c>
      <c r="D44" s="1006">
        <f>-DataBase!D247</f>
        <v>3</v>
      </c>
      <c r="E44" s="1006">
        <f>-DataBase!E247</f>
        <v>3</v>
      </c>
      <c r="F44" s="1006">
        <f>-DataBase!F247</f>
        <v>3</v>
      </c>
      <c r="G44" s="1006">
        <f>-DataBase!G247</f>
        <v>3</v>
      </c>
      <c r="H44" s="1006">
        <f>-DataBase!H247</f>
        <v>3</v>
      </c>
      <c r="I44" s="1006">
        <f>-DataBase!I247</f>
        <v>3</v>
      </c>
      <c r="J44" s="1006">
        <f>-DataBase!J247</f>
        <v>3</v>
      </c>
      <c r="K44" s="1006">
        <f>-DataBase!K247</f>
        <v>3</v>
      </c>
      <c r="L44" s="1006">
        <f>-DataBase!L247</f>
        <v>3</v>
      </c>
      <c r="M44" s="1006">
        <f>-DataBase!M247</f>
        <v>3</v>
      </c>
      <c r="N44" s="1006">
        <f>-DataBase!N247</f>
        <v>3</v>
      </c>
      <c r="O44" s="156">
        <f t="shared" si="9"/>
        <v>36</v>
      </c>
      <c r="P44" s="158">
        <f t="shared" si="10"/>
        <v>24</v>
      </c>
      <c r="Q44" s="156">
        <f t="shared" si="11"/>
        <v>12</v>
      </c>
      <c r="R44" s="156"/>
      <c r="S44" s="156"/>
      <c r="T44" s="156"/>
      <c r="U44" s="156"/>
    </row>
    <row r="45" spans="1:21" x14ac:dyDescent="0.2">
      <c r="A45" s="157" t="s">
        <v>243</v>
      </c>
      <c r="B45" s="800"/>
      <c r="C45" s="1006">
        <f>-DataBase!C121</f>
        <v>0</v>
      </c>
      <c r="D45" s="1006">
        <f>-DataBase!D121</f>
        <v>0</v>
      </c>
      <c r="E45" s="1006">
        <f>-DataBase!E121</f>
        <v>0</v>
      </c>
      <c r="F45" s="1006">
        <f>-DataBase!F121</f>
        <v>0</v>
      </c>
      <c r="G45" s="1006">
        <f>-DataBase!G121</f>
        <v>0</v>
      </c>
      <c r="H45" s="1006">
        <f>-DataBase!H121</f>
        <v>0</v>
      </c>
      <c r="I45" s="1006">
        <f>-DataBase!I121</f>
        <v>0</v>
      </c>
      <c r="J45" s="1006">
        <f>-DataBase!J121</f>
        <v>0</v>
      </c>
      <c r="K45" s="1006">
        <f>-DataBase!K121</f>
        <v>0</v>
      </c>
      <c r="L45" s="1006">
        <f>-DataBase!L121</f>
        <v>0</v>
      </c>
      <c r="M45" s="1006">
        <f>-DataBase!M121</f>
        <v>0</v>
      </c>
      <c r="N45" s="1006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">
      <c r="A46" s="157" t="s">
        <v>244</v>
      </c>
      <c r="B46" s="801"/>
      <c r="C46" s="1006">
        <f>-DataBase!C122</f>
        <v>0</v>
      </c>
      <c r="D46" s="1006">
        <f>-DataBase!D122</f>
        <v>0</v>
      </c>
      <c r="E46" s="1006">
        <f>-DataBase!E122</f>
        <v>0</v>
      </c>
      <c r="F46" s="1006">
        <f>-DataBase!F122</f>
        <v>0</v>
      </c>
      <c r="G46" s="1006">
        <f>-DataBase!G122</f>
        <v>0</v>
      </c>
      <c r="H46" s="1006">
        <f>-DataBase!H122</f>
        <v>0</v>
      </c>
      <c r="I46" s="1006">
        <f>-DataBase!I122</f>
        <v>0</v>
      </c>
      <c r="J46" s="1006">
        <f>-DataBase!J122</f>
        <v>0</v>
      </c>
      <c r="K46" s="1006">
        <f>-DataBase!K122</f>
        <v>0</v>
      </c>
      <c r="L46" s="1006">
        <f>-DataBase!L122</f>
        <v>0</v>
      </c>
      <c r="M46" s="1006">
        <f>-DataBase!M122</f>
        <v>0</v>
      </c>
      <c r="N46" s="1006">
        <f>-DataBase!N122</f>
        <v>0</v>
      </c>
      <c r="O46" s="156">
        <f>SUM(C46:N46)</f>
        <v>0</v>
      </c>
      <c r="P46" s="158">
        <f t="shared" si="10"/>
        <v>0</v>
      </c>
      <c r="Q46" s="156">
        <f>(O46-P46)</f>
        <v>0</v>
      </c>
      <c r="R46" s="156"/>
      <c r="S46" s="156"/>
      <c r="T46" s="156"/>
      <c r="U46" s="156"/>
    </row>
    <row r="47" spans="1:21" x14ac:dyDescent="0.2">
      <c r="A47" s="157" t="s">
        <v>245</v>
      </c>
      <c r="B47" s="800"/>
      <c r="C47" s="1006">
        <f>-DataBase!C123</f>
        <v>0</v>
      </c>
      <c r="D47" s="1006">
        <f>-DataBase!D123</f>
        <v>0</v>
      </c>
      <c r="E47" s="1006">
        <f>-DataBase!E123</f>
        <v>0</v>
      </c>
      <c r="F47" s="1006">
        <f>-DataBase!F123</f>
        <v>0</v>
      </c>
      <c r="G47" s="1006">
        <f>-DataBase!G123</f>
        <v>0</v>
      </c>
      <c r="H47" s="1006">
        <f>-DataBase!H123</f>
        <v>0</v>
      </c>
      <c r="I47" s="1006">
        <f>-DataBase!I123</f>
        <v>0</v>
      </c>
      <c r="J47" s="1006">
        <f>-DataBase!J123</f>
        <v>0</v>
      </c>
      <c r="K47" s="1006">
        <f>-DataBase!K123</f>
        <v>0</v>
      </c>
      <c r="L47" s="1006">
        <f>-DataBase!L123</f>
        <v>0</v>
      </c>
      <c r="M47" s="1006">
        <f>-DataBase!M123</f>
        <v>0</v>
      </c>
      <c r="N47" s="1006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">
      <c r="A48" s="157" t="s">
        <v>48</v>
      </c>
      <c r="B48" s="801"/>
      <c r="C48" s="1006">
        <f>-DataBase!C124</f>
        <v>0</v>
      </c>
      <c r="D48" s="1006">
        <f>-DataBase!D124</f>
        <v>0</v>
      </c>
      <c r="E48" s="1006">
        <f>-DataBase!E124</f>
        <v>0</v>
      </c>
      <c r="F48" s="1006">
        <f>-DataBase!F124</f>
        <v>0</v>
      </c>
      <c r="G48" s="1006">
        <f>-DataBase!G124</f>
        <v>0</v>
      </c>
      <c r="H48" s="1006">
        <f>-DataBase!H124</f>
        <v>0</v>
      </c>
      <c r="I48" s="1006">
        <f>-DataBase!I124</f>
        <v>0</v>
      </c>
      <c r="J48" s="1006">
        <f>-DataBase!J124</f>
        <v>0</v>
      </c>
      <c r="K48" s="1006">
        <f>-DataBase!K124</f>
        <v>0</v>
      </c>
      <c r="L48" s="1006">
        <f>-DataBase!L124</f>
        <v>0</v>
      </c>
      <c r="M48" s="1006">
        <f>-DataBase!M124</f>
        <v>0</v>
      </c>
      <c r="N48" s="1006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">
      <c r="A49" s="157" t="s">
        <v>919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5" customHeight="1" x14ac:dyDescent="0.2">
      <c r="A50" s="155"/>
      <c r="B50" s="800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">
      <c r="A51" s="395" t="s">
        <v>129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24</v>
      </c>
      <c r="Q51" s="161">
        <f t="shared" si="12"/>
        <v>12</v>
      </c>
      <c r="R51" s="162"/>
      <c r="S51" s="162"/>
      <c r="T51" s="156"/>
      <c r="U51" s="156"/>
    </row>
    <row r="52" spans="1:23" ht="12.75" customHeight="1" x14ac:dyDescent="0.2">
      <c r="A52" s="155"/>
      <c r="B52" s="80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">
      <c r="A53" s="395" t="s">
        <v>130</v>
      </c>
      <c r="B53" s="152"/>
      <c r="C53" s="161">
        <f t="shared" ref="C53:Q53" si="13">(C18+C28+C35+C51)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-743</v>
      </c>
      <c r="J53" s="161">
        <f t="shared" si="13"/>
        <v>-741</v>
      </c>
      <c r="K53" s="161">
        <f t="shared" si="13"/>
        <v>-675</v>
      </c>
      <c r="L53" s="161">
        <f t="shared" si="13"/>
        <v>-683</v>
      </c>
      <c r="M53" s="161">
        <f t="shared" si="13"/>
        <v>-680</v>
      </c>
      <c r="N53" s="161">
        <f t="shared" si="13"/>
        <v>-662</v>
      </c>
      <c r="O53" s="161">
        <f t="shared" si="13"/>
        <v>-8523</v>
      </c>
      <c r="P53" s="161">
        <f t="shared" si="13"/>
        <v>-5823</v>
      </c>
      <c r="Q53" s="161">
        <f t="shared" si="13"/>
        <v>-2700</v>
      </c>
      <c r="R53" s="162"/>
      <c r="S53" s="162"/>
      <c r="T53" s="162"/>
      <c r="U53" s="162"/>
      <c r="V53" s="154"/>
      <c r="W53" s="154"/>
    </row>
    <row r="54" spans="1:23" x14ac:dyDescent="0.2">
      <c r="A54" s="155"/>
      <c r="B54" s="800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"/>
    <row r="56" spans="1:23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4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6" workbookViewId="0">
      <pane xSplit="4" ySplit="3" topLeftCell="X9" activePane="bottomRight" state="frozen"/>
      <selection activeCell="N6" sqref="N6"/>
      <selection pane="topRight" activeCell="R6" sqref="R6"/>
      <selection pane="bottomLeft" activeCell="N9" sqref="N9"/>
      <selection pane="bottomRight" activeCell="Y9" sqref="Y9"/>
    </sheetView>
  </sheetViews>
  <sheetFormatPr defaultColWidth="10.7109375" defaultRowHeight="12.75" x14ac:dyDescent="0.2"/>
  <cols>
    <col min="1" max="1" width="5.7109375" style="196" customWidth="1"/>
    <col min="2" max="2" width="45.7109375" style="196" customWidth="1"/>
    <col min="3" max="3" width="8.7109375" style="447" customWidth="1"/>
    <col min="4" max="4" width="2.7109375" style="196" customWidth="1"/>
    <col min="5" max="5" width="11.7109375" style="196" customWidth="1"/>
    <col min="6" max="10" width="10.7109375" style="196" customWidth="1"/>
    <col min="11" max="12" width="10.7109375" style="196"/>
    <col min="13" max="13" width="5.7109375" style="196" customWidth="1"/>
    <col min="14" max="14" width="45.7109375" style="196" customWidth="1"/>
    <col min="15" max="15" width="8.7109375" style="447" customWidth="1"/>
    <col min="16" max="16" width="2.7109375" style="196" customWidth="1"/>
    <col min="17" max="17" width="11.5703125" style="196" customWidth="1"/>
    <col min="18" max="29" width="9.7109375" style="196" customWidth="1"/>
    <col min="30" max="32" width="10.7109375" style="196" customWidth="1"/>
    <col min="33" max="34" width="10.7109375" style="196"/>
    <col min="35" max="35" width="5.7109375" style="196" customWidth="1"/>
    <col min="36" max="36" width="55.7109375" style="196" customWidth="1"/>
    <col min="37" max="37" width="8.7109375" style="447" customWidth="1"/>
    <col min="38" max="38" width="2.7109375" style="196" customWidth="1"/>
    <col min="39" max="49" width="10.7109375" style="196" customWidth="1"/>
    <col min="50" max="51" width="10.7109375" style="196"/>
    <col min="52" max="52" width="5.7109375" style="196" customWidth="1"/>
    <col min="53" max="53" width="45.7109375" style="196" customWidth="1"/>
    <col min="54" max="54" width="1.7109375" style="196" customWidth="1"/>
    <col min="55" max="55" width="6.7109375" style="196" customWidth="1"/>
    <col min="56" max="60" width="9.7109375" style="196" customWidth="1"/>
    <col min="61" max="16384" width="10.7109375" style="196"/>
  </cols>
  <sheetData>
    <row r="1" spans="1:68" ht="12" customHeight="1" x14ac:dyDescent="0.2">
      <c r="A1" s="549" t="str">
        <f ca="1">CELL("FILENAME")</f>
        <v>P:\Finance\2001CE\[TW3rdCEEM.XLS]DataBase</v>
      </c>
      <c r="B1" s="195"/>
      <c r="C1" s="819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P:\Finance\2001CE\[TW3rdCEEM.XLS]DataBase</v>
      </c>
      <c r="N1" s="195"/>
      <c r="O1" s="819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P:\Finance\2001CE\[TW3rdCEEM.XLS]DataBase</v>
      </c>
      <c r="AJ1" s="195"/>
      <c r="AK1" s="819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">
      <c r="A2" s="419" t="s">
        <v>931</v>
      </c>
      <c r="B2" s="195"/>
      <c r="C2" s="819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672</v>
      </c>
      <c r="N2" s="195"/>
      <c r="O2" s="819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673</v>
      </c>
      <c r="AJ2" s="195"/>
      <c r="AK2" s="819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">
      <c r="B3"/>
      <c r="C3" s="820">
        <f ca="1">NOW()</f>
        <v>37154.402539930554</v>
      </c>
      <c r="E3" s="511" t="s">
        <v>674</v>
      </c>
      <c r="F3" s="512"/>
      <c r="G3" s="512"/>
      <c r="H3" s="513"/>
      <c r="I3" s="422"/>
      <c r="J3" s="422"/>
      <c r="N3"/>
      <c r="O3" s="820">
        <f ca="1">NOW()</f>
        <v>37154.402539930554</v>
      </c>
      <c r="U3" s="514" t="str">
        <f>E3</f>
        <v>DEFERRED TAX ITEMS</v>
      </c>
      <c r="V3" s="516"/>
      <c r="W3" s="516"/>
      <c r="X3" s="516"/>
      <c r="AJ3"/>
      <c r="AK3" s="820">
        <f ca="1">NOW()</f>
        <v>37154.402539930554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">
      <c r="B4"/>
      <c r="C4" s="821">
        <f ca="1">NOW()</f>
        <v>37154.402539930554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1">
        <f ca="1">NOW()</f>
        <v>37154.402539930554</v>
      </c>
      <c r="U4" s="514" t="str">
        <f>E4</f>
        <v>(Thousands of Dollars)</v>
      </c>
      <c r="V4" s="516"/>
      <c r="W4" s="516"/>
      <c r="X4" s="517"/>
      <c r="AJ4"/>
      <c r="AK4" s="821">
        <f ca="1">NOW()</f>
        <v>37154.402539930554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25">
      <c r="A6" s="198"/>
      <c r="B6" s="198"/>
      <c r="C6" s="203"/>
      <c r="D6" s="198"/>
      <c r="E6" s="423"/>
      <c r="F6" s="424" t="s">
        <v>675</v>
      </c>
      <c r="G6" s="425"/>
      <c r="H6" s="426" t="s">
        <v>676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014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840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">
      <c r="A7" s="198"/>
      <c r="B7" s="198"/>
      <c r="C7" s="203"/>
      <c r="D7" s="198"/>
      <c r="E7" s="426" t="s">
        <v>677</v>
      </c>
      <c r="F7" s="423"/>
      <c r="G7" s="423"/>
      <c r="H7" s="426" t="s">
        <v>678</v>
      </c>
      <c r="I7" s="435" t="s">
        <v>679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ACT.</v>
      </c>
      <c r="S7" s="205" t="str">
        <f>DataBase!D2</f>
        <v>ACT.</v>
      </c>
      <c r="T7" s="205" t="str">
        <f>DataBase!E2</f>
        <v>ACT.</v>
      </c>
      <c r="U7" s="205" t="str">
        <f>DataBase!F2</f>
        <v>ACT.</v>
      </c>
      <c r="V7" s="205" t="str">
        <f>DataBase!G2</f>
        <v>ACT.</v>
      </c>
      <c r="W7" s="205" t="str">
        <f>DataBase!H2</f>
        <v>ACT.</v>
      </c>
      <c r="X7" s="205" t="str">
        <f>DataBase!I2</f>
        <v>ACT.</v>
      </c>
      <c r="Y7" s="205" t="str">
        <f>DataBase!J2</f>
        <v>ACT.</v>
      </c>
      <c r="Z7" s="205" t="str">
        <f>DataBase!K2</f>
        <v>3rd CE</v>
      </c>
      <c r="AA7" s="205" t="str">
        <f>DataBase!L2</f>
        <v>3rd CE</v>
      </c>
      <c r="AB7" s="205" t="str">
        <f>DataBase!M2</f>
        <v>3rd CE</v>
      </c>
      <c r="AC7" s="205" t="str">
        <f>DataBase!N2</f>
        <v>3rd CE</v>
      </c>
      <c r="AD7" s="205" t="str">
        <f>DataBase!O2</f>
        <v>TOTAL</v>
      </c>
      <c r="AE7" s="205" t="str">
        <f>IncomeState!P6</f>
        <v>AUGUST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1" t="s">
        <v>271</v>
      </c>
      <c r="AN7" s="661" t="s">
        <v>141</v>
      </c>
      <c r="AO7" s="661" t="s">
        <v>270</v>
      </c>
      <c r="AP7" s="449" t="s">
        <v>680</v>
      </c>
      <c r="AQ7" s="450"/>
      <c r="AR7" s="198"/>
      <c r="AS7" s="480"/>
      <c r="AT7" s="480" t="s">
        <v>681</v>
      </c>
      <c r="AU7" s="435" t="s">
        <v>142</v>
      </c>
      <c r="AV7" s="449" t="s">
        <v>680</v>
      </c>
      <c r="AW7" s="450"/>
      <c r="AX7" s="198"/>
      <c r="BO7" s="204"/>
      <c r="BP7" s="204"/>
    </row>
    <row r="8" spans="1:68" ht="12" customHeight="1" x14ac:dyDescent="0.2">
      <c r="A8" s="420" t="s">
        <v>682</v>
      </c>
      <c r="B8" s="429" t="s">
        <v>683</v>
      </c>
      <c r="C8" s="828"/>
      <c r="D8" s="208"/>
      <c r="E8" s="420" t="s">
        <v>684</v>
      </c>
      <c r="F8" s="678" t="s">
        <v>252</v>
      </c>
      <c r="G8" s="678" t="s">
        <v>553</v>
      </c>
      <c r="H8" s="420" t="s">
        <v>685</v>
      </c>
      <c r="I8" s="427" t="s">
        <v>686</v>
      </c>
      <c r="J8" s="434" t="s">
        <v>687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2"/>
      <c r="P8" s="210"/>
      <c r="Q8" s="207" t="str">
        <f t="shared" si="0"/>
        <v>CODE</v>
      </c>
      <c r="R8" s="438" t="s">
        <v>906</v>
      </c>
      <c r="S8" s="438" t="s">
        <v>907</v>
      </c>
      <c r="T8" s="438" t="s">
        <v>908</v>
      </c>
      <c r="U8" s="438" t="s">
        <v>909</v>
      </c>
      <c r="V8" s="438" t="s">
        <v>910</v>
      </c>
      <c r="W8" s="438" t="s">
        <v>911</v>
      </c>
      <c r="X8" s="438" t="s">
        <v>912</v>
      </c>
      <c r="Y8" s="438" t="s">
        <v>913</v>
      </c>
      <c r="Z8" s="438" t="s">
        <v>914</v>
      </c>
      <c r="AA8" s="438" t="s">
        <v>915</v>
      </c>
      <c r="AB8" s="438" t="s">
        <v>916</v>
      </c>
      <c r="AC8" s="438" t="s">
        <v>917</v>
      </c>
      <c r="AD8" s="679">
        <f>IncomeState!O7</f>
        <v>2001</v>
      </c>
      <c r="AE8" s="679" t="str">
        <f>IncomeState!P7</f>
        <v>Y-T-D</v>
      </c>
      <c r="AF8" s="679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8" t="s">
        <v>272</v>
      </c>
      <c r="AN8" s="678" t="s">
        <v>689</v>
      </c>
      <c r="AO8" s="499" t="s">
        <v>688</v>
      </c>
      <c r="AP8" s="499" t="s">
        <v>554</v>
      </c>
      <c r="AQ8" s="678" t="s">
        <v>688</v>
      </c>
      <c r="AR8" s="210"/>
      <c r="AS8" s="428" t="s">
        <v>690</v>
      </c>
      <c r="AT8" s="428" t="s">
        <v>691</v>
      </c>
      <c r="AU8" s="427" t="s">
        <v>689</v>
      </c>
      <c r="AV8" s="428" t="s">
        <v>691</v>
      </c>
      <c r="AW8" s="427" t="s">
        <v>692</v>
      </c>
      <c r="AX8" s="198"/>
      <c r="BO8" s="204"/>
      <c r="BP8" s="204"/>
    </row>
    <row r="9" spans="1:68" ht="12" customHeight="1" x14ac:dyDescent="0.2">
      <c r="A9" s="212" t="s">
        <v>693</v>
      </c>
      <c r="B9" s="430" t="s">
        <v>118</v>
      </c>
      <c r="C9" s="218"/>
      <c r="D9" s="200"/>
      <c r="E9" s="212" t="s">
        <v>694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SUM(R9:Y9)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">
      <c r="A10" s="212" t="s">
        <v>693</v>
      </c>
      <c r="B10" s="430" t="s">
        <v>695</v>
      </c>
      <c r="C10" s="218"/>
      <c r="D10" s="218"/>
      <c r="E10" s="212" t="s">
        <v>694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SUM(R10:Y10)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">
      <c r="A11" s="212" t="s">
        <v>696</v>
      </c>
      <c r="B11" s="430" t="s">
        <v>697</v>
      </c>
      <c r="C11" s="218"/>
      <c r="D11" s="218" t="s">
        <v>698</v>
      </c>
      <c r="E11" s="467" t="s">
        <v>1072</v>
      </c>
      <c r="F11" s="214">
        <v>-8992</v>
      </c>
      <c r="G11" s="214">
        <v>-7766</v>
      </c>
      <c r="H11" s="215">
        <f t="shared" si="3"/>
        <v>-1226</v>
      </c>
      <c r="I11" s="214">
        <v>0</v>
      </c>
      <c r="J11" s="215">
        <f t="shared" si="4"/>
        <v>-1226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-'Fuel-Depr-OtherTax'!C29+'Fuel-Depr-OtherTax'!C24+'Fuel-Depr-OtherTax'!C18+'Fuel-Depr-OtherTax'!C20+91</f>
        <v>-1002</v>
      </c>
      <c r="S11" s="264">
        <f>-'Fuel-Depr-OtherTax'!D29+'Fuel-Depr-OtherTax'!D24+'Fuel-Depr-OtherTax'!D18+'Fuel-Depr-OtherTax'!D20-2</f>
        <v>-1096</v>
      </c>
      <c r="T11" s="264">
        <f>-'Fuel-Depr-OtherTax'!E29+'Fuel-Depr-OtherTax'!E24+'Fuel-Depr-OtherTax'!E18+'Fuel-Depr-OtherTax'!E20-98</f>
        <v>-1166</v>
      </c>
      <c r="U11" s="264">
        <f>-'Fuel-Depr-OtherTax'!F29+'Fuel-Depr-OtherTax'!F24+'Fuel-Depr-OtherTax'!F18+'Fuel-Depr-OtherTax'!F20-2</f>
        <v>-1118</v>
      </c>
      <c r="V11" s="264">
        <f>-'Fuel-Depr-OtherTax'!G29+'Fuel-Depr-OtherTax'!G24+'Fuel-Depr-OtherTax'!G18+'Fuel-Depr-OtherTax'!G20-193</f>
        <v>-1265</v>
      </c>
      <c r="W11" s="264">
        <f>-'Fuel-Depr-OtherTax'!H29+'Fuel-Depr-OtherTax'!H24+'Fuel-Depr-OtherTax'!H18+'Fuel-Depr-OtherTax'!H20-22</f>
        <v>-1203</v>
      </c>
      <c r="X11" s="264">
        <f>-'Fuel-Depr-OtherTax'!I29+'Fuel-Depr-OtherTax'!I24+'Fuel-Depr-OtherTax'!I18+'Fuel-Depr-OtherTax'!I20+205</f>
        <v>-916</v>
      </c>
      <c r="Y11" s="1015">
        <f>-'Fuel-Depr-OtherTax'!J29+'Fuel-Depr-OtherTax'!J24+'Fuel-Depr-OtherTax'!J18+'Fuel-Depr-OtherTax'!J20-85-20</f>
        <v>-1226</v>
      </c>
      <c r="Z11" s="1015">
        <f>-'Fuel-Depr-OtherTax'!K29+'Fuel-Depr-OtherTax'!K24+'Fuel-Depr-OtherTax'!K20</f>
        <v>-1183</v>
      </c>
      <c r="AA11" s="1015">
        <f>-'Fuel-Depr-OtherTax'!L29+'Fuel-Depr-OtherTax'!L24+'Fuel-Depr-OtherTax'!L20</f>
        <v>-1283</v>
      </c>
      <c r="AB11" s="1015">
        <f>-'Fuel-Depr-OtherTax'!M29+'Fuel-Depr-OtherTax'!M24+'Fuel-Depr-OtherTax'!M20</f>
        <v>-1382</v>
      </c>
      <c r="AC11" s="1015">
        <f>-'Fuel-Depr-OtherTax'!N29+'Fuel-Depr-OtherTax'!N24+'Fuel-Depr-OtherTax'!N20</f>
        <v>-1432</v>
      </c>
      <c r="AD11" s="215">
        <f t="shared" si="5"/>
        <v>-14272</v>
      </c>
      <c r="AE11" s="214">
        <f t="shared" si="14"/>
        <v>-8992</v>
      </c>
      <c r="AF11" s="215">
        <f t="shared" si="6"/>
        <v>-5280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-14272</v>
      </c>
      <c r="AN11" s="264">
        <v>-14432</v>
      </c>
      <c r="AO11" s="264">
        <v>-15660</v>
      </c>
      <c r="AP11" s="215">
        <f t="shared" si="10"/>
        <v>160</v>
      </c>
      <c r="AQ11" s="215">
        <f t="shared" si="11"/>
        <v>1388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">
      <c r="A12" s="212" t="s">
        <v>696</v>
      </c>
      <c r="B12" s="430" t="s">
        <v>699</v>
      </c>
      <c r="C12" s="218"/>
      <c r="D12" s="200"/>
      <c r="E12" s="467" t="s">
        <v>1073</v>
      </c>
      <c r="F12" s="214">
        <v>18608</v>
      </c>
      <c r="G12" s="214">
        <v>16282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18608</v>
      </c>
      <c r="AF12" s="215">
        <f t="shared" si="6"/>
        <v>9308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">
      <c r="A13" s="212" t="s">
        <v>696</v>
      </c>
      <c r="B13" s="430" t="s">
        <v>700</v>
      </c>
      <c r="C13" s="218"/>
      <c r="D13" s="200"/>
      <c r="E13" s="212">
        <v>111006</v>
      </c>
      <c r="F13" s="214">
        <v>0</v>
      </c>
      <c r="G13" s="214">
        <v>-74</v>
      </c>
      <c r="H13" s="215">
        <f t="shared" si="3"/>
        <v>74</v>
      </c>
      <c r="I13" s="214">
        <v>0</v>
      </c>
      <c r="J13" s="215">
        <f t="shared" si="4"/>
        <v>74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-'Fuel-Depr-OtherTax'!C18</f>
        <v>-11</v>
      </c>
      <c r="S13" s="215">
        <f>-'Fuel-Depr-OtherTax'!D18</f>
        <v>-10</v>
      </c>
      <c r="T13" s="215">
        <f>-'Fuel-Depr-OtherTax'!E18</f>
        <v>-11</v>
      </c>
      <c r="U13" s="215">
        <f>-'Fuel-Depr-OtherTax'!F18</f>
        <v>-10</v>
      </c>
      <c r="V13" s="215">
        <f>-'Fuel-Depr-OtherTax'!G18</f>
        <v>-11</v>
      </c>
      <c r="W13" s="215">
        <f>-'Fuel-Depr-OtherTax'!H18</f>
        <v>-11</v>
      </c>
      <c r="X13" s="215">
        <f>-'Fuel-Depr-OtherTax'!I18</f>
        <v>-10</v>
      </c>
      <c r="Y13" s="1015">
        <f>-'Fuel-Depr-OtherTax'!J18+85</f>
        <v>74</v>
      </c>
      <c r="Z13" s="1016">
        <v>0</v>
      </c>
      <c r="AA13" s="1016">
        <v>0</v>
      </c>
      <c r="AB13" s="1016">
        <v>0</v>
      </c>
      <c r="AC13" s="1016">
        <v>0</v>
      </c>
      <c r="AD13" s="215">
        <f t="shared" si="5"/>
        <v>0</v>
      </c>
      <c r="AE13" s="214">
        <f t="shared" si="14"/>
        <v>0</v>
      </c>
      <c r="AF13" s="215">
        <f t="shared" si="6"/>
        <v>0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0</v>
      </c>
      <c r="AN13" s="264">
        <v>-127</v>
      </c>
      <c r="AO13" s="264">
        <v>-127</v>
      </c>
      <c r="AP13" s="215">
        <f t="shared" si="10"/>
        <v>127</v>
      </c>
      <c r="AQ13" s="215">
        <f t="shared" si="11"/>
        <v>127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">
      <c r="A14" s="219" t="s">
        <v>696</v>
      </c>
      <c r="B14" s="220" t="s">
        <v>701</v>
      </c>
      <c r="C14" s="219"/>
      <c r="D14" s="215"/>
      <c r="E14" s="212">
        <v>113003</v>
      </c>
      <c r="F14" s="214">
        <v>600</v>
      </c>
      <c r="G14" s="214">
        <v>525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600</v>
      </c>
      <c r="AF14" s="215">
        <f t="shared" si="6"/>
        <v>300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">
      <c r="A15" s="212" t="s">
        <v>696</v>
      </c>
      <c r="B15" s="213" t="s">
        <v>702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">
      <c r="A16" s="212" t="s">
        <v>696</v>
      </c>
      <c r="B16" s="221" t="s">
        <v>703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">
      <c r="A17" s="212" t="s">
        <v>696</v>
      </c>
      <c r="B17" s="221" t="s">
        <v>704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">
      <c r="A18" s="212" t="s">
        <v>696</v>
      </c>
      <c r="B18" s="221" t="s">
        <v>705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2416</v>
      </c>
      <c r="AO18" s="264">
        <v>0</v>
      </c>
      <c r="AP18" s="215">
        <f t="shared" si="10"/>
        <v>0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">
      <c r="A19" s="212" t="s">
        <v>696</v>
      </c>
      <c r="B19" s="430" t="s">
        <v>706</v>
      </c>
      <c r="C19" s="218"/>
      <c r="D19" s="218" t="s">
        <v>698</v>
      </c>
      <c r="E19" s="212" t="s">
        <v>707</v>
      </c>
      <c r="F19" s="214">
        <v>204</v>
      </c>
      <c r="G19" s="214">
        <v>149</v>
      </c>
      <c r="H19" s="215">
        <f t="shared" si="3"/>
        <v>55</v>
      </c>
      <c r="I19" s="214">
        <v>0</v>
      </c>
      <c r="J19" s="215">
        <f t="shared" si="4"/>
        <v>55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-IntDeduct!C31+OtherInc!C28</f>
        <v>18</v>
      </c>
      <c r="S19" s="495">
        <f>-IntDeduct!D31+OtherInc!D28</f>
        <v>17</v>
      </c>
      <c r="T19" s="495">
        <f>-IntDeduct!E31+OtherInc!E28</f>
        <v>14</v>
      </c>
      <c r="U19" s="495">
        <f>-IntDeduct!F31+OtherInc!F28</f>
        <v>12</v>
      </c>
      <c r="V19" s="495">
        <f>-IntDeduct!G31+OtherInc!G28</f>
        <v>12</v>
      </c>
      <c r="W19" s="495">
        <f>-IntDeduct!H31+OtherInc!H28</f>
        <v>18</v>
      </c>
      <c r="X19" s="495">
        <f>-IntDeduct!I31+OtherInc!I28</f>
        <v>58</v>
      </c>
      <c r="Y19" s="495">
        <f>-IntDeduct!J31+OtherInc!J28</f>
        <v>55</v>
      </c>
      <c r="Z19" s="495">
        <f>-IntDeduct!K31+OtherInc!K28</f>
        <v>33</v>
      </c>
      <c r="AA19" s="495">
        <f>-IntDeduct!L31+OtherInc!L28</f>
        <v>20</v>
      </c>
      <c r="AB19" s="495">
        <f>-IntDeduct!M31+OtherInc!M28</f>
        <v>35</v>
      </c>
      <c r="AC19" s="495">
        <f>-IntDeduct!N31+OtherInc!N28</f>
        <v>30</v>
      </c>
      <c r="AD19" s="215">
        <f t="shared" si="5"/>
        <v>322</v>
      </c>
      <c r="AE19" s="214">
        <f t="shared" si="14"/>
        <v>204</v>
      </c>
      <c r="AF19" s="215">
        <f t="shared" si="6"/>
        <v>118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322</v>
      </c>
      <c r="AN19" s="264">
        <v>261</v>
      </c>
      <c r="AO19" s="264">
        <v>180</v>
      </c>
      <c r="AP19" s="215">
        <f t="shared" si="10"/>
        <v>61</v>
      </c>
      <c r="AQ19" s="215">
        <f t="shared" si="11"/>
        <v>142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">
      <c r="A20" s="212" t="s">
        <v>696</v>
      </c>
      <c r="B20" s="430" t="s">
        <v>708</v>
      </c>
      <c r="C20" s="218"/>
      <c r="D20" s="218"/>
      <c r="E20" s="467" t="s">
        <v>709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">
      <c r="A21" s="212" t="s">
        <v>696</v>
      </c>
      <c r="B21" s="431" t="s">
        <v>710</v>
      </c>
      <c r="C21" s="212"/>
      <c r="D21" s="218" t="s">
        <v>698</v>
      </c>
      <c r="E21" s="212" t="s">
        <v>711</v>
      </c>
      <c r="F21" s="214">
        <v>-57</v>
      </c>
      <c r="G21" s="214">
        <v>-50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OtherInc!C29</f>
        <v>-7</v>
      </c>
      <c r="S21" s="495">
        <f>OtherInc!D29</f>
        <v>-7</v>
      </c>
      <c r="T21" s="495">
        <f>OtherInc!E29</f>
        <v>-7</v>
      </c>
      <c r="U21" s="495">
        <f>OtherInc!F29</f>
        <v>-8</v>
      </c>
      <c r="V21" s="495">
        <f>OtherInc!G29</f>
        <v>-7</v>
      </c>
      <c r="W21" s="495">
        <f>OtherInc!H29</f>
        <v>-7</v>
      </c>
      <c r="X21" s="495">
        <f>OtherInc!I29</f>
        <v>-7</v>
      </c>
      <c r="Y21" s="495">
        <f>OtherInc!J29</f>
        <v>-7</v>
      </c>
      <c r="Z21" s="495">
        <f>OtherInc!K29</f>
        <v>-7</v>
      </c>
      <c r="AA21" s="495">
        <f>OtherInc!L29</f>
        <v>-7</v>
      </c>
      <c r="AB21" s="495">
        <f>OtherInc!M29</f>
        <v>-7</v>
      </c>
      <c r="AC21" s="495">
        <f>OtherInc!N29</f>
        <v>-7</v>
      </c>
      <c r="AD21" s="215">
        <f t="shared" si="5"/>
        <v>-85</v>
      </c>
      <c r="AE21" s="214">
        <f t="shared" si="14"/>
        <v>-57</v>
      </c>
      <c r="AF21" s="215">
        <f t="shared" si="6"/>
        <v>-28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-85</v>
      </c>
      <c r="AO21" s="264">
        <v>-24</v>
      </c>
      <c r="AP21" s="215">
        <f t="shared" si="10"/>
        <v>0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">
      <c r="A22" s="212" t="s">
        <v>696</v>
      </c>
      <c r="B22" s="431" t="s">
        <v>839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">
      <c r="A23" s="212" t="s">
        <v>696</v>
      </c>
      <c r="B23" s="431" t="s">
        <v>712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">
      <c r="A24" s="212" t="s">
        <v>696</v>
      </c>
      <c r="B24" s="431" t="s">
        <v>713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">
      <c r="A25" s="212" t="s">
        <v>696</v>
      </c>
      <c r="B25" s="431" t="s">
        <v>714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">
      <c r="A26" s="212" t="s">
        <v>696</v>
      </c>
      <c r="B26" s="431" t="s">
        <v>715</v>
      </c>
      <c r="C26" s="218"/>
      <c r="D26" s="218"/>
      <c r="E26" s="467">
        <v>115005</v>
      </c>
      <c r="F26" s="214">
        <v>-860</v>
      </c>
      <c r="G26" s="214">
        <v>-752</v>
      </c>
      <c r="H26" s="215">
        <f t="shared" si="3"/>
        <v>-108</v>
      </c>
      <c r="I26" s="214">
        <v>0</v>
      </c>
      <c r="J26" s="215">
        <f t="shared" si="4"/>
        <v>-108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-108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-1288</v>
      </c>
      <c r="AE26" s="214">
        <f t="shared" si="14"/>
        <v>-860</v>
      </c>
      <c r="AF26" s="215">
        <f t="shared" si="6"/>
        <v>-428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-1288</v>
      </c>
      <c r="AN26" s="264">
        <v>-1287</v>
      </c>
      <c r="AO26" s="264">
        <v>-1284</v>
      </c>
      <c r="AP26" s="215">
        <f t="shared" si="16"/>
        <v>-1</v>
      </c>
      <c r="AQ26" s="215">
        <f t="shared" si="17"/>
        <v>-4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">
      <c r="A27" s="212" t="s">
        <v>696</v>
      </c>
      <c r="B27" s="430" t="s">
        <v>716</v>
      </c>
      <c r="C27" s="218"/>
      <c r="D27" s="200"/>
      <c r="E27" s="212">
        <v>143002</v>
      </c>
      <c r="F27" s="214">
        <v>-100</v>
      </c>
      <c r="G27" s="214">
        <v>-88</v>
      </c>
      <c r="H27" s="215">
        <f t="shared" si="3"/>
        <v>-12</v>
      </c>
      <c r="I27" s="214">
        <v>0</v>
      </c>
      <c r="J27" s="215">
        <f t="shared" si="4"/>
        <v>-12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-100</v>
      </c>
      <c r="AF27" s="215">
        <f t="shared" si="6"/>
        <v>-50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">
      <c r="A28" s="212" t="s">
        <v>696</v>
      </c>
      <c r="B28" s="431" t="s">
        <v>937</v>
      </c>
      <c r="C28" s="212"/>
      <c r="E28" s="467" t="s">
        <v>936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">
      <c r="A29" s="212" t="s">
        <v>696</v>
      </c>
      <c r="B29" s="430" t="s">
        <v>717</v>
      </c>
      <c r="C29" s="218"/>
      <c r="D29" s="218" t="s">
        <v>698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-109</v>
      </c>
      <c r="AB29" s="215">
        <f t="shared" si="25"/>
        <v>-109</v>
      </c>
      <c r="AC29" s="215">
        <f t="shared" si="25"/>
        <v>-109</v>
      </c>
      <c r="AD29" s="215">
        <f t="shared" si="21"/>
        <v>-1199</v>
      </c>
      <c r="AE29" s="214">
        <f t="shared" si="14"/>
        <v>-872</v>
      </c>
      <c r="AF29" s="215">
        <f t="shared" si="24"/>
        <v>-327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-1199</v>
      </c>
      <c r="AN29" s="264">
        <v>-1172</v>
      </c>
      <c r="AO29" s="264">
        <v>-1171</v>
      </c>
      <c r="AP29" s="215">
        <f t="shared" si="16"/>
        <v>-27</v>
      </c>
      <c r="AQ29" s="215">
        <f t="shared" si="17"/>
        <v>-28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">
      <c r="A30" s="212" t="s">
        <v>696</v>
      </c>
      <c r="B30" s="213" t="s">
        <v>718</v>
      </c>
      <c r="C30" s="218"/>
      <c r="D30" s="218"/>
      <c r="E30" s="467" t="s">
        <v>719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1308</v>
      </c>
      <c r="AA30" s="214">
        <v>0</v>
      </c>
      <c r="AB30" s="214">
        <v>0</v>
      </c>
      <c r="AC30" s="214">
        <v>0</v>
      </c>
      <c r="AD30" s="215">
        <f t="shared" si="21"/>
        <v>1308</v>
      </c>
      <c r="AE30" s="214">
        <f t="shared" si="14"/>
        <v>0</v>
      </c>
      <c r="AF30" s="215">
        <f t="shared" si="24"/>
        <v>1308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1308</v>
      </c>
      <c r="AN30" s="264">
        <v>1200</v>
      </c>
      <c r="AO30" s="264">
        <v>1200</v>
      </c>
      <c r="AP30" s="215">
        <f t="shared" si="16"/>
        <v>108</v>
      </c>
      <c r="AQ30" s="215">
        <f t="shared" si="17"/>
        <v>108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">
      <c r="A31" s="212" t="s">
        <v>696</v>
      </c>
      <c r="B31" s="430" t="s">
        <v>720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">
      <c r="A32" s="212" t="s">
        <v>696</v>
      </c>
      <c r="B32" s="430" t="s">
        <v>721</v>
      </c>
      <c r="C32" s="218"/>
      <c r="D32" s="218" t="s">
        <v>698</v>
      </c>
      <c r="E32" s="467" t="s">
        <v>983</v>
      </c>
      <c r="F32" s="214">
        <v>-32</v>
      </c>
      <c r="G32" s="214">
        <v>-28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-32</v>
      </c>
      <c r="AF32" s="215">
        <f>AD32-AE32</f>
        <v>-16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">
      <c r="A33" s="212" t="s">
        <v>696</v>
      </c>
      <c r="B33" s="213" t="s">
        <v>722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">
      <c r="A34" s="212" t="s">
        <v>696</v>
      </c>
      <c r="B34" s="430" t="s">
        <v>723</v>
      </c>
      <c r="C34" s="218"/>
      <c r="D34" s="200"/>
      <c r="E34" s="212" t="s">
        <v>724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">
      <c r="A35" s="212" t="s">
        <v>696</v>
      </c>
      <c r="B35" s="430" t="s">
        <v>725</v>
      </c>
      <c r="C35" s="218"/>
      <c r="D35" s="218" t="s">
        <v>698</v>
      </c>
      <c r="E35" s="467" t="s">
        <v>726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">
      <c r="A36" s="212" t="s">
        <v>696</v>
      </c>
      <c r="B36" s="430" t="s">
        <v>727</v>
      </c>
      <c r="C36" s="218"/>
      <c r="D36" s="218" t="s">
        <v>698</v>
      </c>
      <c r="E36" s="212" t="s">
        <v>728</v>
      </c>
      <c r="F36" s="214">
        <v>-12683</v>
      </c>
      <c r="G36" s="214">
        <v>-12624</v>
      </c>
      <c r="H36" s="215">
        <f>F36-G36</f>
        <v>-59</v>
      </c>
      <c r="I36" s="214">
        <v>0</v>
      </c>
      <c r="J36" s="215">
        <f>H36-I36</f>
        <v>-59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-44</v>
      </c>
      <c r="Y36" s="215">
        <f t="shared" si="28"/>
        <v>-59</v>
      </c>
      <c r="Z36" s="215">
        <f t="shared" si="28"/>
        <v>244</v>
      </c>
      <c r="AA36" s="215">
        <f t="shared" si="28"/>
        <v>0</v>
      </c>
      <c r="AB36" s="215">
        <f t="shared" si="28"/>
        <v>0</v>
      </c>
      <c r="AC36" s="215">
        <f t="shared" si="28"/>
        <v>-161</v>
      </c>
      <c r="AD36" s="215">
        <f>SUM(R36:AC36)</f>
        <v>-12600</v>
      </c>
      <c r="AE36" s="214">
        <f t="shared" si="14"/>
        <v>-12683</v>
      </c>
      <c r="AF36" s="215">
        <f>AD36-AE36</f>
        <v>83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-12600</v>
      </c>
      <c r="AN36" s="264">
        <v>-300</v>
      </c>
      <c r="AO36" s="264">
        <v>0</v>
      </c>
      <c r="AP36" s="215">
        <f t="shared" si="16"/>
        <v>-12300</v>
      </c>
      <c r="AQ36" s="215">
        <f t="shared" si="17"/>
        <v>-12600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">
      <c r="A37" s="212" t="s">
        <v>696</v>
      </c>
      <c r="B37" s="430" t="s">
        <v>729</v>
      </c>
      <c r="C37" s="218"/>
      <c r="D37" s="218" t="s">
        <v>698</v>
      </c>
      <c r="E37" s="212">
        <v>144024</v>
      </c>
      <c r="F37" s="214">
        <v>-77</v>
      </c>
      <c r="G37" s="214">
        <v>-68</v>
      </c>
      <c r="H37" s="215">
        <f>F37-G37</f>
        <v>-9</v>
      </c>
      <c r="I37" s="214">
        <v>0</v>
      </c>
      <c r="J37" s="215">
        <f>H37-I37</f>
        <v>-9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-9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-117</v>
      </c>
      <c r="AE37" s="214">
        <f t="shared" si="14"/>
        <v>-77</v>
      </c>
      <c r="AF37" s="215">
        <f>AD37-AE37</f>
        <v>-40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-117</v>
      </c>
      <c r="AN37" s="264">
        <v>-118</v>
      </c>
      <c r="AO37" s="264">
        <v>0</v>
      </c>
      <c r="AP37" s="215">
        <f t="shared" si="16"/>
        <v>1</v>
      </c>
      <c r="AQ37" s="215">
        <f t="shared" si="17"/>
        <v>-117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">
      <c r="A38" s="212" t="s">
        <v>696</v>
      </c>
      <c r="B38" s="221" t="s">
        <v>730</v>
      </c>
      <c r="C38" s="212"/>
      <c r="D38" s="200"/>
      <c r="E38" s="467">
        <v>144042</v>
      </c>
      <c r="F38" s="214">
        <v>-242</v>
      </c>
      <c r="G38" s="214">
        <v>-211</v>
      </c>
      <c r="H38" s="215">
        <f t="shared" ref="H38:H46" si="30">F38-G38</f>
        <v>-31</v>
      </c>
      <c r="I38" s="214">
        <v>0</v>
      </c>
      <c r="J38" s="215">
        <f t="shared" ref="J38:J46" si="31">H38-I38</f>
        <v>-31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-31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-362</v>
      </c>
      <c r="AE38" s="214">
        <f t="shared" si="14"/>
        <v>-242</v>
      </c>
      <c r="AF38" s="215">
        <f t="shared" ref="AF38:AF46" si="35">AD38-AE38</f>
        <v>-120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-362</v>
      </c>
      <c r="AN38" s="264">
        <v>-361</v>
      </c>
      <c r="AO38" s="264">
        <v>-360</v>
      </c>
      <c r="AP38" s="215">
        <f>AM38-AN38</f>
        <v>-1</v>
      </c>
      <c r="AQ38" s="215">
        <f>AM38-AO38</f>
        <v>-2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">
      <c r="A39" s="212" t="s">
        <v>696</v>
      </c>
      <c r="B39" s="221" t="s">
        <v>731</v>
      </c>
      <c r="C39" s="212"/>
      <c r="D39" s="200"/>
      <c r="E39" s="467">
        <v>144043</v>
      </c>
      <c r="F39" s="214">
        <v>-336</v>
      </c>
      <c r="G39" s="214">
        <v>-294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-42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-507</v>
      </c>
      <c r="AE39" s="214">
        <f t="shared" si="14"/>
        <v>-336</v>
      </c>
      <c r="AF39" s="215">
        <f t="shared" si="35"/>
        <v>-171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-507</v>
      </c>
      <c r="AN39" s="264">
        <v>-508</v>
      </c>
      <c r="AO39" s="264">
        <v>-508</v>
      </c>
      <c r="AP39" s="215">
        <f>AM39-AN39</f>
        <v>1</v>
      </c>
      <c r="AQ39" s="215">
        <f>AM39-AO39</f>
        <v>1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">
      <c r="A40" s="212" t="s">
        <v>696</v>
      </c>
      <c r="B40" s="431" t="s">
        <v>732</v>
      </c>
      <c r="C40" s="212"/>
      <c r="D40" s="200"/>
      <c r="E40" s="467">
        <v>144044</v>
      </c>
      <c r="F40" s="214">
        <v>-84</v>
      </c>
      <c r="G40" s="214">
        <v>-73</v>
      </c>
      <c r="H40" s="215">
        <f t="shared" si="30"/>
        <v>-11</v>
      </c>
      <c r="I40" s="214">
        <v>0</v>
      </c>
      <c r="J40" s="215">
        <f t="shared" si="31"/>
        <v>-11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-11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-126</v>
      </c>
      <c r="AE40" s="214">
        <f t="shared" si="14"/>
        <v>-84</v>
      </c>
      <c r="AF40" s="215">
        <f t="shared" si="35"/>
        <v>-42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-126</v>
      </c>
      <c r="AN40" s="264">
        <v>-125</v>
      </c>
      <c r="AO40" s="264">
        <v>-122</v>
      </c>
      <c r="AP40" s="215">
        <f t="shared" ref="AP40:AP58" si="43">AM40-AN40</f>
        <v>-1</v>
      </c>
      <c r="AQ40" s="215">
        <f t="shared" ref="AQ40:AQ58" si="44">AM40-AO40</f>
        <v>-4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">
      <c r="A41" s="212" t="s">
        <v>696</v>
      </c>
      <c r="B41" s="431" t="s">
        <v>733</v>
      </c>
      <c r="C41" s="212"/>
      <c r="D41" s="200"/>
      <c r="E41" s="467">
        <v>144045</v>
      </c>
      <c r="F41" s="214">
        <v>-252</v>
      </c>
      <c r="G41" s="214">
        <v>-220</v>
      </c>
      <c r="H41" s="215">
        <f t="shared" si="30"/>
        <v>-32</v>
      </c>
      <c r="I41" s="214">
        <v>0</v>
      </c>
      <c r="J41" s="215">
        <f t="shared" si="31"/>
        <v>-32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-252</v>
      </c>
      <c r="AF41" s="215">
        <f t="shared" si="35"/>
        <v>-126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-378</v>
      </c>
      <c r="AO41" s="264">
        <v>-375</v>
      </c>
      <c r="AP41" s="215">
        <f t="shared" si="43"/>
        <v>0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">
      <c r="A42" s="212" t="s">
        <v>696</v>
      </c>
      <c r="B42" s="431" t="s">
        <v>734</v>
      </c>
      <c r="C42" s="212"/>
      <c r="D42" s="200"/>
      <c r="E42" s="467">
        <v>144046</v>
      </c>
      <c r="F42" s="214">
        <v>-358</v>
      </c>
      <c r="G42" s="214">
        <v>-313</v>
      </c>
      <c r="H42" s="215">
        <f t="shared" si="30"/>
        <v>-45</v>
      </c>
      <c r="I42" s="214">
        <v>0</v>
      </c>
      <c r="J42" s="215">
        <f t="shared" si="31"/>
        <v>-45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-358</v>
      </c>
      <c r="AF42" s="215">
        <f t="shared" si="35"/>
        <v>-179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-537</v>
      </c>
      <c r="AO42" s="264">
        <v>-539</v>
      </c>
      <c r="AP42" s="215">
        <f t="shared" si="43"/>
        <v>0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">
      <c r="A43" s="212" t="s">
        <v>696</v>
      </c>
      <c r="B43" s="431" t="s">
        <v>735</v>
      </c>
      <c r="C43" s="212"/>
      <c r="D43" s="200"/>
      <c r="E43" s="467">
        <v>144047</v>
      </c>
      <c r="F43" s="214">
        <v>-422</v>
      </c>
      <c r="G43" s="214">
        <v>-369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-53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-633</v>
      </c>
      <c r="AE43" s="214">
        <f t="shared" si="14"/>
        <v>-422</v>
      </c>
      <c r="AF43" s="215">
        <f t="shared" si="35"/>
        <v>-211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-633</v>
      </c>
      <c r="AN43" s="264">
        <v>-632</v>
      </c>
      <c r="AO43" s="264">
        <v>-634</v>
      </c>
      <c r="AP43" s="215">
        <f t="shared" si="43"/>
        <v>-1</v>
      </c>
      <c r="AQ43" s="215">
        <f t="shared" si="44"/>
        <v>1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">
      <c r="A44" s="212" t="s">
        <v>696</v>
      </c>
      <c r="B44" s="431" t="s">
        <v>736</v>
      </c>
      <c r="C44" s="212"/>
      <c r="D44" s="200"/>
      <c r="E44" s="467">
        <v>144048</v>
      </c>
      <c r="F44" s="214">
        <v>-85</v>
      </c>
      <c r="G44" s="214">
        <v>-75</v>
      </c>
      <c r="H44" s="215">
        <f t="shared" si="30"/>
        <v>-10</v>
      </c>
      <c r="I44" s="214">
        <v>0</v>
      </c>
      <c r="J44" s="215">
        <f t="shared" si="31"/>
        <v>-10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-10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-127</v>
      </c>
      <c r="AE44" s="214">
        <f t="shared" si="14"/>
        <v>-85</v>
      </c>
      <c r="AF44" s="215">
        <f t="shared" si="35"/>
        <v>-42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-127</v>
      </c>
      <c r="AN44" s="264">
        <v>-128</v>
      </c>
      <c r="AO44" s="264">
        <v>-130</v>
      </c>
      <c r="AP44" s="215">
        <f t="shared" si="43"/>
        <v>1</v>
      </c>
      <c r="AQ44" s="215">
        <f t="shared" si="44"/>
        <v>3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">
      <c r="A45" s="212" t="s">
        <v>696</v>
      </c>
      <c r="B45" s="431" t="s">
        <v>737</v>
      </c>
      <c r="C45" s="212"/>
      <c r="D45" s="200"/>
      <c r="E45" s="467" t="s">
        <v>738</v>
      </c>
      <c r="F45" s="214">
        <v>-56</v>
      </c>
      <c r="G45" s="214">
        <v>-49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-56</v>
      </c>
      <c r="AF45" s="215">
        <f t="shared" si="35"/>
        <v>-28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">
      <c r="A46" s="212" t="s">
        <v>696</v>
      </c>
      <c r="B46" s="430" t="s">
        <v>826</v>
      </c>
      <c r="C46" s="218"/>
      <c r="D46" s="218" t="s">
        <v>698</v>
      </c>
      <c r="E46" s="467" t="s">
        <v>827</v>
      </c>
      <c r="F46" s="214">
        <v>-88</v>
      </c>
      <c r="G46" s="214">
        <v>-88</v>
      </c>
      <c r="H46" s="215">
        <f t="shared" si="30"/>
        <v>0</v>
      </c>
      <c r="I46" s="214">
        <v>0</v>
      </c>
      <c r="J46" s="215">
        <f t="shared" si="31"/>
        <v>0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SUM(OtherInc!C30:C31)</f>
        <v>0</v>
      </c>
      <c r="S46" s="439">
        <f>SUM(OtherInc!D30:D31)</f>
        <v>0</v>
      </c>
      <c r="T46" s="662">
        <f>SUM(OtherInc!E30:E31)+106</f>
        <v>0</v>
      </c>
      <c r="U46" s="439">
        <f>SUM(OtherInc!F30:F31)</f>
        <v>0</v>
      </c>
      <c r="V46" s="662">
        <f>SUM(OtherInc!G30:G31)-106</f>
        <v>-106</v>
      </c>
      <c r="W46" s="439">
        <f>SUM(OtherInc!H30:H31)</f>
        <v>0</v>
      </c>
      <c r="X46" s="439">
        <f>SUM(OtherInc!I30:I31)</f>
        <v>18</v>
      </c>
      <c r="Y46" s="439">
        <f>SUM(OtherInc!J30:J31)</f>
        <v>0</v>
      </c>
      <c r="Z46" s="439">
        <f>SUM(OtherInc!K30:K31)</f>
        <v>0</v>
      </c>
      <c r="AA46" s="439">
        <f>SUM(OtherInc!L30:L31)</f>
        <v>0</v>
      </c>
      <c r="AB46" s="439">
        <f>SUM(OtherInc!M30:M31)</f>
        <v>0</v>
      </c>
      <c r="AC46" s="439">
        <f>SUM(OtherInc!N30:N31)</f>
        <v>0</v>
      </c>
      <c r="AD46" s="215">
        <f t="shared" si="34"/>
        <v>-88</v>
      </c>
      <c r="AE46" s="214">
        <f t="shared" si="14"/>
        <v>-88</v>
      </c>
      <c r="AF46" s="215">
        <f t="shared" si="35"/>
        <v>0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-88</v>
      </c>
      <c r="AN46" s="264">
        <v>-106</v>
      </c>
      <c r="AO46" s="264">
        <v>0</v>
      </c>
      <c r="AP46" s="215">
        <f>AM46-AN46</f>
        <v>18</v>
      </c>
      <c r="AQ46" s="215">
        <f>AM46-AO46</f>
        <v>-88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">
      <c r="A47" s="212" t="s">
        <v>696</v>
      </c>
      <c r="B47" s="430" t="s">
        <v>946</v>
      </c>
      <c r="C47" s="218"/>
      <c r="D47" s="218" t="s">
        <v>698</v>
      </c>
      <c r="E47" s="467" t="s">
        <v>828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2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">
      <c r="A48" s="212" t="s">
        <v>696</v>
      </c>
      <c r="B48" s="430" t="s">
        <v>739</v>
      </c>
      <c r="C48" s="212"/>
      <c r="E48" s="212">
        <v>156005</v>
      </c>
      <c r="F48" s="214">
        <v>-59</v>
      </c>
      <c r="G48" s="214">
        <v>-52</v>
      </c>
      <c r="H48" s="215">
        <f t="shared" si="52"/>
        <v>-7</v>
      </c>
      <c r="I48" s="214">
        <v>0</v>
      </c>
      <c r="J48" s="215">
        <f t="shared" si="53"/>
        <v>-7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-7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-89</v>
      </c>
      <c r="AE48" s="214">
        <f t="shared" si="14"/>
        <v>-59</v>
      </c>
      <c r="AF48" s="215">
        <f t="shared" si="55"/>
        <v>-30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-89</v>
      </c>
      <c r="AN48" s="264">
        <v>-90</v>
      </c>
      <c r="AO48" s="264">
        <v>-87</v>
      </c>
      <c r="AP48" s="215">
        <f t="shared" si="43"/>
        <v>1</v>
      </c>
      <c r="AQ48" s="215">
        <f t="shared" si="44"/>
        <v>-2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">
      <c r="A49" s="212" t="s">
        <v>696</v>
      </c>
      <c r="B49" s="213" t="s">
        <v>740</v>
      </c>
      <c r="C49" s="212"/>
      <c r="D49" s="218" t="s">
        <v>698</v>
      </c>
      <c r="E49" s="212">
        <v>161007</v>
      </c>
      <c r="F49" s="214">
        <v>-302</v>
      </c>
      <c r="G49" s="214">
        <v>-265</v>
      </c>
      <c r="H49" s="215">
        <f t="shared" si="52"/>
        <v>-37</v>
      </c>
      <c r="I49" s="214">
        <v>0</v>
      </c>
      <c r="J49" s="215">
        <f t="shared" si="53"/>
        <v>-37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-37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-453</v>
      </c>
      <c r="AE49" s="214">
        <f t="shared" si="14"/>
        <v>-302</v>
      </c>
      <c r="AF49" s="215">
        <f t="shared" si="55"/>
        <v>-151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-453</v>
      </c>
      <c r="AN49" s="264">
        <v>-454</v>
      </c>
      <c r="AO49" s="264">
        <v>-455</v>
      </c>
      <c r="AP49" s="215">
        <f t="shared" si="43"/>
        <v>1</v>
      </c>
      <c r="AQ49" s="215">
        <f t="shared" si="44"/>
        <v>2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">
      <c r="A50" s="212" t="s">
        <v>696</v>
      </c>
      <c r="B50" s="213" t="s">
        <v>741</v>
      </c>
      <c r="C50" s="218"/>
      <c r="D50" s="218" t="s">
        <v>698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">
      <c r="A51" s="212" t="s">
        <v>696</v>
      </c>
      <c r="B51" s="430" t="s">
        <v>838</v>
      </c>
      <c r="C51" s="218"/>
      <c r="D51" s="218" t="s">
        <v>698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">
      <c r="A52" s="212" t="s">
        <v>696</v>
      </c>
      <c r="B52" s="431" t="s">
        <v>89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">
      <c r="A53" s="212" t="s">
        <v>696</v>
      </c>
      <c r="B53" s="431" t="s">
        <v>742</v>
      </c>
      <c r="C53" s="212"/>
      <c r="D53" s="218" t="s">
        <v>698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">
      <c r="A54" s="212" t="s">
        <v>696</v>
      </c>
      <c r="B54" s="213" t="s">
        <v>743</v>
      </c>
      <c r="C54" s="218"/>
      <c r="D54" s="218" t="s">
        <v>698</v>
      </c>
      <c r="E54" s="467">
        <v>174011</v>
      </c>
      <c r="F54" s="214">
        <v>0</v>
      </c>
      <c r="G54" s="214">
        <v>121</v>
      </c>
      <c r="H54" s="215">
        <f t="shared" si="52"/>
        <v>-121</v>
      </c>
      <c r="I54" s="214">
        <v>0</v>
      </c>
      <c r="J54" s="215">
        <f t="shared" si="53"/>
        <v>-121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-'Fuel-Depr-OtherTax'!C20</f>
        <v>-17</v>
      </c>
      <c r="S54" s="439">
        <f>-'Fuel-Depr-OtherTax'!D20</f>
        <v>17</v>
      </c>
      <c r="T54" s="439">
        <f>-'Fuel-Depr-OtherTax'!E20</f>
        <v>-52</v>
      </c>
      <c r="U54" s="439">
        <f>-'Fuel-Depr-OtherTax'!F20</f>
        <v>-17</v>
      </c>
      <c r="V54" s="662">
        <f>-'Fuel-Depr-OtherTax'!G20+190</f>
        <v>173</v>
      </c>
      <c r="W54" s="662">
        <f>-'Fuel-Depr-OtherTax'!H20+18</f>
        <v>0</v>
      </c>
      <c r="X54" s="662">
        <f>-'Fuel-Depr-OtherTax'!I20+34</f>
        <v>17</v>
      </c>
      <c r="Y54" s="662">
        <f>-'Fuel-Depr-OtherTax'!J20-103</f>
        <v>-121</v>
      </c>
      <c r="Z54" s="439">
        <f>-'Fuel-Depr-OtherTax'!K20</f>
        <v>-17</v>
      </c>
      <c r="AA54" s="439">
        <f>-'Fuel-Depr-OtherTax'!L20</f>
        <v>-17</v>
      </c>
      <c r="AB54" s="439">
        <f>-'Fuel-Depr-OtherTax'!M20</f>
        <v>-18</v>
      </c>
      <c r="AC54" s="439">
        <f>-'Fuel-Depr-OtherTax'!N20</f>
        <v>-18</v>
      </c>
      <c r="AD54" s="215">
        <f t="shared" si="54"/>
        <v>-70</v>
      </c>
      <c r="AE54" s="214">
        <f t="shared" si="14"/>
        <v>0</v>
      </c>
      <c r="AF54" s="215">
        <f t="shared" si="55"/>
        <v>-70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-70</v>
      </c>
      <c r="AN54" s="264">
        <v>-1</v>
      </c>
      <c r="AO54" s="264">
        <v>-209</v>
      </c>
      <c r="AP54" s="215">
        <f t="shared" si="43"/>
        <v>-69</v>
      </c>
      <c r="AQ54" s="215">
        <f t="shared" si="44"/>
        <v>139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">
      <c r="A55" s="212" t="s">
        <v>696</v>
      </c>
      <c r="B55" s="213" t="s">
        <v>744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">
      <c r="A56" s="212" t="s">
        <v>696</v>
      </c>
      <c r="B56" s="430" t="s">
        <v>301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59">
        <v>42</v>
      </c>
      <c r="S56" s="859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">
      <c r="A57" s="212" t="s">
        <v>696</v>
      </c>
      <c r="B57" s="213" t="s">
        <v>745</v>
      </c>
      <c r="C57" s="218"/>
      <c r="D57"/>
      <c r="E57" s="212">
        <v>177038</v>
      </c>
      <c r="F57" s="214">
        <v>-58</v>
      </c>
      <c r="G57" s="214">
        <v>-57</v>
      </c>
      <c r="H57" s="215">
        <f t="shared" si="52"/>
        <v>-1</v>
      </c>
      <c r="I57" s="214">
        <v>0</v>
      </c>
      <c r="J57" s="215">
        <f t="shared" si="53"/>
        <v>-1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1</v>
      </c>
      <c r="Y57" s="495">
        <f t="shared" si="58"/>
        <v>-1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-58</v>
      </c>
      <c r="AE57" s="214">
        <f t="shared" si="14"/>
        <v>-58</v>
      </c>
      <c r="AF57" s="215">
        <f t="shared" si="55"/>
        <v>0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-58</v>
      </c>
      <c r="AN57" s="264">
        <v>-58</v>
      </c>
      <c r="AO57" s="264">
        <v>-60</v>
      </c>
      <c r="AP57" s="215">
        <f t="shared" si="43"/>
        <v>0</v>
      </c>
      <c r="AQ57" s="215">
        <f t="shared" si="44"/>
        <v>2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">
      <c r="A58" s="212" t="s">
        <v>696</v>
      </c>
      <c r="B58" s="430" t="s">
        <v>746</v>
      </c>
      <c r="C58" s="212"/>
      <c r="E58" s="212" t="s">
        <v>694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5" customHeight="1" x14ac:dyDescent="0.2">
      <c r="AE59" s="214"/>
      <c r="AR59"/>
      <c r="BO59" s="204"/>
      <c r="BP59" s="204"/>
    </row>
    <row r="60" spans="1:68" ht="12" customHeight="1" x14ac:dyDescent="0.2">
      <c r="B60" s="430" t="s">
        <v>747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">
      <c r="B61" s="430" t="s">
        <v>748</v>
      </c>
      <c r="C61" s="218"/>
      <c r="D61" s="200"/>
      <c r="F61" s="223">
        <f>SUM(F11:F58)</f>
        <v>-4187</v>
      </c>
      <c r="G61" s="223">
        <f>SUM(G11:G58)</f>
        <v>-4895</v>
      </c>
      <c r="H61" s="223">
        <f>SUM(H11:H58)</f>
        <v>708</v>
      </c>
      <c r="I61" s="223">
        <f>SUM(I11:I58)</f>
        <v>0</v>
      </c>
      <c r="J61" s="223">
        <f>SUM(J11:J58)</f>
        <v>708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1110</v>
      </c>
      <c r="Y61" s="223">
        <f t="shared" si="60"/>
        <v>708</v>
      </c>
      <c r="Z61" s="223">
        <f t="shared" si="60"/>
        <v>2372</v>
      </c>
      <c r="AA61" s="223">
        <f t="shared" si="60"/>
        <v>596</v>
      </c>
      <c r="AB61" s="223">
        <f t="shared" si="60"/>
        <v>-1487</v>
      </c>
      <c r="AC61" s="223">
        <f t="shared" si="60"/>
        <v>297</v>
      </c>
      <c r="AD61" s="223">
        <f t="shared" si="60"/>
        <v>-2409</v>
      </c>
      <c r="AE61" s="223">
        <f t="shared" si="60"/>
        <v>-4187</v>
      </c>
      <c r="AF61" s="223">
        <f t="shared" si="60"/>
        <v>1778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-2409</v>
      </c>
      <c r="AN61" s="223">
        <f>SUM(AN11:AN58)</f>
        <v>9512</v>
      </c>
      <c r="AO61" s="223">
        <f>SUM(AO11:AO58)</f>
        <v>6169</v>
      </c>
      <c r="AP61" s="223">
        <f>SUM(AP11:AP58)</f>
        <v>-11921</v>
      </c>
      <c r="AQ61" s="223">
        <f>SUM(AQ11:AQ58)</f>
        <v>-8578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5" customHeight="1" x14ac:dyDescent="0.2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">
      <c r="B63" s="430" t="s">
        <v>749</v>
      </c>
      <c r="C63" s="218"/>
      <c r="D63" s="200"/>
      <c r="F63" s="223">
        <f>F60+F61</f>
        <v>-4187</v>
      </c>
      <c r="G63" s="223">
        <f>G60+G61</f>
        <v>-4895</v>
      </c>
      <c r="H63" s="223">
        <f>H60+H61</f>
        <v>708</v>
      </c>
      <c r="I63" s="223">
        <f>I60+I61</f>
        <v>0</v>
      </c>
      <c r="J63" s="223">
        <f>J60+J61</f>
        <v>708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1110</v>
      </c>
      <c r="Y63" s="223">
        <f t="shared" si="61"/>
        <v>708</v>
      </c>
      <c r="Z63" s="223">
        <f t="shared" si="61"/>
        <v>2372</v>
      </c>
      <c r="AA63" s="223">
        <f t="shared" si="61"/>
        <v>596</v>
      </c>
      <c r="AB63" s="223">
        <f t="shared" si="61"/>
        <v>-1487</v>
      </c>
      <c r="AC63" s="223">
        <f t="shared" si="61"/>
        <v>297</v>
      </c>
      <c r="AD63" s="223">
        <f t="shared" si="61"/>
        <v>-2409</v>
      </c>
      <c r="AE63" s="223">
        <f t="shared" si="61"/>
        <v>-4187</v>
      </c>
      <c r="AF63" s="223">
        <f t="shared" si="61"/>
        <v>1778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-2409</v>
      </c>
      <c r="AN63" s="223">
        <f>AN60+AN61</f>
        <v>9512</v>
      </c>
      <c r="AO63" s="223">
        <f>AO60+AO61</f>
        <v>6169</v>
      </c>
      <c r="AP63" s="223">
        <f>AP60+AP61</f>
        <v>-11921</v>
      </c>
      <c r="AQ63" s="223">
        <f>AQ60+AQ61</f>
        <v>-8578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">
      <c r="B65" s="431" t="s">
        <v>750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SUM(R65:Y65)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">
      <c r="B66" s="431" t="s">
        <v>751</v>
      </c>
      <c r="C66" s="212"/>
      <c r="F66" s="518">
        <f>ROUND(F61*0.3888,0)</f>
        <v>-1628</v>
      </c>
      <c r="G66" s="518">
        <f>ROUND(G61*0.3888,0)</f>
        <v>-1903</v>
      </c>
      <c r="H66" s="223">
        <f>F66-G66</f>
        <v>275</v>
      </c>
      <c r="I66" s="518">
        <f>ROUND(I61*0.3888,0)</f>
        <v>0</v>
      </c>
      <c r="J66" s="223">
        <f>H66-I66</f>
        <v>275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432</v>
      </c>
      <c r="Y66" s="223">
        <f t="shared" si="62"/>
        <v>275</v>
      </c>
      <c r="Z66" s="223">
        <f t="shared" si="62"/>
        <v>922</v>
      </c>
      <c r="AA66" s="223">
        <f t="shared" si="62"/>
        <v>232</v>
      </c>
      <c r="AB66" s="223">
        <f t="shared" si="62"/>
        <v>-578</v>
      </c>
      <c r="AC66" s="223">
        <f t="shared" si="62"/>
        <v>115</v>
      </c>
      <c r="AD66" s="223">
        <f>SUM(R66:AC66)</f>
        <v>-937</v>
      </c>
      <c r="AE66" s="265">
        <f>SUM(R66:Y66)</f>
        <v>-1628</v>
      </c>
      <c r="AF66" s="223">
        <f>AD66-AE66</f>
        <v>691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-937</v>
      </c>
      <c r="AN66" s="223">
        <f>ROUND(AN61*0.3888,0)</f>
        <v>3698</v>
      </c>
      <c r="AO66" s="266">
        <f>ROUND(AO61*0.3888,0)-1</f>
        <v>2398</v>
      </c>
      <c r="AP66" s="223">
        <f>AM66-AN66</f>
        <v>-4635</v>
      </c>
      <c r="AQ66" s="223">
        <f>AM66-AO66</f>
        <v>-3335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5" customHeight="1" x14ac:dyDescent="0.2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">
      <c r="B68" s="430" t="s">
        <v>752</v>
      </c>
      <c r="C68" s="218"/>
      <c r="D68" s="200"/>
      <c r="F68" s="215">
        <f>F65+F66</f>
        <v>-1628</v>
      </c>
      <c r="G68" s="215">
        <f>G65+G66</f>
        <v>-1903</v>
      </c>
      <c r="H68" s="215">
        <f>H65+H66</f>
        <v>275</v>
      </c>
      <c r="I68" s="215">
        <f>I65+I66</f>
        <v>0</v>
      </c>
      <c r="J68" s="215">
        <f>J65+J66</f>
        <v>275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432</v>
      </c>
      <c r="Y68" s="215">
        <f t="shared" si="63"/>
        <v>275</v>
      </c>
      <c r="Z68" s="215">
        <f t="shared" si="63"/>
        <v>922</v>
      </c>
      <c r="AA68" s="215">
        <f t="shared" si="63"/>
        <v>232</v>
      </c>
      <c r="AB68" s="215">
        <f t="shared" si="63"/>
        <v>-578</v>
      </c>
      <c r="AC68" s="215">
        <f t="shared" si="63"/>
        <v>115</v>
      </c>
      <c r="AD68" s="215">
        <f t="shared" si="63"/>
        <v>-937</v>
      </c>
      <c r="AE68" s="215">
        <f>AE65+AE66</f>
        <v>-1628</v>
      </c>
      <c r="AF68" s="215">
        <f>AF65+AF66</f>
        <v>691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-937</v>
      </c>
      <c r="AN68" s="215">
        <f>+AN65+AN66</f>
        <v>3698</v>
      </c>
      <c r="AO68" s="215">
        <f>+AO65+AO66</f>
        <v>2398</v>
      </c>
      <c r="AP68" s="215">
        <f>+AP65+AP66</f>
        <v>-4635</v>
      </c>
      <c r="AQ68" s="215">
        <f>+AQ65+AQ66</f>
        <v>-3335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">
      <c r="B70" s="432" t="s">
        <v>753</v>
      </c>
      <c r="C70" s="829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3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3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">
      <c r="A71" s="212" t="s">
        <v>696</v>
      </c>
      <c r="B71" s="221" t="s">
        <v>754</v>
      </c>
      <c r="C71" s="218"/>
      <c r="F71" s="214">
        <v>0</v>
      </c>
      <c r="G71" s="214">
        <v>0</v>
      </c>
      <c r="H71" s="215">
        <f t="shared" ref="H71:H79" si="66">F71-G71</f>
        <v>0</v>
      </c>
      <c r="I71" s="214">
        <v>0</v>
      </c>
      <c r="J71" s="215">
        <f t="shared" ref="J71:J79" si="67">H71-I71</f>
        <v>0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-1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SUM(R71:Y71)</f>
        <v>0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0</v>
      </c>
      <c r="AN71" s="264">
        <v>1</v>
      </c>
      <c r="AO71" s="264">
        <v>0</v>
      </c>
      <c r="AP71" s="215">
        <f t="shared" ref="AP71:AP79" si="74">AM71-AN71</f>
        <v>-1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">
      <c r="A72" s="212" t="s">
        <v>696</v>
      </c>
      <c r="B72" s="430" t="s">
        <v>755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">
      <c r="A73" s="212" t="s">
        <v>696</v>
      </c>
      <c r="B73" s="430" t="s">
        <v>756</v>
      </c>
      <c r="C73" s="218"/>
      <c r="D73" s="200"/>
      <c r="F73" s="214">
        <v>-1400</v>
      </c>
      <c r="G73" s="214">
        <v>-1225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ROUND(-'Fuel-Depr-OtherTax'!C24*0.35,0)</f>
        <v>-175</v>
      </c>
      <c r="S73" s="495">
        <f>ROUND(-'Fuel-Depr-OtherTax'!D24*0.35,0)</f>
        <v>-175</v>
      </c>
      <c r="T73" s="495">
        <f>ROUND(-'Fuel-Depr-OtherTax'!E24*0.35,0)</f>
        <v>-175</v>
      </c>
      <c r="U73" s="495">
        <f>ROUND(-'Fuel-Depr-OtherTax'!F24*0.35,0)</f>
        <v>-175</v>
      </c>
      <c r="V73" s="495">
        <f>ROUND(-'Fuel-Depr-OtherTax'!G24*0.35,0)</f>
        <v>-175</v>
      </c>
      <c r="W73" s="495">
        <f>ROUND(-'Fuel-Depr-OtherTax'!H24*0.35,0)</f>
        <v>-175</v>
      </c>
      <c r="X73" s="495">
        <f>ROUND(-'Fuel-Depr-OtherTax'!I24*0.35,0)</f>
        <v>-175</v>
      </c>
      <c r="Y73" s="495">
        <f>ROUND(-'Fuel-Depr-OtherTax'!J24*0.35,0)</f>
        <v>-175</v>
      </c>
      <c r="Z73" s="495">
        <f>ROUND(-'Fuel-Depr-OtherTax'!K24*0.35,0)</f>
        <v>-175</v>
      </c>
      <c r="AA73" s="495">
        <f>ROUND(-'Fuel-Depr-OtherTax'!L24*0.35,0)</f>
        <v>-175</v>
      </c>
      <c r="AB73" s="495">
        <f>ROUND(-'Fuel-Depr-OtherTax'!M24*0.35,0)</f>
        <v>-175</v>
      </c>
      <c r="AC73" s="495">
        <f>ROUND(-'Fuel-Depr-OtherTax'!N24*0.35,0)</f>
        <v>-175</v>
      </c>
      <c r="AD73" s="215">
        <f t="shared" si="69"/>
        <v>-2100</v>
      </c>
      <c r="AE73" s="214">
        <f t="shared" si="70"/>
        <v>-1400</v>
      </c>
      <c r="AF73" s="215">
        <f t="shared" si="71"/>
        <v>-700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">
      <c r="A74" s="212" t="s">
        <v>696</v>
      </c>
      <c r="B74" s="430" t="s">
        <v>945</v>
      </c>
      <c r="C74" s="218"/>
      <c r="D74" s="503" t="s">
        <v>757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2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">
      <c r="A75" s="212" t="s">
        <v>696</v>
      </c>
      <c r="B75" s="431" t="s">
        <v>759</v>
      </c>
      <c r="C75" s="218"/>
      <c r="D75" s="503" t="s">
        <v>757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">
      <c r="A76" s="212" t="s">
        <v>696</v>
      </c>
      <c r="B76" s="430" t="s">
        <v>944</v>
      </c>
      <c r="C76" s="218"/>
      <c r="D76" s="503" t="s">
        <v>757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3200</v>
      </c>
      <c r="AO76" s="264">
        <v>0</v>
      </c>
      <c r="AP76" s="215">
        <f t="shared" si="74"/>
        <v>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">
      <c r="A77" s="212" t="s">
        <v>696</v>
      </c>
      <c r="B77" s="430" t="s">
        <v>758</v>
      </c>
      <c r="C77" s="218"/>
      <c r="D77" s="503" t="s">
        <v>757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">
      <c r="A78" s="212" t="s">
        <v>696</v>
      </c>
      <c r="B78" s="430" t="s">
        <v>746</v>
      </c>
      <c r="C78" s="218"/>
      <c r="D78" s="663" t="s">
        <v>760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">
      <c r="A79" s="212" t="s">
        <v>696</v>
      </c>
      <c r="B79" s="430" t="s">
        <v>761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5" customHeight="1" x14ac:dyDescent="0.2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">
      <c r="B81" s="421" t="s">
        <v>762</v>
      </c>
      <c r="C81" s="819"/>
      <c r="D81" s="195"/>
      <c r="E81" s="198"/>
      <c r="F81" s="227">
        <f>F68+SUM(F71:F79)</f>
        <v>-3028</v>
      </c>
      <c r="G81" s="227">
        <f>G68+SUM(G71:G79)</f>
        <v>-3128</v>
      </c>
      <c r="H81" s="227">
        <f>H68+SUM(H71:H79)</f>
        <v>100</v>
      </c>
      <c r="I81" s="227">
        <f>I68+SUM(I71:I79)</f>
        <v>0</v>
      </c>
      <c r="J81" s="227">
        <f>J68+SUM(J71:J79)</f>
        <v>100</v>
      </c>
      <c r="K81" s="228"/>
      <c r="L81" s="228"/>
      <c r="M81" s="228"/>
      <c r="N81" s="197" t="str">
        <f>B81</f>
        <v xml:space="preserve">      TOTAL DEFERRED TAXES</v>
      </c>
      <c r="O81" s="824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256</v>
      </c>
      <c r="Y81" s="227">
        <f t="shared" si="78"/>
        <v>100</v>
      </c>
      <c r="Z81" s="227">
        <f t="shared" si="78"/>
        <v>747</v>
      </c>
      <c r="AA81" s="227">
        <f t="shared" si="78"/>
        <v>3257</v>
      </c>
      <c r="AB81" s="227">
        <f t="shared" si="78"/>
        <v>-753</v>
      </c>
      <c r="AC81" s="227">
        <f t="shared" si="78"/>
        <v>-60</v>
      </c>
      <c r="AD81" s="227">
        <f t="shared" si="78"/>
        <v>163</v>
      </c>
      <c r="AE81" s="227">
        <f t="shared" si="78"/>
        <v>-3028</v>
      </c>
      <c r="AF81" s="227">
        <f t="shared" si="78"/>
        <v>3191</v>
      </c>
      <c r="AG81" s="230"/>
      <c r="AH81" s="230"/>
      <c r="AI81" s="228"/>
      <c r="AJ81" s="197" t="str">
        <f>B81</f>
        <v xml:space="preserve">      TOTAL DEFERRED TAXES</v>
      </c>
      <c r="AK81" s="824"/>
      <c r="AL81" s="197"/>
      <c r="AM81" s="227">
        <f>AM68+SUM(AM71:AM79)</f>
        <v>163</v>
      </c>
      <c r="AN81" s="227">
        <f>AN68+SUM(AN71:AN79)</f>
        <v>4799</v>
      </c>
      <c r="AO81" s="227">
        <f>AO68+SUM(AO71:AO79)</f>
        <v>298</v>
      </c>
      <c r="AP81" s="227">
        <f>AP68+SUM(AP71:AP79)</f>
        <v>-4636</v>
      </c>
      <c r="AQ81" s="227">
        <f>AQ68+SUM(AQ71:AQ79)</f>
        <v>-135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4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9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">
      <c r="B83" s="433" t="s">
        <v>763</v>
      </c>
      <c r="C83" s="830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4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4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">
      <c r="B84" s="433" t="s">
        <v>764</v>
      </c>
      <c r="C84" s="830"/>
      <c r="D84" s="198"/>
      <c r="E84" s="198"/>
      <c r="F84" s="231">
        <f>F66+SUM(F71:F79)</f>
        <v>-3028</v>
      </c>
      <c r="G84" s="231">
        <f>G66+SUM(G71:G79)</f>
        <v>-3128</v>
      </c>
      <c r="H84" s="231">
        <f>H66+SUM(H71:H79)</f>
        <v>100</v>
      </c>
      <c r="I84" s="231">
        <f>I66+SUM(I71:I79)</f>
        <v>0</v>
      </c>
      <c r="J84" s="231">
        <f>J66+SUM(J71:J79)</f>
        <v>100</v>
      </c>
      <c r="K84" s="228"/>
      <c r="L84" s="228"/>
      <c r="M84" s="228"/>
      <c r="N84" s="197" t="str">
        <f>B84</f>
        <v xml:space="preserve">                                    -  NON-CURRENT</v>
      </c>
      <c r="O84" s="824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256</v>
      </c>
      <c r="Y84" s="231">
        <f t="shared" si="80"/>
        <v>100</v>
      </c>
      <c r="Z84" s="231">
        <f t="shared" si="80"/>
        <v>747</v>
      </c>
      <c r="AA84" s="231">
        <f t="shared" si="80"/>
        <v>3257</v>
      </c>
      <c r="AB84" s="231">
        <f t="shared" si="80"/>
        <v>-753</v>
      </c>
      <c r="AC84" s="231">
        <f t="shared" si="80"/>
        <v>-60</v>
      </c>
      <c r="AD84" s="231">
        <f t="shared" si="80"/>
        <v>163</v>
      </c>
      <c r="AE84" s="231">
        <f t="shared" si="80"/>
        <v>-3028</v>
      </c>
      <c r="AF84" s="231">
        <f t="shared" si="80"/>
        <v>3191</v>
      </c>
      <c r="AG84" s="230"/>
      <c r="AH84" s="230"/>
      <c r="AI84" s="228"/>
      <c r="AJ84" s="197" t="str">
        <f>B84</f>
        <v xml:space="preserve">                                    -  NON-CURRENT</v>
      </c>
      <c r="AK84" s="824"/>
      <c r="AL84" s="197"/>
      <c r="AM84" s="231">
        <f>AM66+SUM(AM71:AM79)</f>
        <v>163</v>
      </c>
      <c r="AN84" s="231">
        <f>AN66+SUM(AN71:AN79)</f>
        <v>4799</v>
      </c>
      <c r="AO84" s="231">
        <f>AO66+SUM(AO71:AO79)</f>
        <v>298</v>
      </c>
      <c r="AP84" s="231">
        <f>AP66+SUM(AP71:AP79)</f>
        <v>-4636</v>
      </c>
      <c r="AQ84" s="231">
        <f>AQ66+SUM(AQ71:AQ79)</f>
        <v>-135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">
      <c r="A86" s="204"/>
      <c r="B86" s="204"/>
      <c r="C86" s="825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3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5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">
      <c r="A87" s="204"/>
      <c r="B87" s="204"/>
      <c r="C87" s="825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ACT.</v>
      </c>
      <c r="Y87" s="205" t="str">
        <f t="shared" si="81"/>
        <v>ACT.</v>
      </c>
      <c r="Z87" s="205" t="str">
        <f t="shared" si="81"/>
        <v>3rd CE</v>
      </c>
      <c r="AA87" s="205" t="str">
        <f t="shared" si="81"/>
        <v>3rd CE</v>
      </c>
      <c r="AB87" s="205" t="str">
        <f t="shared" si="81"/>
        <v>3rd CE</v>
      </c>
      <c r="AC87" s="205" t="str">
        <f t="shared" si="81"/>
        <v>3rd CE</v>
      </c>
      <c r="AD87" s="205" t="str">
        <f t="shared" si="81"/>
        <v>TOTAL</v>
      </c>
      <c r="AE87" s="205" t="str">
        <f t="shared" si="81"/>
        <v>AUGUST</v>
      </c>
      <c r="AF87" s="205" t="str">
        <f t="shared" si="81"/>
        <v>ESTIMATE</v>
      </c>
      <c r="AI87" s="204"/>
      <c r="AJ87" s="204"/>
      <c r="AK87" s="825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">
      <c r="A88" s="204"/>
      <c r="B88" s="204"/>
      <c r="C88" s="825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765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5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">
      <c r="A89" s="204"/>
      <c r="B89" s="204"/>
      <c r="C89" s="825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766</v>
      </c>
      <c r="N89" s="422"/>
      <c r="AI89" s="204"/>
      <c r="AJ89" s="204"/>
      <c r="AK89" s="825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">
      <c r="A90" s="204"/>
      <c r="B90" s="204"/>
      <c r="C90" s="825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767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5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">
      <c r="A91" s="204"/>
      <c r="B91" s="204"/>
      <c r="C91" s="825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768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-1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-1</v>
      </c>
      <c r="AI91" s="204"/>
      <c r="AJ91" s="204"/>
      <c r="AK91" s="825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">
      <c r="A92" s="204"/>
      <c r="B92" s="204"/>
      <c r="C92" s="825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769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-31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-362</v>
      </c>
      <c r="AI92" s="204"/>
      <c r="AJ92" s="204"/>
      <c r="AK92" s="825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">
      <c r="A93" s="204"/>
      <c r="B93" s="204"/>
      <c r="C93" s="825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25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">
      <c r="A94" s="204"/>
      <c r="B94" s="204"/>
      <c r="C94" s="825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770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5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">
      <c r="A95" s="204"/>
      <c r="B95" s="204"/>
      <c r="C95" s="825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771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1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1</v>
      </c>
      <c r="AI95" s="204"/>
      <c r="AJ95" s="204"/>
      <c r="AK95" s="825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">
      <c r="A96" s="204"/>
      <c r="B96" s="204"/>
      <c r="C96" s="825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772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-42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-507</v>
      </c>
      <c r="AI96" s="204"/>
      <c r="AJ96" s="204"/>
      <c r="AK96" s="825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">
      <c r="A97" s="204"/>
      <c r="B97" s="204"/>
      <c r="C97" s="825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25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">
      <c r="A98" s="204"/>
      <c r="B98" s="204"/>
      <c r="C98" s="825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773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5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">
      <c r="A99" s="204"/>
      <c r="B99" s="204"/>
      <c r="C99" s="825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774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-1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-4</v>
      </c>
      <c r="AI99" s="204"/>
      <c r="AJ99" s="204"/>
      <c r="AK99" s="825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">
      <c r="A100" s="204"/>
      <c r="B100" s="204"/>
      <c r="C100" s="825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775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-11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-126</v>
      </c>
      <c r="AI100" s="204"/>
      <c r="AJ100" s="204"/>
      <c r="AK100" s="825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">
      <c r="A101" s="204"/>
      <c r="B101" s="204"/>
      <c r="C101" s="825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25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">
      <c r="A102" s="204"/>
      <c r="B102" s="204"/>
      <c r="C102" s="825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776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5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">
      <c r="A103" s="204"/>
      <c r="B103" s="204"/>
      <c r="C103" s="825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777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25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">
      <c r="A104" s="204"/>
      <c r="B104" s="204"/>
      <c r="C104" s="825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778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25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">
      <c r="A105" s="204"/>
      <c r="B105" s="204"/>
      <c r="C105" s="825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25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">
      <c r="A106" s="204"/>
      <c r="B106" s="204"/>
      <c r="C106" s="825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779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5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">
      <c r="A107" s="204"/>
      <c r="B107" s="204"/>
      <c r="C107" s="825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780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25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">
      <c r="A108" s="204"/>
      <c r="B108" s="204"/>
      <c r="C108" s="825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781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25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">
      <c r="A109" s="204"/>
      <c r="B109" s="204"/>
      <c r="C109" s="825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25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">
      <c r="A110" s="204"/>
      <c r="B110" s="204"/>
      <c r="C110" s="825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782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5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">
      <c r="A111" s="204"/>
      <c r="B111" s="204"/>
      <c r="C111" s="825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783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-1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1</v>
      </c>
      <c r="AI111" s="204"/>
      <c r="AJ111" s="204"/>
      <c r="AK111" s="825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">
      <c r="A112" s="204"/>
      <c r="B112" s="204"/>
      <c r="C112" s="825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784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-53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-633</v>
      </c>
      <c r="AI112" s="204"/>
      <c r="AJ112" s="204"/>
      <c r="AK112" s="825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">
      <c r="A113" s="204"/>
      <c r="B113" s="204"/>
      <c r="C113" s="825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25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">
      <c r="A114" s="204"/>
      <c r="B114" s="204"/>
      <c r="C114" s="825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785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5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">
      <c r="A115" s="204"/>
      <c r="B115" s="204"/>
      <c r="C115" s="825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786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1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3</v>
      </c>
      <c r="AI115" s="204"/>
      <c r="AJ115" s="204"/>
      <c r="AK115" s="825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">
      <c r="A116" s="204"/>
      <c r="B116" s="204"/>
      <c r="C116" s="825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787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-10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-127</v>
      </c>
      <c r="AI116" s="204"/>
      <c r="AJ116" s="204"/>
      <c r="AK116" s="825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">
      <c r="A117" s="204"/>
      <c r="B117" s="204"/>
      <c r="C117" s="825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25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">
      <c r="A118" s="204"/>
      <c r="B118" s="204"/>
      <c r="C118" s="825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788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5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">
      <c r="A119" s="204"/>
      <c r="B119" s="204"/>
      <c r="C119" s="825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123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5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">
      <c r="A120" s="204"/>
      <c r="B120" s="204"/>
      <c r="C120" s="825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789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5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">
      <c r="A121" s="204"/>
      <c r="B121" s="204"/>
      <c r="C121" s="825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25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">
      <c r="A122" s="204"/>
      <c r="B122" s="204"/>
      <c r="C122" s="825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790</v>
      </c>
      <c r="N122" s="422"/>
      <c r="AI122" s="204"/>
      <c r="AJ122" s="204"/>
      <c r="AK122" s="825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">
      <c r="A123" s="235"/>
      <c r="B123" s="204"/>
      <c r="C123" s="825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791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875">
        <f>'Transport-OtherRev'!F30</f>
        <v>0</v>
      </c>
      <c r="V123" s="87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5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">
      <c r="A124" s="235"/>
      <c r="B124" s="204"/>
      <c r="C124" s="825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5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">
      <c r="A125" s="235"/>
      <c r="B125" s="204"/>
      <c r="C125" s="825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793</v>
      </c>
      <c r="P125" s="267"/>
      <c r="R125" s="832">
        <f>'Transport-OtherRev'!C31+'Transport-OtherRev'!C32</f>
        <v>0</v>
      </c>
      <c r="S125" s="832">
        <f>'Transport-OtherRev'!D31+'Transport-OtherRev'!D32</f>
        <v>0</v>
      </c>
      <c r="T125" s="832">
        <f>'Transport-OtherRev'!E31+'Transport-OtherRev'!E32</f>
        <v>-11540</v>
      </c>
      <c r="U125" s="876">
        <f>'Transport-OtherRev'!F31+'Transport-OtherRev'!F32</f>
        <v>-415</v>
      </c>
      <c r="V125" s="876">
        <f>'Transport-OtherRev'!G31+'Transport-OtherRev'!G32</f>
        <v>0</v>
      </c>
      <c r="W125" s="832">
        <f>'Transport-OtherRev'!H31+'Transport-OtherRev'!H32</f>
        <v>-325</v>
      </c>
      <c r="X125" s="832">
        <f>'Transport-OtherRev'!I31+'Transport-OtherRev'!I32</f>
        <v>-8</v>
      </c>
      <c r="Y125" s="832">
        <f>'Transport-OtherRev'!J31+'Transport-OtherRev'!J32</f>
        <v>-244</v>
      </c>
      <c r="Z125" s="832">
        <f>'Transport-OtherRev'!K31+'Transport-OtherRev'!K32</f>
        <v>244</v>
      </c>
      <c r="AA125" s="832">
        <f>'Transport-OtherRev'!L31+'Transport-OtherRev'!L32</f>
        <v>0</v>
      </c>
      <c r="AB125" s="832">
        <f>'Transport-OtherRev'!M31+'Transport-OtherRev'!M32</f>
        <v>0</v>
      </c>
      <c r="AC125" s="832">
        <f>'Transport-OtherRev'!N31+'Transport-OtherRev'!N32</f>
        <v>-161</v>
      </c>
      <c r="AD125" s="215">
        <f t="shared" si="91"/>
        <v>-12449</v>
      </c>
      <c r="AI125" s="204"/>
      <c r="AJ125" s="204"/>
      <c r="AK125" s="825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">
      <c r="A126" s="235"/>
      <c r="B126" s="204"/>
      <c r="C126" s="825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5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">
      <c r="A127" s="204"/>
      <c r="B127" s="204"/>
      <c r="C127" s="825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794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5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">
      <c r="A128" s="235"/>
      <c r="B128" s="204"/>
      <c r="C128" s="825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263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5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">
      <c r="B129" s="204"/>
      <c r="C129" s="825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322</v>
      </c>
      <c r="P129" s="267" t="s">
        <v>792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5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">
      <c r="B130" s="204"/>
      <c r="C130" s="825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265</v>
      </c>
      <c r="P130" s="267" t="s">
        <v>792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5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266</v>
      </c>
      <c r="O131" s="212"/>
      <c r="P131" s="267" t="s">
        <v>792</v>
      </c>
      <c r="R131" s="873">
        <f>-9+9</f>
        <v>0</v>
      </c>
      <c r="S131" s="873">
        <f>-200+200</f>
        <v>0</v>
      </c>
      <c r="T131" s="873">
        <f>-200-84</f>
        <v>-284</v>
      </c>
      <c r="U131" s="265">
        <v>-340</v>
      </c>
      <c r="V131" s="265">
        <v>325</v>
      </c>
      <c r="W131" s="265">
        <v>-1</v>
      </c>
      <c r="X131" s="265">
        <v>-36</v>
      </c>
      <c r="Y131" s="873">
        <f>-5+190</f>
        <v>185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-151</v>
      </c>
      <c r="AI131" s="204"/>
      <c r="AJ131" s="204"/>
      <c r="AK131" s="825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">
      <c r="A132" s="204"/>
      <c r="B132" s="204"/>
      <c r="C132" s="825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-36</v>
      </c>
      <c r="Y132" s="223">
        <f t="shared" si="92"/>
        <v>185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-151</v>
      </c>
      <c r="AI132" s="204"/>
      <c r="AJ132" s="204"/>
      <c r="AK132" s="825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">
      <c r="A133" s="204"/>
      <c r="B133" s="204"/>
      <c r="C133" s="825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25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">
      <c r="A134" s="204"/>
      <c r="B134" s="204"/>
      <c r="C134" s="825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795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6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">
      <c r="A135" s="204"/>
      <c r="B135" s="204"/>
      <c r="C135" s="825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796</v>
      </c>
      <c r="O135" s="218"/>
      <c r="P135" s="267"/>
      <c r="R135" s="214">
        <f>-RegAmort!C32+1</f>
        <v>-9</v>
      </c>
      <c r="S135" s="662">
        <f>-RegAmort!D32</f>
        <v>-10</v>
      </c>
      <c r="T135" s="662">
        <f>-RegAmort!E32</f>
        <v>-10</v>
      </c>
      <c r="U135" s="662">
        <f>-RegAmort!F32</f>
        <v>-10</v>
      </c>
      <c r="V135" s="662">
        <f>-RegAmort!G32+1</f>
        <v>-9</v>
      </c>
      <c r="W135" s="662">
        <f>-RegAmort!H32</f>
        <v>-10</v>
      </c>
      <c r="X135" s="662">
        <f>-RegAmort!I32</f>
        <v>-10</v>
      </c>
      <c r="Y135" s="662">
        <f>-RegAmort!J32+1</f>
        <v>-9</v>
      </c>
      <c r="Z135" s="662">
        <f>-RegAmort!K32</f>
        <v>-10</v>
      </c>
      <c r="AA135" s="662">
        <f>-RegAmort!L32</f>
        <v>-10</v>
      </c>
      <c r="AB135" s="662">
        <f>-RegAmort!M32</f>
        <v>-10</v>
      </c>
      <c r="AC135" s="662">
        <f>-RegAmort!N32</f>
        <v>-10</v>
      </c>
      <c r="AD135" s="215">
        <f t="shared" ref="AD135:AD142" si="93">SUM(R135:AC135)</f>
        <v>-117</v>
      </c>
      <c r="AG135" s="236"/>
      <c r="AI135" s="204"/>
      <c r="AJ135" s="233"/>
      <c r="AK135" s="826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">
      <c r="A136" s="204"/>
      <c r="B136" s="204"/>
      <c r="C136" s="825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797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-109</v>
      </c>
      <c r="AB136" s="215">
        <f>-RegAmort!M33</f>
        <v>-109</v>
      </c>
      <c r="AC136" s="215">
        <f>-RegAmort!N33</f>
        <v>-109</v>
      </c>
      <c r="AD136" s="215">
        <f t="shared" si="93"/>
        <v>-1199</v>
      </c>
      <c r="AI136" s="204"/>
      <c r="AJ136" s="204"/>
      <c r="AK136" s="825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">
      <c r="A137" s="204"/>
      <c r="B137" s="204"/>
      <c r="C137" s="825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837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-RegAmort!J38-1</f>
        <v>-108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-1288</v>
      </c>
      <c r="AG137" s="217"/>
      <c r="AI137" s="204"/>
      <c r="AJ137" s="204"/>
      <c r="AK137" s="825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">
      <c r="A138" s="204"/>
      <c r="B138" s="204"/>
      <c r="C138" s="825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798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5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">
      <c r="A139" s="204"/>
      <c r="B139" s="204"/>
      <c r="C139" s="825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799</v>
      </c>
      <c r="P139" s="267"/>
      <c r="Q139" s="202"/>
      <c r="R139" s="497">
        <f>-RegAmort!C49</f>
        <v>-7</v>
      </c>
      <c r="S139" s="264">
        <f>-RegAmort!D49-1</f>
        <v>-8</v>
      </c>
      <c r="T139" s="497">
        <f>-RegAmort!E49</f>
        <v>-7</v>
      </c>
      <c r="U139" s="264">
        <f>-RegAmort!F49-1</f>
        <v>-8</v>
      </c>
      <c r="V139" s="497">
        <f>-RegAmort!G49</f>
        <v>-7</v>
      </c>
      <c r="W139" s="264">
        <f>-RegAmort!H49-1</f>
        <v>-8</v>
      </c>
      <c r="X139" s="497">
        <f>-RegAmort!I49</f>
        <v>-7</v>
      </c>
      <c r="Y139" s="264">
        <f>-RegAmort!J49+1</f>
        <v>-7</v>
      </c>
      <c r="Z139" s="497">
        <f>-RegAmort!K49</f>
        <v>-7</v>
      </c>
      <c r="AA139" s="497">
        <f>-RegAmort!L49</f>
        <v>-8</v>
      </c>
      <c r="AB139" s="497">
        <f>-RegAmort!M49</f>
        <v>-7</v>
      </c>
      <c r="AC139" s="497">
        <f>-RegAmort!N49</f>
        <v>-8</v>
      </c>
      <c r="AD139" s="215">
        <f t="shared" si="93"/>
        <v>-89</v>
      </c>
      <c r="AI139" s="204"/>
      <c r="AJ139" s="204"/>
      <c r="AK139" s="825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">
      <c r="A140" s="204"/>
      <c r="B140" s="204"/>
      <c r="C140" s="825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800</v>
      </c>
      <c r="P140" s="267"/>
      <c r="Q140" s="202"/>
      <c r="R140" s="497">
        <f>-RegAmort!C50</f>
        <v>-38</v>
      </c>
      <c r="S140" s="497">
        <f>-RegAmort!D50</f>
        <v>-38</v>
      </c>
      <c r="T140" s="264">
        <f>-RegAmort!E50+1</f>
        <v>-37</v>
      </c>
      <c r="U140" s="497">
        <f>-RegAmort!F50</f>
        <v>-38</v>
      </c>
      <c r="V140" s="497">
        <f>-RegAmort!G50</f>
        <v>-38</v>
      </c>
      <c r="W140" s="497">
        <f>-RegAmort!H50</f>
        <v>-38</v>
      </c>
      <c r="X140" s="497">
        <f>-RegAmort!I50</f>
        <v>-38</v>
      </c>
      <c r="Y140" s="264">
        <f>-RegAmort!J50+1</f>
        <v>-37</v>
      </c>
      <c r="Z140" s="497">
        <f>-RegAmort!K50</f>
        <v>-38</v>
      </c>
      <c r="AA140" s="497">
        <f>-RegAmort!L50</f>
        <v>-38</v>
      </c>
      <c r="AB140" s="497">
        <f>-RegAmort!M50</f>
        <v>-38</v>
      </c>
      <c r="AC140" s="497">
        <f>-RegAmort!N50</f>
        <v>-37</v>
      </c>
      <c r="AD140" s="215">
        <f t="shared" si="93"/>
        <v>-453</v>
      </c>
      <c r="AI140" s="204"/>
      <c r="AJ140" s="204"/>
      <c r="AK140" s="825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">
      <c r="A141" s="204"/>
      <c r="B141" s="204"/>
      <c r="C141" s="825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801</v>
      </c>
      <c r="P141" s="267"/>
      <c r="R141" s="497">
        <f>-'O&amp;M'!C17</f>
        <v>-10</v>
      </c>
      <c r="S141" s="497">
        <f>-'O&amp;M'!D17</f>
        <v>-10</v>
      </c>
      <c r="T141" s="264">
        <f>-'O&amp;M'!E17+1</f>
        <v>-38</v>
      </c>
      <c r="U141" s="497">
        <f>-'O&amp;M'!F17</f>
        <v>0</v>
      </c>
      <c r="V141" s="497">
        <f>-'O&amp;M'!G17</f>
        <v>0</v>
      </c>
      <c r="W141" s="497">
        <f>-'O&amp;M'!H17</f>
        <v>0</v>
      </c>
      <c r="X141" s="264">
        <f>-'O&amp;M'!I17+1</f>
        <v>1</v>
      </c>
      <c r="Y141" s="264">
        <f>-'O&amp;M'!J17-1</f>
        <v>-1</v>
      </c>
      <c r="Z141" s="497">
        <f>-'O&amp;M'!K17</f>
        <v>0</v>
      </c>
      <c r="AA141" s="497">
        <f>-'O&amp;M'!L17</f>
        <v>0</v>
      </c>
      <c r="AB141" s="497">
        <f>-'O&amp;M'!M17</f>
        <v>0</v>
      </c>
      <c r="AC141" s="497">
        <f>-'O&amp;M'!N17</f>
        <v>0</v>
      </c>
      <c r="AD141" s="215">
        <f t="shared" si="93"/>
        <v>-58</v>
      </c>
      <c r="AE141" s="215"/>
      <c r="AF141" s="215"/>
      <c r="AG141" s="215"/>
      <c r="AH141" s="215"/>
      <c r="AI141" s="234"/>
      <c r="AJ141" s="234"/>
      <c r="AK141" s="827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">
      <c r="A142" s="204"/>
      <c r="B142" s="204"/>
      <c r="C142" s="825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802</v>
      </c>
      <c r="O142" s="763"/>
      <c r="P142" s="267" t="s">
        <v>792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5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">
      <c r="A143" s="204"/>
      <c r="B143" s="204"/>
      <c r="C143" s="825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25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">
      <c r="A144" s="204"/>
      <c r="B144" s="204"/>
      <c r="C144" s="825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803</v>
      </c>
      <c r="N144" s="422"/>
      <c r="AI144" s="204"/>
      <c r="AJ144" s="204"/>
      <c r="AK144" s="825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">
      <c r="A145" s="204"/>
      <c r="B145" s="204"/>
      <c r="C145" s="825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804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5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">
      <c r="A146" s="204"/>
      <c r="B146" s="204"/>
      <c r="C146" s="825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805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5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">
      <c r="A147" s="204"/>
      <c r="B147" s="204"/>
      <c r="C147" s="825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123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5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">
      <c r="A148" s="204"/>
      <c r="B148" s="204"/>
      <c r="C148" s="825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806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5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">
      <c r="A149" s="204"/>
      <c r="B149" s="204"/>
      <c r="C149" s="825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5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">
      <c r="A150" s="204"/>
      <c r="B150" s="204"/>
      <c r="C150" s="825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25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">
      <c r="A151" s="204"/>
      <c r="B151" s="204"/>
      <c r="C151" s="825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646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11349</v>
      </c>
      <c r="Y151" s="215">
        <f>IncomeState!J49</f>
        <v>10589</v>
      </c>
      <c r="Z151" s="215">
        <f>IncomeState!K49</f>
        <v>10765</v>
      </c>
      <c r="AA151" s="215">
        <f>IncomeState!L49</f>
        <v>9850</v>
      </c>
      <c r="AB151" s="215">
        <f>IncomeState!M49</f>
        <v>9011</v>
      </c>
      <c r="AC151" s="215">
        <f>IncomeState!N49</f>
        <v>9815</v>
      </c>
      <c r="AD151" s="215">
        <f>SUM(R151:AC151)</f>
        <v>127961</v>
      </c>
      <c r="AE151" s="214">
        <f>SUM(R151:Y151)</f>
        <v>88520</v>
      </c>
      <c r="AF151" s="215">
        <f>AD151-AE151</f>
        <v>39441</v>
      </c>
      <c r="AI151" s="204"/>
      <c r="AJ151" s="204"/>
      <c r="AK151" s="825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">
      <c r="A152" s="204"/>
      <c r="B152" s="204"/>
      <c r="C152" s="825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965</v>
      </c>
      <c r="AI152" s="204"/>
      <c r="AJ152" s="204"/>
      <c r="AK152" s="825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">
      <c r="A153" s="204"/>
      <c r="B153" s="204"/>
      <c r="C153" s="825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807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5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">
      <c r="A154" s="204"/>
      <c r="B154" s="204"/>
      <c r="C154" s="825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808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4178</v>
      </c>
      <c r="Y154" s="215">
        <f t="shared" si="95"/>
        <v>4037</v>
      </c>
      <c r="Z154" s="215">
        <f t="shared" si="95"/>
        <v>3460</v>
      </c>
      <c r="AA154" s="215">
        <f t="shared" si="95"/>
        <v>595</v>
      </c>
      <c r="AB154" s="215">
        <f t="shared" si="95"/>
        <v>4278</v>
      </c>
      <c r="AC154" s="215">
        <f t="shared" si="95"/>
        <v>3898</v>
      </c>
      <c r="AD154" s="215">
        <f t="shared" si="95"/>
        <v>49845</v>
      </c>
      <c r="AE154" s="215">
        <f>AE157-AE155</f>
        <v>37614</v>
      </c>
      <c r="AF154" s="215">
        <f>AD154-AE154</f>
        <v>12231</v>
      </c>
      <c r="AI154" s="204"/>
      <c r="AJ154" s="204"/>
      <c r="AK154" s="825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">
      <c r="A155" s="204"/>
      <c r="B155" s="204"/>
      <c r="C155" s="825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809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256</v>
      </c>
      <c r="Y155" s="223">
        <f t="shared" si="96"/>
        <v>100</v>
      </c>
      <c r="Z155" s="223">
        <f t="shared" si="96"/>
        <v>747</v>
      </c>
      <c r="AA155" s="223">
        <f t="shared" si="96"/>
        <v>3257</v>
      </c>
      <c r="AB155" s="223">
        <f t="shared" si="96"/>
        <v>-753</v>
      </c>
      <c r="AC155" s="223">
        <f t="shared" si="96"/>
        <v>-60</v>
      </c>
      <c r="AD155" s="223">
        <f t="shared" si="96"/>
        <v>163</v>
      </c>
      <c r="AE155" s="223">
        <f t="shared" si="96"/>
        <v>-3028</v>
      </c>
      <c r="AF155" s="223">
        <f>AD155-AE155</f>
        <v>3191</v>
      </c>
      <c r="AI155" s="204"/>
      <c r="AJ155" s="204"/>
      <c r="AK155" s="825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5" customHeight="1" x14ac:dyDescent="0.2">
      <c r="A156" s="204"/>
      <c r="B156" s="204"/>
      <c r="C156" s="825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5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">
      <c r="A157" s="204"/>
      <c r="B157" s="204"/>
      <c r="C157" s="825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810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4434</v>
      </c>
      <c r="Y157" s="223">
        <f>IncomeState!J54</f>
        <v>4137</v>
      </c>
      <c r="Z157" s="223">
        <f>IncomeState!K54</f>
        <v>4207</v>
      </c>
      <c r="AA157" s="223">
        <f>IncomeState!L54</f>
        <v>3852</v>
      </c>
      <c r="AB157" s="223">
        <f>IncomeState!M54</f>
        <v>3525</v>
      </c>
      <c r="AC157" s="223">
        <f>IncomeState!N54</f>
        <v>3838</v>
      </c>
      <c r="AD157" s="223">
        <f>SUM(R157:AC157)</f>
        <v>50008</v>
      </c>
      <c r="AE157" s="265">
        <f>SUM(R157:Y157)</f>
        <v>34586</v>
      </c>
      <c r="AF157" s="465">
        <f>SUM(AF154:AF155)</f>
        <v>15422</v>
      </c>
      <c r="AI157" s="204"/>
      <c r="AJ157" s="204"/>
      <c r="AK157" s="825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">
      <c r="A158" s="204"/>
      <c r="B158" s="204"/>
      <c r="C158" s="825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5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">
      <c r="A159" s="204"/>
      <c r="B159" s="204"/>
      <c r="C159" s="825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811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6915</v>
      </c>
      <c r="Y159" s="466">
        <f t="shared" si="97"/>
        <v>6452</v>
      </c>
      <c r="Z159" s="466">
        <f t="shared" si="97"/>
        <v>6558</v>
      </c>
      <c r="AA159" s="466">
        <f t="shared" si="97"/>
        <v>5998</v>
      </c>
      <c r="AB159" s="466">
        <f t="shared" si="97"/>
        <v>5486</v>
      </c>
      <c r="AC159" s="466">
        <f t="shared" si="97"/>
        <v>5977</v>
      </c>
      <c r="AD159" s="466">
        <f t="shared" si="97"/>
        <v>77953</v>
      </c>
      <c r="AE159" s="466">
        <f t="shared" si="97"/>
        <v>53934</v>
      </c>
      <c r="AF159" s="466">
        <f t="shared" si="97"/>
        <v>24019</v>
      </c>
      <c r="AI159" s="204"/>
      <c r="AJ159" s="204"/>
      <c r="AK159" s="825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">
      <c r="A160" s="204"/>
      <c r="B160" s="204"/>
      <c r="C160" s="825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5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">
      <c r="A161" s="204"/>
      <c r="B161" s="204"/>
      <c r="C161" s="825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5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">
      <c r="A162" s="204"/>
      <c r="B162" s="204"/>
      <c r="C162" s="825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5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">
      <c r="A163" s="204"/>
      <c r="B163" s="204"/>
      <c r="C163" s="825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5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">
      <c r="A164" s="204"/>
      <c r="B164" s="204"/>
      <c r="C164" s="825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5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">
      <c r="A165" s="204"/>
      <c r="B165" s="204"/>
      <c r="C165" s="825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5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">
      <c r="A166" s="204"/>
      <c r="B166" s="204"/>
      <c r="C166" s="825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5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">
      <c r="A167" s="204"/>
      <c r="B167" s="204"/>
      <c r="C167" s="825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5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">
      <c r="A168" s="204"/>
      <c r="B168" s="204"/>
      <c r="C168" s="825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5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">
      <c r="A169" s="204"/>
      <c r="B169" s="204"/>
      <c r="C169" s="825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5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">
      <c r="A170" s="204"/>
      <c r="B170" s="204"/>
      <c r="C170" s="825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5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">
      <c r="A171" s="204"/>
      <c r="B171" s="204"/>
      <c r="C171" s="825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5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">
      <c r="A172" s="204"/>
      <c r="B172" s="204"/>
      <c r="C172" s="825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5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">
      <c r="A173" s="204"/>
      <c r="B173" s="204"/>
      <c r="C173" s="825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5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5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">
      <c r="A174" s="204"/>
      <c r="B174" s="204"/>
      <c r="C174" s="825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5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5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">
      <c r="A175" s="204"/>
      <c r="B175" s="204"/>
      <c r="C175" s="825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5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5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">
      <c r="A176" s="204"/>
      <c r="B176" s="204"/>
      <c r="C176" s="825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5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5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">
      <c r="A177" s="204"/>
      <c r="B177" s="204"/>
      <c r="C177" s="825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5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5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">
      <c r="A178" s="204"/>
      <c r="B178" s="204"/>
      <c r="C178" s="825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5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5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">
      <c r="A179" s="204"/>
      <c r="B179" s="204"/>
      <c r="C179" s="825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5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5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">
      <c r="A180" s="204"/>
      <c r="B180" s="204"/>
      <c r="C180" s="825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5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5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">
      <c r="A181" s="204"/>
      <c r="B181" s="204"/>
      <c r="C181" s="825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5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5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">
      <c r="A182" s="204"/>
      <c r="B182" s="204"/>
      <c r="C182" s="825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5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5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">
      <c r="A183" s="204"/>
      <c r="B183" s="204"/>
      <c r="C183" s="825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5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5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">
      <c r="A184" s="204"/>
      <c r="B184" s="204"/>
      <c r="C184" s="825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5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5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">
      <c r="A185" s="204"/>
      <c r="B185" s="204"/>
      <c r="C185" s="825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5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5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">
      <c r="A186" s="204"/>
      <c r="B186" s="204"/>
      <c r="C186" s="825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5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5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">
      <c r="A187" s="204"/>
      <c r="B187" s="204"/>
      <c r="C187" s="825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5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5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">
      <c r="A188" s="204"/>
      <c r="B188" s="204"/>
      <c r="C188" s="825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5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5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">
      <c r="A189" s="204"/>
      <c r="B189" s="204"/>
      <c r="C189" s="825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5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5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">
      <c r="A190" s="204"/>
      <c r="B190" s="204"/>
      <c r="C190" s="825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5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5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">
      <c r="A191" s="204"/>
      <c r="B191" s="204"/>
      <c r="C191" s="825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5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5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">
      <c r="A192" s="204"/>
      <c r="B192" s="204"/>
      <c r="C192" s="825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5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5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">
      <c r="A193" s="204"/>
      <c r="B193" s="204"/>
      <c r="C193" s="825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5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5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">
      <c r="A194" s="204"/>
      <c r="B194" s="204"/>
      <c r="C194" s="825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5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5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">
      <c r="A195" s="204"/>
      <c r="B195" s="204"/>
      <c r="C195" s="825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5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5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">
      <c r="A196" s="204"/>
      <c r="B196" s="204"/>
      <c r="C196" s="825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5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5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">
      <c r="A197" s="204"/>
      <c r="B197" s="204"/>
      <c r="C197" s="825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5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5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">
      <c r="A198" s="204"/>
      <c r="B198" s="204"/>
      <c r="C198" s="825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5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5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">
      <c r="A199" s="204"/>
      <c r="B199" s="204"/>
      <c r="C199" s="825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5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5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">
      <c r="A200" s="204"/>
      <c r="B200" s="204"/>
      <c r="C200" s="825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5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5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">
      <c r="A201" s="204"/>
      <c r="B201" s="204"/>
      <c r="C201" s="825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5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5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">
      <c r="A202" s="204"/>
      <c r="B202" s="204"/>
      <c r="C202" s="825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5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5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">
      <c r="A203" s="204"/>
      <c r="B203" s="204"/>
      <c r="C203" s="825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5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5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">
      <c r="A204" s="204"/>
      <c r="B204" s="204"/>
      <c r="C204" s="825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5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5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">
      <c r="A205" s="204"/>
      <c r="B205" s="204"/>
      <c r="C205" s="825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5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5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">
      <c r="A206" s="204"/>
      <c r="B206" s="204"/>
      <c r="C206" s="825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5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5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">
      <c r="A207" s="204"/>
      <c r="B207" s="204"/>
      <c r="C207" s="825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5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5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">
      <c r="A208" s="204"/>
      <c r="B208" s="204"/>
      <c r="C208" s="825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5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5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">
      <c r="A209" s="204"/>
      <c r="B209" s="204"/>
      <c r="C209" s="825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5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5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">
      <c r="A210" s="204"/>
      <c r="B210" s="204"/>
      <c r="C210" s="825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5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5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">
      <c r="A211" s="204"/>
      <c r="B211" s="204"/>
      <c r="C211" s="825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5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5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">
      <c r="A212" s="204"/>
      <c r="B212" s="204"/>
      <c r="C212" s="825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5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5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">
      <c r="A213" s="204"/>
      <c r="B213" s="204"/>
      <c r="C213" s="825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5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5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">
      <c r="A214" s="204"/>
      <c r="B214" s="204"/>
      <c r="C214" s="825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5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5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">
      <c r="A215" s="204"/>
      <c r="B215" s="204"/>
      <c r="C215" s="825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5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5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">
      <c r="A216" s="204"/>
      <c r="B216" s="204"/>
      <c r="C216" s="825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5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5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">
      <c r="A217" s="204"/>
      <c r="B217" s="204"/>
      <c r="C217" s="825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5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5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">
      <c r="A218" s="204"/>
      <c r="B218" s="204"/>
      <c r="C218" s="825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5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5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">
      <c r="A219" s="204"/>
      <c r="B219" s="204"/>
      <c r="C219" s="825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5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5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">
      <c r="A220" s="204"/>
      <c r="B220" s="204"/>
      <c r="C220" s="825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5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5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">
      <c r="A221" s="204"/>
      <c r="B221" s="204"/>
      <c r="C221" s="825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5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5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">
      <c r="A222" s="204"/>
      <c r="B222" s="204"/>
      <c r="C222" s="825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5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5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">
      <c r="A223" s="204"/>
      <c r="B223" s="204"/>
      <c r="C223" s="825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5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5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">
      <c r="A224" s="204"/>
      <c r="B224" s="204"/>
      <c r="C224" s="825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5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5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">
      <c r="A225" s="204"/>
      <c r="B225" s="204"/>
      <c r="C225" s="825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5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5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">
      <c r="A226" s="204"/>
      <c r="B226" s="204"/>
      <c r="C226" s="825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5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5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">
      <c r="A227" s="204"/>
      <c r="B227" s="204"/>
      <c r="C227" s="825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5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5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">
      <c r="A228" s="204"/>
      <c r="B228" s="204"/>
      <c r="C228" s="825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5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5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">
      <c r="A229" s="204"/>
      <c r="B229" s="204"/>
      <c r="C229" s="825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5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5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">
      <c r="A230" s="204"/>
      <c r="B230" s="204"/>
      <c r="C230" s="825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5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5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">
      <c r="A231" s="204"/>
      <c r="B231" s="204"/>
      <c r="C231" s="825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5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5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">
      <c r="A232" s="204"/>
      <c r="B232" s="204"/>
      <c r="C232" s="825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5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5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">
      <c r="A233" s="204"/>
      <c r="B233" s="204"/>
      <c r="C233" s="825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5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5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">
      <c r="A234" s="204"/>
      <c r="B234" s="204"/>
      <c r="C234" s="825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5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5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">
      <c r="A235" s="204"/>
      <c r="B235" s="204"/>
      <c r="C235" s="825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5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5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">
      <c r="A236" s="204"/>
      <c r="B236" s="204"/>
      <c r="C236" s="825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5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5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">
      <c r="A237" s="204"/>
      <c r="B237" s="204"/>
      <c r="C237" s="825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5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5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">
      <c r="A238" s="204"/>
      <c r="B238" s="204"/>
      <c r="C238" s="825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5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5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">
      <c r="A239" s="204"/>
      <c r="B239" s="204"/>
      <c r="C239" s="825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5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5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">
      <c r="A240" s="204"/>
      <c r="B240" s="204"/>
      <c r="C240" s="825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5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5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">
      <c r="A241" s="204"/>
      <c r="B241" s="204"/>
      <c r="C241" s="825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5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5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">
      <c r="A242" s="204"/>
      <c r="B242" s="204"/>
      <c r="C242" s="825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5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5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">
      <c r="A243" s="204"/>
      <c r="B243" s="204"/>
      <c r="C243" s="825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5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5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">
      <c r="A244" s="204"/>
      <c r="B244" s="204"/>
      <c r="C244" s="825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5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5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">
      <c r="A245" s="204"/>
      <c r="B245" s="204"/>
      <c r="C245" s="825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5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5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">
      <c r="A246" s="204"/>
      <c r="B246" s="204"/>
      <c r="C246" s="825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5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5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">
      <c r="A247" s="204"/>
      <c r="B247" s="204"/>
      <c r="C247" s="825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5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5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">
      <c r="A248" s="204"/>
      <c r="B248" s="204"/>
      <c r="C248" s="825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5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5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">
      <c r="A249" s="204"/>
      <c r="B249" s="204"/>
      <c r="C249" s="825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5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5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">
      <c r="A250" s="204"/>
      <c r="B250" s="204"/>
      <c r="C250" s="825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5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5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">
      <c r="A251" s="204"/>
      <c r="B251" s="204"/>
      <c r="C251" s="825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5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5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">
      <c r="A252" s="204"/>
      <c r="B252" s="204"/>
      <c r="C252" s="825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5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5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">
      <c r="A253" s="204"/>
      <c r="B253" s="204"/>
      <c r="C253" s="825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5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5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">
      <c r="A254" s="204"/>
      <c r="B254" s="204"/>
      <c r="C254" s="825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5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5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">
      <c r="A255" s="204"/>
      <c r="B255" s="204"/>
      <c r="C255" s="825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5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5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">
      <c r="A256" s="204"/>
      <c r="B256" s="204"/>
      <c r="C256" s="825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5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5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">
      <c r="A257" s="204"/>
      <c r="B257" s="204"/>
      <c r="C257" s="825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5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5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">
      <c r="A258" s="204"/>
      <c r="B258" s="204"/>
      <c r="C258" s="825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5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5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">
      <c r="A259" s="204"/>
      <c r="B259" s="204"/>
      <c r="C259" s="825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5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5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">
      <c r="A260" s="204"/>
      <c r="B260" s="204"/>
      <c r="C260" s="825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5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5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">
      <c r="A261" s="204"/>
      <c r="B261" s="204"/>
      <c r="C261" s="825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5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5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">
      <c r="A262" s="204"/>
      <c r="B262" s="204"/>
      <c r="C262" s="825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5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5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">
      <c r="A263" s="204"/>
      <c r="B263" s="204"/>
      <c r="C263" s="825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5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5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">
      <c r="A264" s="204"/>
      <c r="B264" s="204"/>
      <c r="C264" s="825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5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5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">
      <c r="A265" s="204"/>
      <c r="B265" s="204"/>
      <c r="C265" s="825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5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5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">
      <c r="A266" s="204"/>
      <c r="B266" s="204"/>
      <c r="C266" s="825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5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5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">
      <c r="A267" s="204"/>
      <c r="B267" s="204"/>
      <c r="C267" s="825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5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5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">
      <c r="A268" s="204"/>
      <c r="B268" s="204"/>
      <c r="C268" s="825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5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5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">
      <c r="A269" s="204"/>
      <c r="B269" s="204"/>
      <c r="C269" s="825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5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5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">
      <c r="A270" s="204"/>
      <c r="B270" s="204"/>
      <c r="C270" s="825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5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5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">
      <c r="A271" s="204"/>
      <c r="B271" s="204"/>
      <c r="C271" s="825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5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5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">
      <c r="A272" s="204"/>
      <c r="B272" s="204"/>
      <c r="C272" s="825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5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5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">
      <c r="A273" s="204"/>
      <c r="B273" s="204"/>
      <c r="C273" s="825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5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5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">
      <c r="A274" s="204"/>
      <c r="B274" s="204"/>
      <c r="C274" s="825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5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5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">
      <c r="A275" s="204"/>
      <c r="B275" s="204"/>
      <c r="C275" s="825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5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5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">
      <c r="A276" s="204"/>
      <c r="B276" s="204"/>
      <c r="C276" s="825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5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5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">
      <c r="A277" s="204"/>
      <c r="B277" s="204"/>
      <c r="C277" s="825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5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5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">
      <c r="A278" s="204"/>
      <c r="B278" s="204"/>
      <c r="C278" s="825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5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5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">
      <c r="A279" s="204"/>
      <c r="B279" s="204"/>
      <c r="C279" s="825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5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5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">
      <c r="A280" s="204"/>
      <c r="B280" s="204"/>
      <c r="C280" s="825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5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5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">
      <c r="A281" s="204"/>
      <c r="B281" s="204"/>
      <c r="C281" s="825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5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5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">
      <c r="A282" s="204"/>
      <c r="B282" s="204"/>
      <c r="C282" s="825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5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5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">
      <c r="A283" s="204"/>
      <c r="B283" s="204"/>
      <c r="C283" s="825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5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5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">
      <c r="A284" s="204"/>
      <c r="B284" s="204"/>
      <c r="C284" s="825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5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5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">
      <c r="A285" s="204"/>
      <c r="B285" s="204"/>
      <c r="C285" s="825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5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5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">
      <c r="A286" s="204"/>
      <c r="B286" s="204"/>
      <c r="C286" s="825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5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5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">
      <c r="A287" s="204"/>
      <c r="B287" s="204"/>
      <c r="C287" s="825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5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5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">
      <c r="A288" s="204"/>
      <c r="B288" s="204"/>
      <c r="C288" s="825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5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5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">
      <c r="A289" s="204"/>
      <c r="B289" s="204"/>
      <c r="C289" s="825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5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5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">
      <c r="A290" s="204"/>
      <c r="B290" s="204"/>
      <c r="C290" s="825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5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5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">
      <c r="A291" s="204"/>
      <c r="B291" s="204"/>
      <c r="C291" s="825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5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5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">
      <c r="A292" s="204"/>
      <c r="B292" s="204"/>
      <c r="C292" s="825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5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5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">
      <c r="A293" s="204"/>
      <c r="B293" s="204"/>
      <c r="C293" s="825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5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5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">
      <c r="A294" s="204"/>
      <c r="B294" s="204"/>
      <c r="C294" s="825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5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5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">
      <c r="A295" s="204"/>
      <c r="B295" s="204"/>
      <c r="C295" s="825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5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5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">
      <c r="A296" s="204"/>
      <c r="B296" s="204"/>
      <c r="C296" s="825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5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5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">
      <c r="A297" s="204"/>
      <c r="B297" s="204"/>
      <c r="C297" s="825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5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5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">
      <c r="A298" s="204"/>
      <c r="B298" s="204"/>
      <c r="C298" s="825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5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5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">
      <c r="A299" s="204"/>
      <c r="B299" s="204"/>
      <c r="C299" s="825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5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5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">
      <c r="A300" s="204"/>
      <c r="B300" s="204"/>
      <c r="C300" s="825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5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5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">
      <c r="A301" s="204"/>
      <c r="B301" s="204"/>
      <c r="C301" s="825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5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5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">
      <c r="A302" s="204"/>
      <c r="B302" s="204"/>
      <c r="C302" s="825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5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5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">
      <c r="A303" s="204"/>
      <c r="B303" s="204"/>
      <c r="C303" s="825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5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5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">
      <c r="A304" s="204"/>
      <c r="B304" s="204"/>
      <c r="C304" s="825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5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5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">
      <c r="A305" s="204"/>
      <c r="B305" s="204"/>
      <c r="C305" s="825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5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5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">
      <c r="A306" s="204"/>
      <c r="B306" s="204"/>
      <c r="C306" s="825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5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5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">
      <c r="A307" s="204"/>
      <c r="B307" s="204"/>
      <c r="C307" s="825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5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5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">
      <c r="A308" s="204"/>
      <c r="B308" s="204"/>
      <c r="C308" s="825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5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5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">
      <c r="A309" s="204"/>
      <c r="B309" s="204"/>
      <c r="C309" s="825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5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5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">
      <c r="A310" s="204"/>
      <c r="B310" s="204"/>
      <c r="C310" s="825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5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5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">
      <c r="A311" s="204"/>
      <c r="B311" s="204"/>
      <c r="C311" s="825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5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5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">
      <c r="A312" s="204"/>
      <c r="B312" s="204"/>
      <c r="C312" s="825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5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5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">
      <c r="A313" s="204"/>
      <c r="B313" s="204"/>
      <c r="C313" s="825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5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5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">
      <c r="A314" s="204"/>
      <c r="B314" s="204"/>
      <c r="C314" s="825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5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5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">
      <c r="A315" s="204"/>
      <c r="B315" s="204"/>
      <c r="C315" s="825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5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5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">
      <c r="A316" s="204"/>
      <c r="B316" s="204"/>
      <c r="C316" s="825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5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5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">
      <c r="A317" s="204"/>
      <c r="B317" s="204"/>
      <c r="C317" s="825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5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5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">
      <c r="A318" s="204"/>
      <c r="B318" s="204"/>
      <c r="C318" s="825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5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5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">
      <c r="A319" s="204"/>
      <c r="B319" s="204"/>
      <c r="C319" s="825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5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5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">
      <c r="A320" s="204"/>
      <c r="B320" s="204"/>
      <c r="C320" s="825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5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5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">
      <c r="A321" s="204"/>
      <c r="B321" s="204"/>
      <c r="C321" s="825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5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5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">
      <c r="A322" s="204"/>
      <c r="B322" s="204"/>
      <c r="C322" s="825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5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5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">
      <c r="A323" s="204"/>
      <c r="B323" s="204"/>
      <c r="C323" s="825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5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5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">
      <c r="A324" s="204"/>
      <c r="B324" s="204"/>
      <c r="C324" s="825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5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5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">
      <c r="A325" s="204"/>
      <c r="B325" s="204"/>
      <c r="C325" s="825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5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5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">
      <c r="A326" s="204"/>
      <c r="B326" s="204"/>
      <c r="C326" s="825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5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5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">
      <c r="A327" s="204"/>
      <c r="B327" s="204"/>
      <c r="C327" s="825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5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5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">
      <c r="A328" s="204"/>
      <c r="B328" s="204"/>
      <c r="C328" s="825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5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5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">
      <c r="A329" s="204"/>
      <c r="B329" s="204"/>
      <c r="C329" s="825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5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5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">
      <c r="A330" s="204"/>
      <c r="B330" s="204"/>
      <c r="C330" s="825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5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5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">
      <c r="A331" s="204"/>
      <c r="B331" s="204"/>
      <c r="C331" s="825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5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5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">
      <c r="A332" s="204"/>
      <c r="B332" s="204"/>
      <c r="C332" s="825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5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5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">
      <c r="A333" s="204"/>
      <c r="B333" s="204"/>
      <c r="C333" s="825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5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5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">
      <c r="A334" s="204"/>
      <c r="B334" s="204"/>
      <c r="C334" s="825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5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5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">
      <c r="A335" s="204"/>
      <c r="B335" s="204"/>
      <c r="C335" s="825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5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5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">
      <c r="A336" s="204"/>
      <c r="B336" s="204"/>
      <c r="C336" s="825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5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5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">
      <c r="A337" s="204"/>
      <c r="B337" s="204"/>
      <c r="C337" s="825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5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5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">
      <c r="A338" s="204"/>
      <c r="B338" s="204"/>
      <c r="C338" s="825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5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5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">
      <c r="A339" s="204"/>
      <c r="B339" s="204"/>
      <c r="C339" s="825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5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5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">
      <c r="A340" s="204"/>
      <c r="B340" s="204"/>
      <c r="C340" s="825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5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5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">
      <c r="A341" s="204"/>
      <c r="B341" s="204"/>
      <c r="C341" s="825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5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5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">
      <c r="A342" s="204"/>
      <c r="B342" s="204"/>
      <c r="C342" s="825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5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5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">
      <c r="A343" s="204"/>
      <c r="B343" s="204"/>
      <c r="C343" s="825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5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5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">
      <c r="A344" s="204"/>
      <c r="B344" s="204"/>
      <c r="C344" s="825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5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5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">
      <c r="A345" s="204"/>
      <c r="B345" s="204"/>
      <c r="C345" s="825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5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5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">
      <c r="A346" s="204"/>
      <c r="B346" s="204"/>
      <c r="C346" s="825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5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5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">
      <c r="A347" s="204"/>
      <c r="B347" s="204"/>
      <c r="C347" s="825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5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5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">
      <c r="A348" s="204"/>
      <c r="B348" s="204"/>
      <c r="C348" s="825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5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5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">
      <c r="A349" s="204"/>
      <c r="B349" s="204"/>
      <c r="C349" s="825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5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5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">
      <c r="A350" s="204"/>
      <c r="B350" s="204"/>
      <c r="C350" s="825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5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5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">
      <c r="A351" s="204"/>
      <c r="B351" s="204"/>
      <c r="C351" s="825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5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5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">
      <c r="A352" s="204"/>
      <c r="B352" s="204"/>
      <c r="C352" s="825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5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5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">
      <c r="A353" s="204"/>
      <c r="B353" s="204"/>
      <c r="C353" s="825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5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5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">
      <c r="A354" s="204"/>
      <c r="B354" s="204"/>
      <c r="C354" s="825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5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5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">
      <c r="A355" s="204"/>
      <c r="B355" s="204"/>
      <c r="C355" s="825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5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5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">
      <c r="A356" s="204"/>
      <c r="B356" s="204"/>
      <c r="C356" s="825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5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5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">
      <c r="A357" s="204"/>
      <c r="B357" s="204"/>
      <c r="C357" s="825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5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5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">
      <c r="A358" s="204"/>
      <c r="B358" s="204"/>
      <c r="C358" s="825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5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5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">
      <c r="A359" s="204"/>
      <c r="B359" s="204"/>
      <c r="C359" s="825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5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5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">
      <c r="A360" s="204"/>
      <c r="B360" s="204"/>
      <c r="C360" s="825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5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5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">
      <c r="A361" s="204"/>
      <c r="B361" s="204"/>
      <c r="C361" s="825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5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5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">
      <c r="A362" s="204"/>
      <c r="B362" s="204"/>
      <c r="C362" s="825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5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5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">
      <c r="A363" s="204"/>
      <c r="B363" s="204"/>
      <c r="C363" s="825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5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5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">
      <c r="A364" s="204"/>
      <c r="B364" s="204"/>
      <c r="C364" s="825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5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5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">
      <c r="A365" s="204"/>
      <c r="B365" s="204"/>
      <c r="C365" s="825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5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5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">
      <c r="A366" s="204"/>
      <c r="B366" s="204"/>
      <c r="C366" s="825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5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5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">
      <c r="A367" s="204"/>
      <c r="B367" s="204"/>
      <c r="C367" s="825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5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5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">
      <c r="A368" s="204"/>
      <c r="B368" s="204"/>
      <c r="C368" s="825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5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5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">
      <c r="A369" s="204"/>
      <c r="B369" s="204"/>
      <c r="C369" s="825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5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5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">
      <c r="A370" s="204"/>
      <c r="B370" s="204"/>
      <c r="C370" s="825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5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5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">
      <c r="A371" s="204"/>
      <c r="B371" s="204"/>
      <c r="C371" s="825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5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5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">
      <c r="A372" s="204"/>
      <c r="B372" s="204"/>
      <c r="C372" s="825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5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5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">
      <c r="A373" s="204"/>
      <c r="B373" s="204"/>
      <c r="C373" s="825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5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5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">
      <c r="A374" s="204"/>
      <c r="B374" s="204"/>
      <c r="C374" s="825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5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5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">
      <c r="A375" s="204"/>
      <c r="B375" s="204"/>
      <c r="C375" s="825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5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5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">
      <c r="A376" s="204"/>
      <c r="B376" s="204"/>
      <c r="C376" s="825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5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5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">
      <c r="A377" s="204"/>
      <c r="B377" s="204"/>
      <c r="C377" s="825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5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5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">
      <c r="A378" s="204"/>
      <c r="B378" s="204"/>
      <c r="C378" s="825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5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5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">
      <c r="A379" s="204"/>
      <c r="B379" s="204"/>
      <c r="C379" s="825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5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5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">
      <c r="A380" s="204"/>
      <c r="B380" s="204"/>
      <c r="C380" s="825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5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5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">
      <c r="A381" s="204"/>
      <c r="B381" s="204"/>
      <c r="C381" s="825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5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5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">
      <c r="A382" s="204"/>
      <c r="B382" s="204"/>
      <c r="C382" s="825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5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5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">
      <c r="A383" s="204"/>
      <c r="B383" s="204"/>
      <c r="C383" s="825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5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5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">
      <c r="A384" s="204"/>
      <c r="B384" s="204"/>
      <c r="C384" s="825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5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5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">
      <c r="A385" s="204"/>
      <c r="B385" s="204"/>
      <c r="C385" s="825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5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5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">
      <c r="A386" s="204"/>
      <c r="B386" s="204"/>
      <c r="C386" s="825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5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5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">
      <c r="A387" s="204"/>
      <c r="B387" s="204"/>
      <c r="C387" s="825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5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5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">
      <c r="A388" s="204"/>
      <c r="B388" s="204"/>
      <c r="C388" s="825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5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5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">
      <c r="A389" s="204"/>
      <c r="B389" s="204"/>
      <c r="C389" s="825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5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5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">
      <c r="A390" s="204"/>
      <c r="B390" s="204"/>
      <c r="C390" s="825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5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5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">
      <c r="A391" s="204"/>
      <c r="B391" s="204"/>
      <c r="C391" s="825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5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5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">
      <c r="A392" s="204"/>
      <c r="B392" s="204"/>
      <c r="C392" s="825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5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5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">
      <c r="A393" s="204"/>
      <c r="B393" s="204"/>
      <c r="C393" s="825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5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5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">
      <c r="A394" s="204"/>
      <c r="B394" s="204"/>
      <c r="C394" s="825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5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5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">
      <c r="A395" s="204"/>
      <c r="B395" s="204"/>
      <c r="C395" s="825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5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5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">
      <c r="A396" s="204"/>
      <c r="B396" s="204"/>
      <c r="C396" s="825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5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5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">
      <c r="A397" s="204"/>
      <c r="B397" s="204"/>
      <c r="C397" s="825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5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5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">
      <c r="A398" s="204"/>
      <c r="B398" s="204"/>
      <c r="C398" s="825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5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5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">
      <c r="A399" s="204"/>
      <c r="B399" s="204"/>
      <c r="C399" s="825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5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5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">
      <c r="A400" s="204"/>
      <c r="B400" s="204"/>
      <c r="C400" s="825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5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5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">
      <c r="A401" s="204"/>
      <c r="B401" s="204"/>
      <c r="C401" s="825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5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5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">
      <c r="A402" s="204"/>
      <c r="B402" s="204"/>
      <c r="C402" s="825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5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5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">
      <c r="A403" s="204"/>
      <c r="B403" s="204"/>
      <c r="C403" s="825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5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5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">
      <c r="A404" s="204"/>
      <c r="B404" s="204"/>
      <c r="C404" s="825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5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5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">
      <c r="A405" s="204"/>
      <c r="B405" s="204"/>
      <c r="C405" s="825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5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5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">
      <c r="A406" s="204"/>
      <c r="B406" s="204"/>
      <c r="C406" s="825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5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5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">
      <c r="A407" s="204"/>
      <c r="B407" s="204"/>
      <c r="C407" s="825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5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5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">
      <c r="A408" s="204"/>
      <c r="B408" s="204"/>
      <c r="C408" s="825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5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5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">
      <c r="A409" s="204"/>
      <c r="B409" s="204"/>
      <c r="C409" s="825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5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5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">
      <c r="A410" s="204"/>
      <c r="B410" s="204"/>
      <c r="C410" s="825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5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5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">
      <c r="A411" s="204"/>
      <c r="B411" s="204"/>
      <c r="C411" s="825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5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5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">
      <c r="A412" s="204"/>
      <c r="B412" s="204"/>
      <c r="C412" s="825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5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">
      <c r="A413" s="204"/>
      <c r="B413" s="204"/>
      <c r="C413" s="825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5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5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">
      <c r="A414" s="204"/>
      <c r="B414" s="204"/>
      <c r="C414" s="825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5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5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">
      <c r="A415" s="204"/>
      <c r="B415" s="204"/>
      <c r="C415" s="825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5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5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">
      <c r="A416" s="204"/>
      <c r="B416" s="204"/>
      <c r="C416" s="825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5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5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">
      <c r="A417" s="204"/>
      <c r="B417" s="204"/>
      <c r="C417" s="825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5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5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">
      <c r="A418" s="204"/>
      <c r="B418" s="204"/>
      <c r="C418" s="825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5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5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">
      <c r="A419" s="204"/>
      <c r="B419" s="204"/>
      <c r="C419" s="825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5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5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">
      <c r="A420" s="204"/>
      <c r="B420" s="204"/>
      <c r="C420" s="825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5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5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">
      <c r="A421" s="204"/>
      <c r="B421" s="204"/>
      <c r="C421" s="825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5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5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">
      <c r="A422" s="204"/>
      <c r="B422" s="204"/>
      <c r="C422" s="825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5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5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">
      <c r="A423" s="204"/>
      <c r="B423" s="204"/>
      <c r="C423" s="825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5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5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">
      <c r="A424" s="204"/>
      <c r="B424" s="204"/>
      <c r="C424" s="825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5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5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">
      <c r="A425" s="204"/>
      <c r="B425" s="204"/>
      <c r="C425" s="825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5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5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">
      <c r="A426" s="204"/>
      <c r="B426" s="204"/>
      <c r="C426" s="825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5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5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">
      <c r="A427" s="204"/>
      <c r="B427" s="204"/>
      <c r="C427" s="825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5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5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">
      <c r="A428" s="204"/>
      <c r="B428" s="204"/>
      <c r="C428" s="825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5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5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">
      <c r="A429" s="204"/>
      <c r="B429" s="204"/>
      <c r="C429" s="825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5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5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">
      <c r="A430" s="204"/>
      <c r="B430" s="204"/>
      <c r="C430" s="825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5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5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">
      <c r="A431" s="204"/>
      <c r="B431" s="204"/>
      <c r="C431" s="825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5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5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">
      <c r="A432" s="204"/>
      <c r="B432" s="204"/>
      <c r="C432" s="825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5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5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">
      <c r="A433" s="204"/>
      <c r="B433" s="204"/>
      <c r="C433" s="825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5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5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">
      <c r="A434" s="204"/>
      <c r="B434" s="204"/>
      <c r="C434" s="825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5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5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">
      <c r="A435" s="204"/>
      <c r="B435" s="204"/>
      <c r="C435" s="825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5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5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">
      <c r="A436" s="204"/>
      <c r="B436" s="204"/>
      <c r="C436" s="825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5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5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">
      <c r="A437" s="204"/>
      <c r="B437" s="204"/>
      <c r="C437" s="825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5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5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">
      <c r="A438" s="204"/>
      <c r="B438" s="204"/>
      <c r="C438" s="825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5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5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">
      <c r="A439" s="204"/>
      <c r="B439" s="204"/>
      <c r="C439" s="825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5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5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">
      <c r="A440" s="204"/>
      <c r="B440" s="204"/>
      <c r="C440" s="825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5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5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">
      <c r="A441" s="204"/>
      <c r="B441" s="204"/>
      <c r="C441" s="825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5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5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">
      <c r="A442" s="204"/>
      <c r="B442" s="204"/>
      <c r="C442" s="825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5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5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">
      <c r="A443" s="204"/>
      <c r="B443" s="204"/>
      <c r="C443" s="825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5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5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">
      <c r="A444" s="204"/>
      <c r="B444" s="204"/>
      <c r="C444" s="825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5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5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">
      <c r="A445" s="204"/>
      <c r="B445" s="204"/>
      <c r="C445" s="825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5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5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">
      <c r="A446" s="204"/>
      <c r="B446" s="204"/>
      <c r="C446" s="825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5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5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">
      <c r="A447" s="204"/>
      <c r="B447" s="204"/>
      <c r="C447" s="825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5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5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">
      <c r="A448" s="204"/>
      <c r="B448" s="204"/>
      <c r="C448" s="825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5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5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">
      <c r="A449" s="204"/>
      <c r="B449" s="204"/>
      <c r="C449" s="825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5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5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">
      <c r="A450" s="204"/>
      <c r="B450" s="204"/>
      <c r="C450" s="825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5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5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">
      <c r="A451" s="204"/>
      <c r="B451" s="204"/>
      <c r="C451" s="825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5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5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">
      <c r="A452" s="204"/>
      <c r="B452" s="204"/>
      <c r="C452" s="825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5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5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">
      <c r="A453" s="204"/>
      <c r="B453" s="204"/>
      <c r="C453" s="825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5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5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">
      <c r="A454" s="204"/>
      <c r="B454" s="204"/>
      <c r="C454" s="825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5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5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">
      <c r="A455" s="204"/>
      <c r="B455" s="204"/>
      <c r="C455" s="825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5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5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">
      <c r="A456" s="204"/>
      <c r="B456" s="204"/>
      <c r="C456" s="825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5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5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">
      <c r="A457" s="204"/>
      <c r="B457" s="204"/>
      <c r="C457" s="825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5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5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">
      <c r="A458" s="204"/>
      <c r="B458" s="204"/>
      <c r="C458" s="825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5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5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">
      <c r="A459" s="204"/>
      <c r="B459" s="204"/>
      <c r="C459" s="825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5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5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">
      <c r="A460" s="204"/>
      <c r="B460" s="204"/>
      <c r="C460" s="825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5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5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">
      <c r="A461" s="204"/>
      <c r="B461" s="204"/>
      <c r="C461" s="825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5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5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">
      <c r="A462" s="204"/>
      <c r="B462" s="204"/>
      <c r="C462" s="825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5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5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">
      <c r="A463" s="204"/>
      <c r="B463" s="204"/>
      <c r="C463" s="825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5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5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">
      <c r="A464" s="204"/>
      <c r="B464" s="204"/>
      <c r="C464" s="825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5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5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">
      <c r="A465" s="204"/>
      <c r="B465" s="204"/>
      <c r="C465" s="825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5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5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">
      <c r="A466" s="204"/>
      <c r="B466" s="204"/>
      <c r="C466" s="825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5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5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">
      <c r="A467" s="204"/>
      <c r="B467" s="204"/>
      <c r="C467" s="825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5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5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">
      <c r="A468" s="204"/>
      <c r="B468" s="204"/>
      <c r="C468" s="825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5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5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">
      <c r="A469" s="204"/>
      <c r="B469" s="204"/>
      <c r="C469" s="825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5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5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">
      <c r="A470" s="204"/>
      <c r="B470" s="204"/>
      <c r="C470" s="825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5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5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">
      <c r="A471" s="204"/>
      <c r="B471" s="204"/>
      <c r="C471" s="825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5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5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">
      <c r="A472" s="204"/>
      <c r="B472" s="204"/>
      <c r="C472" s="825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5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5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">
      <c r="A473" s="204"/>
      <c r="B473" s="204"/>
      <c r="C473" s="825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5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5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">
      <c r="A474" s="204"/>
      <c r="B474" s="204"/>
      <c r="C474" s="825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5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5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">
      <c r="A475" s="204"/>
      <c r="B475" s="204"/>
      <c r="C475" s="825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5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5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">
      <c r="A476" s="204"/>
      <c r="B476" s="204"/>
      <c r="C476" s="825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5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5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">
      <c r="A477" s="204"/>
      <c r="B477" s="204"/>
      <c r="C477" s="825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5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5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">
      <c r="A478" s="204"/>
      <c r="B478" s="204"/>
      <c r="C478" s="825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5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5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">
      <c r="A479" s="204"/>
      <c r="B479" s="204"/>
      <c r="C479" s="825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5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5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">
      <c r="A480" s="204"/>
      <c r="B480" s="204"/>
      <c r="C480" s="825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5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5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">
      <c r="A481" s="204"/>
      <c r="B481" s="204"/>
      <c r="C481" s="825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5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5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">
      <c r="A482" s="204"/>
      <c r="B482" s="204"/>
      <c r="C482" s="825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5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5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">
      <c r="A483" s="204"/>
      <c r="B483" s="204"/>
      <c r="C483" s="825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5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5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">
      <c r="A484" s="204"/>
      <c r="B484" s="204"/>
      <c r="C484" s="825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5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5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">
      <c r="A485" s="204"/>
      <c r="B485" s="204"/>
      <c r="C485" s="825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5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5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">
      <c r="A486" s="204"/>
      <c r="B486" s="204"/>
      <c r="C486" s="825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5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5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">
      <c r="A487" s="204"/>
      <c r="B487" s="204"/>
      <c r="C487" s="825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5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5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">
      <c r="A488" s="204"/>
      <c r="B488" s="204"/>
      <c r="C488" s="825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5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5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">
      <c r="A489" s="204"/>
      <c r="B489" s="204"/>
      <c r="C489" s="825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5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5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">
      <c r="A490" s="204"/>
      <c r="B490" s="204"/>
      <c r="C490" s="825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5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5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">
      <c r="A491" s="204"/>
      <c r="B491" s="204"/>
      <c r="C491" s="825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5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5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">
      <c r="A492" s="204"/>
      <c r="B492" s="204"/>
      <c r="C492" s="825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5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5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">
      <c r="A493" s="204"/>
      <c r="B493" s="204"/>
      <c r="C493" s="825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5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5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">
      <c r="A494" s="204"/>
      <c r="B494" s="204"/>
      <c r="C494" s="825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5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5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">
      <c r="A495" s="204"/>
      <c r="B495" s="204"/>
      <c r="C495" s="825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5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5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">
      <c r="A496" s="204"/>
      <c r="B496" s="204"/>
      <c r="C496" s="825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5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5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">
      <c r="A497" s="204"/>
      <c r="B497" s="204"/>
      <c r="C497" s="825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5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5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">
      <c r="A498" s="204"/>
      <c r="B498" s="204"/>
      <c r="C498" s="825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5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5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">
      <c r="A499" s="204"/>
      <c r="B499" s="204"/>
      <c r="C499" s="825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5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5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">
      <c r="A500" s="204"/>
      <c r="B500" s="204"/>
      <c r="C500" s="825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5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5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">
      <c r="A501" s="204"/>
      <c r="B501" s="204"/>
      <c r="C501" s="825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5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5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">
      <c r="A502" s="204"/>
      <c r="B502" s="204"/>
      <c r="C502" s="825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5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5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">
      <c r="A503" s="204"/>
      <c r="B503" s="204"/>
      <c r="C503" s="825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5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5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">
      <c r="A504" s="204"/>
      <c r="B504" s="204"/>
      <c r="C504" s="825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5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5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">
      <c r="A505" s="204"/>
      <c r="B505" s="204"/>
      <c r="C505" s="825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5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5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">
      <c r="A506" s="204"/>
      <c r="B506" s="204"/>
      <c r="C506" s="825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5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5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">
      <c r="A507" s="204"/>
      <c r="B507" s="204"/>
      <c r="C507" s="825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5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5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">
      <c r="A508" s="204"/>
      <c r="B508" s="204"/>
      <c r="C508" s="825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5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5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">
      <c r="A509" s="204"/>
      <c r="B509" s="204"/>
      <c r="C509" s="825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5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5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">
      <c r="A510" s="204"/>
      <c r="B510" s="204"/>
      <c r="C510" s="825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5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5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">
      <c r="A511" s="204"/>
      <c r="B511" s="204"/>
      <c r="C511" s="825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5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5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">
      <c r="A512" s="204"/>
      <c r="B512" s="204"/>
      <c r="C512" s="825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5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5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">
      <c r="A513" s="204"/>
      <c r="B513" s="204"/>
      <c r="C513" s="825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5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5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">
      <c r="A514" s="204"/>
      <c r="B514" s="204"/>
      <c r="C514" s="825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5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5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">
      <c r="A515" s="204"/>
      <c r="B515" s="204"/>
      <c r="C515" s="825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5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5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">
      <c r="A516" s="204"/>
      <c r="B516" s="204"/>
      <c r="C516" s="825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5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5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">
      <c r="A517" s="204"/>
      <c r="B517" s="204"/>
      <c r="C517" s="825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5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5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">
      <c r="A518" s="204"/>
      <c r="B518" s="204"/>
      <c r="C518" s="825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5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5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">
      <c r="A519" s="204"/>
      <c r="B519" s="204"/>
      <c r="C519" s="825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5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5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">
      <c r="A520" s="204"/>
      <c r="B520" s="204"/>
      <c r="C520" s="825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5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5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">
      <c r="A521" s="204"/>
      <c r="B521" s="204"/>
      <c r="C521" s="825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5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5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">
      <c r="A522" s="204"/>
      <c r="B522" s="204"/>
      <c r="C522" s="825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5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5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">
      <c r="A523" s="204"/>
      <c r="B523" s="204"/>
      <c r="C523" s="825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5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5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">
      <c r="A524" s="204"/>
      <c r="B524" s="204"/>
      <c r="C524" s="825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5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5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">
      <c r="A525" s="204"/>
      <c r="B525" s="204"/>
      <c r="C525" s="825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5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5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">
      <c r="A526" s="204"/>
      <c r="B526" s="204"/>
      <c r="C526" s="825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5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5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">
      <c r="A527" s="204"/>
      <c r="B527" s="204"/>
      <c r="C527" s="825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5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5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">
      <c r="A528" s="204"/>
      <c r="B528" s="204"/>
      <c r="C528" s="825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5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5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">
      <c r="A529" s="204"/>
      <c r="B529" s="204"/>
      <c r="C529" s="825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5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5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">
      <c r="A530" s="204"/>
      <c r="B530" s="204"/>
      <c r="C530" s="825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5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5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">
      <c r="A531" s="204"/>
      <c r="B531" s="204"/>
      <c r="C531" s="825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5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5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">
      <c r="A532" s="204"/>
      <c r="B532" s="204"/>
      <c r="C532" s="825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5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5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">
      <c r="A533" s="204"/>
      <c r="B533" s="204"/>
      <c r="C533" s="825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5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5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">
      <c r="A534" s="204"/>
      <c r="B534" s="204"/>
      <c r="C534" s="825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5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5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">
      <c r="A535" s="204"/>
      <c r="B535" s="204"/>
      <c r="C535" s="825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5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5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">
      <c r="A536" s="204"/>
      <c r="B536" s="204"/>
      <c r="C536" s="825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5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5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">
      <c r="A537" s="204"/>
      <c r="B537" s="204"/>
      <c r="C537" s="825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5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5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">
      <c r="A538" s="204"/>
      <c r="B538" s="204"/>
      <c r="C538" s="825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5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5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">
      <c r="A539" s="204"/>
      <c r="B539" s="204"/>
      <c r="C539" s="825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5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5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">
      <c r="A540" s="204"/>
      <c r="B540" s="204"/>
      <c r="C540" s="825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5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5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">
      <c r="A541" s="204"/>
      <c r="B541" s="204"/>
      <c r="C541" s="825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5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5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">
      <c r="A542" s="204"/>
      <c r="B542" s="204"/>
      <c r="C542" s="825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5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5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">
      <c r="A543" s="204"/>
      <c r="B543" s="204"/>
      <c r="C543" s="825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5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5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">
      <c r="A544" s="204"/>
      <c r="B544" s="204"/>
      <c r="C544" s="825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5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5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">
      <c r="A545" s="204"/>
      <c r="B545" s="204"/>
      <c r="C545" s="825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5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5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">
      <c r="A546" s="204"/>
      <c r="B546" s="204"/>
      <c r="C546" s="825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5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5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">
      <c r="A547" s="204"/>
      <c r="B547" s="204"/>
      <c r="C547" s="825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5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5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">
      <c r="A548" s="204"/>
      <c r="B548" s="204"/>
      <c r="C548" s="825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5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5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">
      <c r="A549" s="204"/>
      <c r="B549" s="204"/>
      <c r="C549" s="825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5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5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">
      <c r="A550" s="204"/>
      <c r="B550" s="204"/>
      <c r="C550" s="825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5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5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">
      <c r="A551" s="204"/>
      <c r="B551" s="204"/>
      <c r="C551" s="825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5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5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">
      <c r="A552" s="204"/>
      <c r="B552" s="204"/>
      <c r="C552" s="825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5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5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">
      <c r="A553" s="204"/>
      <c r="B553" s="204"/>
      <c r="C553" s="825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5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5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">
      <c r="A554" s="204"/>
      <c r="B554" s="204"/>
      <c r="C554" s="825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5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5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">
      <c r="A555" s="204"/>
      <c r="B555" s="204"/>
      <c r="C555" s="825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5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5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">
      <c r="A556" s="204"/>
      <c r="B556" s="204"/>
      <c r="C556" s="825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5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5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">
      <c r="A557" s="204"/>
      <c r="B557" s="204"/>
      <c r="C557" s="825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5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5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">
      <c r="A558" s="204"/>
      <c r="B558" s="204"/>
      <c r="C558" s="825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5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5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">
      <c r="A559" s="204"/>
      <c r="B559" s="204"/>
      <c r="C559" s="825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5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5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">
      <c r="A560" s="204"/>
      <c r="B560" s="204"/>
      <c r="C560" s="825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5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5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">
      <c r="A561" s="204"/>
      <c r="B561" s="204"/>
      <c r="C561" s="825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5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5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">
      <c r="A562" s="204"/>
      <c r="B562" s="204"/>
      <c r="C562" s="825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5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5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">
      <c r="A563" s="204"/>
      <c r="B563" s="204"/>
      <c r="C563" s="825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5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5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">
      <c r="A564" s="204"/>
      <c r="B564" s="204"/>
      <c r="C564" s="825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5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5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">
      <c r="A565" s="204"/>
      <c r="B565" s="204"/>
      <c r="C565" s="825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5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5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">
      <c r="A566" s="204"/>
      <c r="B566" s="204"/>
      <c r="C566" s="825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5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5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">
      <c r="A567" s="204"/>
      <c r="B567" s="204"/>
      <c r="C567" s="825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5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5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">
      <c r="A568" s="204"/>
      <c r="B568" s="204"/>
      <c r="C568" s="825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5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5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">
      <c r="A569" s="204"/>
      <c r="B569" s="204"/>
      <c r="C569" s="825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5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5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">
      <c r="A570" s="204"/>
      <c r="B570" s="204"/>
      <c r="C570" s="825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5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5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">
      <c r="A571" s="204"/>
      <c r="B571" s="204"/>
      <c r="C571" s="825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5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5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">
      <c r="A572" s="204"/>
      <c r="B572" s="204"/>
      <c r="C572" s="825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5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5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">
      <c r="A573" s="204"/>
      <c r="B573" s="204"/>
      <c r="C573" s="825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5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5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">
      <c r="A574" s="204"/>
      <c r="B574" s="204"/>
      <c r="C574" s="825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5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5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">
      <c r="A575" s="204"/>
      <c r="B575" s="204"/>
      <c r="C575" s="825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5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5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">
      <c r="A576" s="204"/>
      <c r="B576" s="204"/>
      <c r="C576" s="825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5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5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">
      <c r="A577" s="204"/>
      <c r="B577" s="204"/>
      <c r="C577" s="825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5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5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">
      <c r="A578" s="204"/>
      <c r="B578" s="204"/>
      <c r="C578" s="825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5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5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">
      <c r="A579" s="204"/>
      <c r="B579" s="204"/>
      <c r="C579" s="825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5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5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">
      <c r="A580" s="204"/>
      <c r="B580" s="204"/>
      <c r="C580" s="825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5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5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">
      <c r="A581" s="204"/>
      <c r="B581" s="204"/>
      <c r="C581" s="825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5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5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">
      <c r="A582" s="204"/>
      <c r="B582" s="204"/>
      <c r="C582" s="825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5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5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">
      <c r="A583" s="204"/>
      <c r="B583" s="204"/>
      <c r="C583" s="825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5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5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">
      <c r="A584" s="204"/>
      <c r="B584" s="204"/>
      <c r="C584" s="825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5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5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">
      <c r="A585" s="204"/>
      <c r="B585" s="204"/>
      <c r="C585" s="825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5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5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">
      <c r="A586" s="204"/>
      <c r="B586" s="204"/>
      <c r="C586" s="825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5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5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">
      <c r="A587" s="204"/>
      <c r="B587" s="204"/>
      <c r="C587" s="825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5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5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">
      <c r="A588" s="204"/>
      <c r="B588" s="204"/>
      <c r="C588" s="825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5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5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">
      <c r="A589" s="204"/>
      <c r="B589" s="204"/>
      <c r="C589" s="825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5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5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">
      <c r="A590" s="204"/>
      <c r="B590" s="204"/>
      <c r="C590" s="825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5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5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">
      <c r="A591" s="204"/>
      <c r="B591" s="204"/>
      <c r="C591" s="825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5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5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">
      <c r="A592" s="204"/>
      <c r="B592" s="204"/>
      <c r="C592" s="825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5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5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">
      <c r="A593" s="204"/>
      <c r="B593" s="204"/>
      <c r="C593" s="825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5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5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">
      <c r="A594" s="204"/>
      <c r="B594" s="204"/>
      <c r="C594" s="825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5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5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">
      <c r="A595" s="204"/>
      <c r="B595" s="204"/>
      <c r="C595" s="825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5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5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">
      <c r="A596" s="204"/>
      <c r="B596" s="204"/>
      <c r="C596" s="825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5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5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">
      <c r="A597" s="204"/>
      <c r="B597" s="204"/>
      <c r="C597" s="825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5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5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">
      <c r="A598" s="204"/>
      <c r="B598" s="204"/>
      <c r="C598" s="825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5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5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">
      <c r="A599" s="204"/>
      <c r="B599" s="204"/>
      <c r="C599" s="825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5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5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">
      <c r="A600" s="204"/>
      <c r="B600" s="204"/>
      <c r="C600" s="825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5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5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">
      <c r="A601" s="204"/>
      <c r="B601" s="204"/>
      <c r="C601" s="825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5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5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">
      <c r="A602" s="204"/>
      <c r="B602" s="204"/>
      <c r="C602" s="825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5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5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">
      <c r="A603" s="204"/>
      <c r="B603" s="204"/>
      <c r="C603" s="825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5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5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">
      <c r="A604" s="204"/>
      <c r="B604" s="204"/>
      <c r="C604" s="825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5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5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">
      <c r="A605" s="204"/>
      <c r="B605" s="204"/>
      <c r="C605" s="825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5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5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">
      <c r="A606" s="204"/>
      <c r="B606" s="204"/>
      <c r="C606" s="825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5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5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">
      <c r="A607" s="204"/>
      <c r="B607" s="204"/>
      <c r="C607" s="825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5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5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">
      <c r="A608" s="204"/>
      <c r="B608" s="204"/>
      <c r="C608" s="825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5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5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">
      <c r="A609" s="204"/>
      <c r="B609" s="204"/>
      <c r="C609" s="825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5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5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74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opLeftCell="A5" workbookViewId="0">
      <pane xSplit="2" ySplit="3" topLeftCell="I8" activePane="bottomRight" state="frozen"/>
      <selection activeCell="A5" sqref="A5"/>
      <selection pane="topRight" activeCell="C5" sqref="C5"/>
      <selection pane="bottomLeft" activeCell="A8" sqref="A8"/>
      <selection pane="bottomRight" activeCell="J9" sqref="J9"/>
    </sheetView>
  </sheetViews>
  <sheetFormatPr defaultColWidth="10.7109375" defaultRowHeight="12.75" x14ac:dyDescent="0.2"/>
  <cols>
    <col min="1" max="1" width="45.7109375" style="165" customWidth="1"/>
    <col min="2" max="2" width="8.7109375" style="804" customWidth="1"/>
    <col min="3" max="14" width="9.7109375" style="165" customWidth="1"/>
    <col min="15" max="17" width="10.7109375" style="165" customWidth="1"/>
    <col min="18" max="19" width="11.7109375" style="165" customWidth="1"/>
    <col min="20" max="20" width="45.7109375" style="165" customWidth="1"/>
    <col min="21" max="21" width="8.7109375" style="804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1.7109375" style="165" customWidth="1"/>
    <col min="30" max="30" width="45.7109375" style="165" customWidth="1"/>
    <col min="31" max="31" width="8.7109375" style="804" customWidth="1"/>
    <col min="32" max="45" width="9.7109375" style="165" customWidth="1"/>
    <col min="46" max="16384" width="10.7109375" style="165"/>
  </cols>
  <sheetData>
    <row r="1" spans="1:49" x14ac:dyDescent="0.2">
      <c r="A1" s="685" t="s">
        <v>894</v>
      </c>
      <c r="C1" s="166"/>
      <c r="D1" s="166"/>
      <c r="E1" s="166"/>
      <c r="F1" s="166"/>
      <c r="G1" s="664" t="s">
        <v>131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0" t="str">
        <f>A1</f>
        <v xml:space="preserve">            </v>
      </c>
      <c r="U1" s="599"/>
      <c r="V1" s="596" t="str">
        <f>G1</f>
        <v>TRANSWESTERN PIPELINE GROUP</v>
      </c>
      <c r="W1" s="575"/>
      <c r="X1" s="575"/>
      <c r="Y1" s="575"/>
      <c r="Z1" s="574"/>
      <c r="AA1" s="574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">
      <c r="A2" s="402" t="s">
        <v>132</v>
      </c>
      <c r="C2" s="168"/>
      <c r="D2" s="169"/>
      <c r="E2" s="168"/>
      <c r="F2" s="167"/>
      <c r="G2" s="665" t="s">
        <v>896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7" t="s">
        <v>133</v>
      </c>
      <c r="U2" s="599"/>
      <c r="V2" s="596" t="str">
        <f>G2</f>
        <v>2001 ACTUAL / ESTIMATE</v>
      </c>
      <c r="W2" s="575"/>
      <c r="X2" s="575"/>
      <c r="Y2" s="575"/>
      <c r="Z2" s="574"/>
      <c r="AA2" s="574"/>
      <c r="AB2" s="166"/>
      <c r="AC2" s="166"/>
      <c r="AD2" s="572" t="s">
        <v>134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">
      <c r="A3" s="684" t="s">
        <v>895</v>
      </c>
      <c r="C3" s="168"/>
      <c r="D3" s="168"/>
      <c r="E3" s="168"/>
      <c r="F3" s="168"/>
      <c r="G3" s="524" t="s">
        <v>135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598" t="str">
        <f>A3</f>
        <v>2001 CURRENT ESTIMATE</v>
      </c>
      <c r="U3" s="599"/>
      <c r="V3" s="596" t="str">
        <f>G3</f>
        <v xml:space="preserve">RESULTS OF OPERATIONS </v>
      </c>
      <c r="W3" s="575"/>
      <c r="X3" s="575"/>
      <c r="Y3" s="575"/>
      <c r="Z3" s="574"/>
      <c r="AA3" s="574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136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">
      <c r="A4" s="400"/>
      <c r="B4" s="805">
        <f ca="1">NOW()</f>
        <v>37154.4025400463</v>
      </c>
      <c r="C4" s="168"/>
      <c r="D4" s="168"/>
      <c r="E4" s="168"/>
      <c r="F4" s="168"/>
      <c r="G4" s="524" t="s">
        <v>137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3"/>
      <c r="U4" s="805">
        <f ca="1">NOW()</f>
        <v>37154.4025400463</v>
      </c>
      <c r="V4" s="596" t="str">
        <f>G4</f>
        <v>(Thousands of Dollars)</v>
      </c>
      <c r="W4" s="575"/>
      <c r="X4" s="575"/>
      <c r="Y4" s="575"/>
      <c r="Z4" s="574"/>
      <c r="AA4" s="574"/>
      <c r="AB4" s="166"/>
      <c r="AC4" s="166"/>
      <c r="AD4" s="166"/>
      <c r="AE4" s="805">
        <f ca="1">NOW()</f>
        <v>37154.4025400463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">
      <c r="A5" s="412" t="s">
        <v>902</v>
      </c>
      <c r="B5" s="806">
        <f ca="1">NOW()</f>
        <v>37154.4025400463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9" t="s">
        <v>903</v>
      </c>
      <c r="U5" s="806">
        <f ca="1">NOW()</f>
        <v>37154.4025400463</v>
      </c>
      <c r="V5" s="574"/>
      <c r="W5" s="582"/>
      <c r="X5" s="582"/>
      <c r="Y5" s="582"/>
      <c r="Z5" s="582"/>
      <c r="AA5" s="582"/>
      <c r="AB5" s="166"/>
      <c r="AC5" s="166"/>
      <c r="AD5" s="412" t="s">
        <v>901</v>
      </c>
      <c r="AE5" s="806">
        <f ca="1">NOW()</f>
        <v>37154.4025400463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">
      <c r="A6" s="170"/>
      <c r="C6" s="807" t="str">
        <f>DataBase!C2</f>
        <v>ACT.</v>
      </c>
      <c r="D6" s="807" t="str">
        <f>DataBase!D2</f>
        <v>ACT.</v>
      </c>
      <c r="E6" s="807" t="str">
        <f>DataBase!E2</f>
        <v>ACT.</v>
      </c>
      <c r="F6" s="807" t="str">
        <f>DataBase!F2</f>
        <v>ACT.</v>
      </c>
      <c r="G6" s="807" t="str">
        <f>DataBase!G2</f>
        <v>ACT.</v>
      </c>
      <c r="H6" s="807" t="str">
        <f>DataBase!H2</f>
        <v>ACT.</v>
      </c>
      <c r="I6" s="807" t="str">
        <f>DataBase!I2</f>
        <v>ACT.</v>
      </c>
      <c r="J6" s="807" t="str">
        <f>DataBase!J2</f>
        <v>ACT.</v>
      </c>
      <c r="K6" s="807" t="str">
        <f>DataBase!K2</f>
        <v>3rd CE</v>
      </c>
      <c r="L6" s="807" t="str">
        <f>DataBase!L2</f>
        <v>3rd CE</v>
      </c>
      <c r="M6" s="807" t="str">
        <f>DataBase!M2</f>
        <v>3rd CE</v>
      </c>
      <c r="N6" s="807" t="str">
        <f>DataBase!N2</f>
        <v>3rd CE</v>
      </c>
      <c r="O6" s="807" t="str">
        <f>DataBase!O2</f>
        <v>TOTAL</v>
      </c>
      <c r="P6" s="479" t="s">
        <v>275</v>
      </c>
      <c r="Q6" s="405" t="s">
        <v>139</v>
      </c>
      <c r="R6" s="166"/>
      <c r="S6" s="167"/>
      <c r="T6" s="574"/>
      <c r="U6" s="599"/>
      <c r="V6" s="599" t="s">
        <v>140</v>
      </c>
      <c r="W6" s="599" t="s">
        <v>141</v>
      </c>
      <c r="X6" s="599" t="s">
        <v>142</v>
      </c>
      <c r="Y6" s="599" t="s">
        <v>143</v>
      </c>
      <c r="Z6" s="582"/>
      <c r="AA6" s="600" t="str">
        <f>DataBase!O2</f>
        <v>TOTAL</v>
      </c>
      <c r="AB6" s="166"/>
      <c r="AC6" s="166"/>
      <c r="AD6" s="170"/>
      <c r="AF6" s="171" t="str">
        <f>DataBase!C2</f>
        <v>ACT.</v>
      </c>
      <c r="AG6" s="171" t="str">
        <f>DataBase!D2</f>
        <v>ACT.</v>
      </c>
      <c r="AH6" s="171" t="str">
        <f>DataBase!E2</f>
        <v>ACT.</v>
      </c>
      <c r="AI6" s="171" t="str">
        <f>DataBase!F2</f>
        <v>ACT.</v>
      </c>
      <c r="AJ6" s="171" t="str">
        <f>DataBase!G2</f>
        <v>ACT.</v>
      </c>
      <c r="AK6" s="171" t="str">
        <f>DataBase!H2</f>
        <v>ACT.</v>
      </c>
      <c r="AL6" s="171" t="str">
        <f>DataBase!I2</f>
        <v>ACT.</v>
      </c>
      <c r="AM6" s="171" t="str">
        <f>DataBase!J2</f>
        <v>ACT.</v>
      </c>
      <c r="AN6" s="171" t="str">
        <f>DataBase!K2</f>
        <v>3rd CE</v>
      </c>
      <c r="AO6" s="171" t="str">
        <f>DataBase!L2</f>
        <v>3rd CE</v>
      </c>
      <c r="AP6" s="171" t="str">
        <f>DataBase!M2</f>
        <v>3rd CE</v>
      </c>
      <c r="AQ6" s="171" t="str">
        <f>DataBase!N2</f>
        <v>3rd CE</v>
      </c>
      <c r="AR6" s="166"/>
      <c r="AS6" s="166"/>
      <c r="AT6" s="166"/>
      <c r="AU6" s="166"/>
      <c r="AV6" s="166"/>
      <c r="AW6" s="166"/>
    </row>
    <row r="7" spans="1:49" x14ac:dyDescent="0.2">
      <c r="A7" s="170"/>
      <c r="C7" s="406" t="s">
        <v>906</v>
      </c>
      <c r="D7" s="406" t="s">
        <v>907</v>
      </c>
      <c r="E7" s="406" t="s">
        <v>908</v>
      </c>
      <c r="F7" s="406" t="s">
        <v>909</v>
      </c>
      <c r="G7" s="406" t="s">
        <v>910</v>
      </c>
      <c r="H7" s="406" t="s">
        <v>911</v>
      </c>
      <c r="I7" s="406" t="s">
        <v>912</v>
      </c>
      <c r="J7" s="406" t="s">
        <v>913</v>
      </c>
      <c r="K7" s="406" t="s">
        <v>914</v>
      </c>
      <c r="L7" s="406" t="s">
        <v>915</v>
      </c>
      <c r="M7" s="406" t="s">
        <v>916</v>
      </c>
      <c r="N7" s="406" t="s">
        <v>917</v>
      </c>
      <c r="O7" s="407">
        <v>2001</v>
      </c>
      <c r="P7" s="408" t="s">
        <v>144</v>
      </c>
      <c r="Q7" s="406" t="s">
        <v>145</v>
      </c>
      <c r="R7" s="168"/>
      <c r="S7" s="167"/>
      <c r="T7" s="574"/>
      <c r="U7" s="599"/>
      <c r="V7" s="586" t="s">
        <v>146</v>
      </c>
      <c r="W7" s="601" t="str">
        <f>V$7</f>
        <v>Quarter</v>
      </c>
      <c r="X7" s="601" t="str">
        <f>W$7</f>
        <v>Quarter</v>
      </c>
      <c r="Y7" s="601" t="str">
        <f>X$7</f>
        <v>Quarter</v>
      </c>
      <c r="Z7" s="602"/>
      <c r="AA7" s="603">
        <f>O7</f>
        <v>2001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0" t="s">
        <v>147</v>
      </c>
      <c r="T8" s="604" t="str">
        <f>A8</f>
        <v>OPERATING REVENUES</v>
      </c>
      <c r="U8" s="811"/>
      <c r="V8" s="573"/>
      <c r="W8" s="573"/>
      <c r="X8" s="573"/>
      <c r="Y8" s="573"/>
      <c r="Z8" s="573"/>
      <c r="AA8" s="573"/>
      <c r="AD8" s="166" t="str">
        <f>A8</f>
        <v>OPERATING REVENUES</v>
      </c>
    </row>
    <row r="9" spans="1:49" x14ac:dyDescent="0.2">
      <c r="A9" s="411" t="s">
        <v>148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3949</v>
      </c>
      <c r="J9" s="177">
        <f>'Sales&amp;Liq-COS'!J31</f>
        <v>3777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26636</v>
      </c>
      <c r="P9" s="178">
        <f>SUM(C9:J9)</f>
        <v>26636</v>
      </c>
      <c r="Q9" s="177">
        <f>O9-P9</f>
        <v>0</v>
      </c>
      <c r="R9" s="570"/>
      <c r="S9" s="170"/>
      <c r="T9" s="605" t="str">
        <f>A9</f>
        <v xml:space="preserve">   Gas Sales &amp; Liquids Revenue</v>
      </c>
      <c r="U9" s="811"/>
      <c r="V9" s="588">
        <f>C9+D9+E9</f>
        <v>17573</v>
      </c>
      <c r="W9" s="588">
        <f>F9+G9+H9</f>
        <v>1337</v>
      </c>
      <c r="X9" s="588">
        <f>I9+J9+K9</f>
        <v>7726</v>
      </c>
      <c r="Y9" s="588">
        <f>L9+M9+N9</f>
        <v>0</v>
      </c>
      <c r="Z9" s="588"/>
      <c r="AA9" s="588">
        <f>SUM(V9:Y9)</f>
        <v>26636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22859</v>
      </c>
      <c r="AM9" s="177">
        <f t="shared" si="1"/>
        <v>26636</v>
      </c>
      <c r="AN9" s="177">
        <f t="shared" si="1"/>
        <v>26636</v>
      </c>
      <c r="AO9" s="177">
        <f t="shared" si="1"/>
        <v>26636</v>
      </c>
      <c r="AP9" s="177">
        <f t="shared" si="1"/>
        <v>26636</v>
      </c>
      <c r="AQ9" s="177">
        <f t="shared" si="1"/>
        <v>26636</v>
      </c>
    </row>
    <row r="10" spans="1:49" x14ac:dyDescent="0.2">
      <c r="A10" s="411" t="s">
        <v>149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SUM(C10:J10)</f>
        <v>0</v>
      </c>
      <c r="Q10" s="180">
        <f>O10-P10</f>
        <v>0</v>
      </c>
      <c r="R10" s="571"/>
      <c r="S10" s="170"/>
      <c r="T10" s="605" t="str">
        <f>A10</f>
        <v xml:space="preserve">     Less:  Cost of Sales</v>
      </c>
      <c r="U10" s="811"/>
      <c r="V10" s="590">
        <f>C10+D10+E10</f>
        <v>18871</v>
      </c>
      <c r="W10" s="590">
        <f>F10+G10+H10</f>
        <v>-18871</v>
      </c>
      <c r="X10" s="590">
        <f>I10+J10+K10</f>
        <v>0</v>
      </c>
      <c r="Y10" s="590">
        <f>L10+M10+N10</f>
        <v>0</v>
      </c>
      <c r="Z10" s="590"/>
      <c r="AA10" s="590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3"/>
      <c r="U11" s="811"/>
      <c r="V11" s="588"/>
      <c r="W11" s="588"/>
      <c r="X11" s="588"/>
      <c r="Y11" s="588"/>
      <c r="Z11" s="588"/>
      <c r="AA11" s="588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">
      <c r="A12" s="412" t="s">
        <v>150</v>
      </c>
      <c r="B12" s="807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3949</v>
      </c>
      <c r="J12" s="181">
        <f t="shared" si="2"/>
        <v>3777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26636</v>
      </c>
      <c r="P12" s="181">
        <f t="shared" si="2"/>
        <v>26636</v>
      </c>
      <c r="Q12" s="181">
        <f t="shared" si="2"/>
        <v>0</v>
      </c>
      <c r="R12" s="546"/>
      <c r="S12" s="168"/>
      <c r="T12" s="604" t="str">
        <f>A12</f>
        <v xml:space="preserve">      Sales Margin</v>
      </c>
      <c r="U12" s="599"/>
      <c r="V12" s="606">
        <f>V9-V10</f>
        <v>-1298</v>
      </c>
      <c r="W12" s="606">
        <f>W9-W10</f>
        <v>20208</v>
      </c>
      <c r="X12" s="606">
        <f>X9-X10</f>
        <v>7726</v>
      </c>
      <c r="Y12" s="606">
        <f>Y9-Y10</f>
        <v>0</v>
      </c>
      <c r="Z12" s="606"/>
      <c r="AA12" s="606">
        <f>AA9-AA10</f>
        <v>26636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22859</v>
      </c>
      <c r="AM12" s="182">
        <f t="shared" si="3"/>
        <v>26636</v>
      </c>
      <c r="AN12" s="182">
        <f t="shared" si="3"/>
        <v>26636</v>
      </c>
      <c r="AO12" s="182">
        <f t="shared" si="3"/>
        <v>26636</v>
      </c>
      <c r="AP12" s="182">
        <f t="shared" si="3"/>
        <v>26636</v>
      </c>
      <c r="AQ12" s="182">
        <f t="shared" si="3"/>
        <v>26636</v>
      </c>
    </row>
    <row r="13" spans="1:49" ht="6" customHeight="1" x14ac:dyDescent="0.2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3"/>
      <c r="U13" s="811"/>
      <c r="V13" s="588"/>
      <c r="W13" s="588"/>
      <c r="X13" s="588"/>
      <c r="Y13" s="588"/>
      <c r="Z13" s="588"/>
      <c r="AA13" s="588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">
      <c r="A14" s="411" t="s">
        <v>151</v>
      </c>
      <c r="C14" s="177">
        <f>'Transport-OtherRev'!C39</f>
        <v>13886</v>
      </c>
      <c r="D14" s="177">
        <f>'Transport-OtherRev'!D39</f>
        <v>18314</v>
      </c>
      <c r="E14" s="177">
        <f>'Transport-OtherRev'!E39</f>
        <v>8736</v>
      </c>
      <c r="F14" s="177">
        <f>'Transport-OtherRev'!F39</f>
        <v>14527</v>
      </c>
      <c r="G14" s="177">
        <f>'Transport-OtherRev'!G39</f>
        <v>16313</v>
      </c>
      <c r="H14" s="177">
        <f>'Transport-OtherRev'!H39</f>
        <v>14266</v>
      </c>
      <c r="I14" s="177">
        <f>'Transport-OtherRev'!I39</f>
        <v>14096</v>
      </c>
      <c r="J14" s="177">
        <f>'Transport-OtherRev'!J39</f>
        <v>13578</v>
      </c>
      <c r="K14" s="177">
        <f>'Transport-OtherRev'!K39</f>
        <v>13052</v>
      </c>
      <c r="L14" s="177">
        <f>'Transport-OtherRev'!L39</f>
        <v>13225</v>
      </c>
      <c r="M14" s="177">
        <f>'Transport-OtherRev'!M39</f>
        <v>12297</v>
      </c>
      <c r="N14" s="177">
        <f>'Transport-OtherRev'!N39</f>
        <v>13142</v>
      </c>
      <c r="O14" s="177">
        <f>SUM(C14:N14)</f>
        <v>165432</v>
      </c>
      <c r="P14" s="178">
        <f>SUM(C14:J14)</f>
        <v>113716</v>
      </c>
      <c r="Q14" s="177">
        <f>O14-P14</f>
        <v>51716</v>
      </c>
      <c r="R14" s="570"/>
      <c r="S14" s="170"/>
      <c r="T14" s="605" t="str">
        <f>A14</f>
        <v xml:space="preserve">   Transportation &amp; Storage Revenue</v>
      </c>
      <c r="U14" s="811"/>
      <c r="V14" s="588">
        <f>C14+D14+E14</f>
        <v>40936</v>
      </c>
      <c r="W14" s="588">
        <f>F14+G14+H14</f>
        <v>45106</v>
      </c>
      <c r="X14" s="588">
        <f>I14+J14+K14</f>
        <v>40726</v>
      </c>
      <c r="Y14" s="588">
        <f>L14+M14+N14</f>
        <v>38664</v>
      </c>
      <c r="Z14" s="588"/>
      <c r="AA14" s="588">
        <f>SUM(V14:Y14)</f>
        <v>165432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100138</v>
      </c>
      <c r="AM14" s="177">
        <f t="shared" si="4"/>
        <v>113716</v>
      </c>
      <c r="AN14" s="177">
        <f t="shared" si="4"/>
        <v>126768</v>
      </c>
      <c r="AO14" s="177">
        <f t="shared" si="4"/>
        <v>139993</v>
      </c>
      <c r="AP14" s="177">
        <f t="shared" si="4"/>
        <v>152290</v>
      </c>
      <c r="AQ14" s="177">
        <f t="shared" si="4"/>
        <v>165432</v>
      </c>
      <c r="AR14" s="170"/>
    </row>
    <row r="15" spans="1:49" x14ac:dyDescent="0.2">
      <c r="A15" s="411" t="s">
        <v>626</v>
      </c>
      <c r="C15" s="180">
        <f>'Transport-OtherRev'!C58</f>
        <v>23</v>
      </c>
      <c r="D15" s="180">
        <f>'Transport-OtherRev'!D58</f>
        <v>24</v>
      </c>
      <c r="E15" s="180">
        <f>'Transport-OtherRev'!E58</f>
        <v>25</v>
      </c>
      <c r="F15" s="180">
        <f>'Transport-OtherRev'!F58</f>
        <v>23</v>
      </c>
      <c r="G15" s="180">
        <f>'Transport-OtherRev'!G58</f>
        <v>78</v>
      </c>
      <c r="H15" s="180">
        <f>'Transport-OtherRev'!H58</f>
        <v>24</v>
      </c>
      <c r="I15" s="180">
        <f>'Transport-OtherRev'!I58</f>
        <v>23</v>
      </c>
      <c r="J15" s="180">
        <f>'Transport-OtherRev'!J58</f>
        <v>24</v>
      </c>
      <c r="K15" s="180">
        <f>'Transport-OtherRev'!K58</f>
        <v>23</v>
      </c>
      <c r="L15" s="180">
        <f>'Transport-OtherRev'!L58</f>
        <v>23</v>
      </c>
      <c r="M15" s="180">
        <f>'Transport-OtherRev'!M58</f>
        <v>23</v>
      </c>
      <c r="N15" s="180">
        <f>'Transport-OtherRev'!N58</f>
        <v>23</v>
      </c>
      <c r="O15" s="180">
        <f>SUM(C15:N15)</f>
        <v>336</v>
      </c>
      <c r="P15" s="263">
        <f>SUM(C15:J15)</f>
        <v>244</v>
      </c>
      <c r="Q15" s="180">
        <f>O15-P15</f>
        <v>92</v>
      </c>
      <c r="R15" s="571"/>
      <c r="S15" s="170"/>
      <c r="T15" s="605" t="str">
        <f>A15</f>
        <v xml:space="preserve">   Other Revenue</v>
      </c>
      <c r="U15" s="811"/>
      <c r="V15" s="590">
        <f>C15+D15+E15</f>
        <v>72</v>
      </c>
      <c r="W15" s="590">
        <f>F15+G15+H15</f>
        <v>125</v>
      </c>
      <c r="X15" s="590">
        <f>I15+J15+K15</f>
        <v>70</v>
      </c>
      <c r="Y15" s="590">
        <f>L15+M15+N15</f>
        <v>69</v>
      </c>
      <c r="Z15" s="590"/>
      <c r="AA15" s="590">
        <f>SUM(V15:Y15)</f>
        <v>336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244</v>
      </c>
      <c r="AN15" s="180">
        <f t="shared" si="4"/>
        <v>267</v>
      </c>
      <c r="AO15" s="180">
        <f t="shared" si="4"/>
        <v>290</v>
      </c>
      <c r="AP15" s="180">
        <f t="shared" si="4"/>
        <v>313</v>
      </c>
      <c r="AQ15" s="180">
        <f t="shared" si="4"/>
        <v>336</v>
      </c>
    </row>
    <row r="16" spans="1:49" ht="3.95" customHeight="1" x14ac:dyDescent="0.2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5"/>
      <c r="U16" s="811"/>
      <c r="V16" s="588"/>
      <c r="W16" s="588"/>
      <c r="X16" s="588"/>
      <c r="Y16" s="588"/>
      <c r="Z16" s="588"/>
      <c r="AA16" s="588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">
      <c r="A17" s="410" t="s">
        <v>627</v>
      </c>
      <c r="B17" s="808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18068</v>
      </c>
      <c r="J17" s="181">
        <f t="shared" si="5"/>
        <v>17379</v>
      </c>
      <c r="K17" s="181">
        <f t="shared" si="5"/>
        <v>13075</v>
      </c>
      <c r="L17" s="181">
        <f t="shared" si="5"/>
        <v>13248</v>
      </c>
      <c r="M17" s="181">
        <f t="shared" si="5"/>
        <v>12320</v>
      </c>
      <c r="N17" s="181">
        <f t="shared" si="5"/>
        <v>13165</v>
      </c>
      <c r="O17" s="181">
        <f t="shared" si="5"/>
        <v>192404</v>
      </c>
      <c r="P17" s="181">
        <f t="shared" si="5"/>
        <v>140596</v>
      </c>
      <c r="Q17" s="181">
        <f t="shared" si="5"/>
        <v>51808</v>
      </c>
      <c r="R17" s="546"/>
      <c r="S17" s="168"/>
      <c r="T17" s="604" t="str">
        <f>A17</f>
        <v xml:space="preserve">      Net Operating Income</v>
      </c>
      <c r="U17" s="599"/>
      <c r="V17" s="607">
        <f>SUM(V12:V15)</f>
        <v>39710</v>
      </c>
      <c r="W17" s="607">
        <f>SUM(W12:W15)</f>
        <v>65439</v>
      </c>
      <c r="X17" s="607">
        <f>SUM(X12:X15)</f>
        <v>48522</v>
      </c>
      <c r="Y17" s="607">
        <f>SUM(Y12:Y15)</f>
        <v>38733</v>
      </c>
      <c r="Z17" s="607"/>
      <c r="AA17" s="607">
        <f>SUM(AA12:AA15)</f>
        <v>192404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123217</v>
      </c>
      <c r="AM17" s="181">
        <f t="shared" si="6"/>
        <v>140596</v>
      </c>
      <c r="AN17" s="181">
        <f t="shared" si="6"/>
        <v>153671</v>
      </c>
      <c r="AO17" s="181">
        <f t="shared" si="6"/>
        <v>166919</v>
      </c>
      <c r="AP17" s="181">
        <f t="shared" si="6"/>
        <v>179239</v>
      </c>
      <c r="AQ17" s="181">
        <f t="shared" si="6"/>
        <v>192404</v>
      </c>
    </row>
    <row r="18" spans="1:44" x14ac:dyDescent="0.2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5"/>
      <c r="U18" s="811"/>
      <c r="V18" s="588"/>
      <c r="W18" s="588"/>
      <c r="X18" s="588"/>
      <c r="Y18" s="588"/>
      <c r="Z18" s="588"/>
      <c r="AA18" s="588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">
      <c r="A19" s="410" t="s">
        <v>628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4" t="str">
        <f t="shared" ref="T19:T25" si="7">A19</f>
        <v>OPERATING EXPENSES</v>
      </c>
      <c r="U19" s="811"/>
      <c r="V19" s="588"/>
      <c r="W19" s="588"/>
      <c r="X19" s="588"/>
      <c r="Y19" s="588"/>
      <c r="Z19" s="588"/>
      <c r="AA19" s="588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">
      <c r="A20" s="411" t="s">
        <v>629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3219</v>
      </c>
      <c r="J20" s="177">
        <f>'O&amp;M'!J50</f>
        <v>3925</v>
      </c>
      <c r="K20" s="177">
        <f>'O&amp;M'!K50</f>
        <v>2696</v>
      </c>
      <c r="L20" s="177">
        <f>'O&amp;M'!L50</f>
        <v>3359</v>
      </c>
      <c r="M20" s="177">
        <f>'O&amp;M'!M50</f>
        <v>3255</v>
      </c>
      <c r="N20" s="177">
        <f>'O&amp;M'!N50</f>
        <v>2950</v>
      </c>
      <c r="O20" s="177">
        <f t="shared" ref="O20:O25" si="9">SUM(C20:N20)</f>
        <v>43310</v>
      </c>
      <c r="P20" s="178">
        <f t="shared" ref="P20:P25" si="10">SUM(C20:J20)</f>
        <v>31050</v>
      </c>
      <c r="Q20" s="177">
        <f t="shared" ref="Q20:Q25" si="11">O20-P20</f>
        <v>12260</v>
      </c>
      <c r="R20" s="570"/>
      <c r="S20" s="170"/>
      <c r="T20" s="605" t="str">
        <f t="shared" si="7"/>
        <v xml:space="preserve">   Operations and Maintenance</v>
      </c>
      <c r="U20" s="811"/>
      <c r="V20" s="588">
        <f t="shared" ref="V20:V25" si="12">C20+D20+E20</f>
        <v>12465</v>
      </c>
      <c r="W20" s="588">
        <f t="shared" ref="W20:W25" si="13">F20+G20+H20</f>
        <v>11441</v>
      </c>
      <c r="X20" s="588">
        <f t="shared" ref="X20:X25" si="14">I20+J20+K20</f>
        <v>9840</v>
      </c>
      <c r="Y20" s="588">
        <f t="shared" ref="Y20:Y25" si="15">L20+M20+N20</f>
        <v>9564</v>
      </c>
      <c r="Z20" s="588"/>
      <c r="AA20" s="588">
        <f t="shared" ref="AA20:AA25" si="16">SUM(V20:Y20)</f>
        <v>43310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27125</v>
      </c>
      <c r="AM20" s="177">
        <f t="shared" si="18"/>
        <v>31050</v>
      </c>
      <c r="AN20" s="177">
        <f t="shared" si="18"/>
        <v>33746</v>
      </c>
      <c r="AO20" s="177">
        <f t="shared" si="18"/>
        <v>37105</v>
      </c>
      <c r="AP20" s="177">
        <f t="shared" si="18"/>
        <v>40360</v>
      </c>
      <c r="AQ20" s="177">
        <f t="shared" si="18"/>
        <v>43310</v>
      </c>
    </row>
    <row r="21" spans="1:44" x14ac:dyDescent="0.2">
      <c r="A21" s="411" t="s">
        <v>630</v>
      </c>
      <c r="C21" s="177">
        <f>RegAmort!C56</f>
        <v>730</v>
      </c>
      <c r="D21" s="177">
        <f>RegAmort!D56</f>
        <v>668</v>
      </c>
      <c r="E21" s="177">
        <f>RegAmort!E56</f>
        <v>1269</v>
      </c>
      <c r="F21" s="177">
        <f>RegAmort!F56</f>
        <v>571</v>
      </c>
      <c r="G21" s="177">
        <f>RegAmort!G56</f>
        <v>564</v>
      </c>
      <c r="H21" s="177">
        <f>RegAmort!H56</f>
        <v>545</v>
      </c>
      <c r="I21" s="177">
        <f>RegAmort!I56</f>
        <v>552</v>
      </c>
      <c r="J21" s="177">
        <f>RegAmort!J56</f>
        <v>559</v>
      </c>
      <c r="K21" s="177">
        <f>RegAmort!K56</f>
        <v>623</v>
      </c>
      <c r="L21" s="177">
        <f>RegAmort!L56</f>
        <v>750</v>
      </c>
      <c r="M21" s="177">
        <f>RegAmort!M56</f>
        <v>743</v>
      </c>
      <c r="N21" s="177">
        <f>RegAmort!N56</f>
        <v>772</v>
      </c>
      <c r="O21" s="177">
        <f t="shared" si="9"/>
        <v>8346</v>
      </c>
      <c r="P21" s="178">
        <f t="shared" si="10"/>
        <v>5458</v>
      </c>
      <c r="Q21" s="177">
        <f t="shared" si="11"/>
        <v>2888</v>
      </c>
      <c r="R21" s="570"/>
      <c r="S21" s="170"/>
      <c r="T21" s="605" t="str">
        <f t="shared" si="7"/>
        <v xml:space="preserve">   Regulatory Amortization</v>
      </c>
      <c r="U21" s="811"/>
      <c r="V21" s="588">
        <f t="shared" si="12"/>
        <v>2667</v>
      </c>
      <c r="W21" s="588">
        <f t="shared" si="13"/>
        <v>1680</v>
      </c>
      <c r="X21" s="588">
        <f t="shared" si="14"/>
        <v>1734</v>
      </c>
      <c r="Y21" s="588">
        <f t="shared" si="15"/>
        <v>2265</v>
      </c>
      <c r="Z21" s="588"/>
      <c r="AA21" s="588">
        <f t="shared" si="16"/>
        <v>8346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4899</v>
      </c>
      <c r="AM21" s="177">
        <f t="shared" si="18"/>
        <v>5458</v>
      </c>
      <c r="AN21" s="177">
        <f t="shared" si="18"/>
        <v>6081</v>
      </c>
      <c r="AO21" s="177">
        <f t="shared" si="18"/>
        <v>6831</v>
      </c>
      <c r="AP21" s="177">
        <f t="shared" si="18"/>
        <v>7574</v>
      </c>
      <c r="AQ21" s="177">
        <f t="shared" si="18"/>
        <v>8346</v>
      </c>
    </row>
    <row r="22" spans="1:44" x14ac:dyDescent="0.2">
      <c r="A22" s="413" t="s">
        <v>631</v>
      </c>
      <c r="C22" s="177">
        <f>'Fuel-Depr-OtherTax'!C14</f>
        <v>-4888</v>
      </c>
      <c r="D22" s="177">
        <f>'Fuel-Depr-OtherTax'!D14</f>
        <v>-4666</v>
      </c>
      <c r="E22" s="177">
        <f>'Fuel-Depr-OtherTax'!E14</f>
        <v>-1896</v>
      </c>
      <c r="F22" s="177">
        <f>'Fuel-Depr-OtherTax'!F14</f>
        <v>10663</v>
      </c>
      <c r="G22" s="177">
        <f>'Fuel-Depr-OtherTax'!G14</f>
        <v>-327</v>
      </c>
      <c r="H22" s="177">
        <f>'Fuel-Depr-OtherTax'!H14</f>
        <v>372</v>
      </c>
      <c r="I22" s="177">
        <f>'Fuel-Depr-OtherTax'!I14</f>
        <v>1196</v>
      </c>
      <c r="J22" s="177">
        <f>'Fuel-Depr-OtherTax'!J14</f>
        <v>506</v>
      </c>
      <c r="K22" s="177">
        <f>'Fuel-Depr-OtherTax'!K14</f>
        <v>-2952</v>
      </c>
      <c r="L22" s="177">
        <f>'Fuel-Depr-OtherTax'!L14</f>
        <v>-2747</v>
      </c>
      <c r="M22" s="177">
        <f>'Fuel-Depr-OtherTax'!M14</f>
        <v>-2825</v>
      </c>
      <c r="N22" s="177">
        <f>'Fuel-Depr-OtherTax'!N14</f>
        <v>-2576</v>
      </c>
      <c r="O22" s="177">
        <f t="shared" si="9"/>
        <v>-10140</v>
      </c>
      <c r="P22" s="178">
        <f t="shared" si="10"/>
        <v>960</v>
      </c>
      <c r="Q22" s="177">
        <f t="shared" si="11"/>
        <v>-11100</v>
      </c>
      <c r="R22" s="570"/>
      <c r="S22" s="170"/>
      <c r="T22" s="605" t="str">
        <f t="shared" si="7"/>
        <v xml:space="preserve">   Fuel Used in Operations</v>
      </c>
      <c r="U22" s="811"/>
      <c r="V22" s="588">
        <f t="shared" si="12"/>
        <v>-11450</v>
      </c>
      <c r="W22" s="588">
        <f t="shared" si="13"/>
        <v>10708</v>
      </c>
      <c r="X22" s="588">
        <f t="shared" si="14"/>
        <v>-1250</v>
      </c>
      <c r="Y22" s="588">
        <f t="shared" si="15"/>
        <v>-8148</v>
      </c>
      <c r="Z22" s="588"/>
      <c r="AA22" s="588">
        <f t="shared" si="16"/>
        <v>-10140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454</v>
      </c>
      <c r="AM22" s="177">
        <f t="shared" si="18"/>
        <v>960</v>
      </c>
      <c r="AN22" s="177">
        <f t="shared" si="18"/>
        <v>-1992</v>
      </c>
      <c r="AO22" s="177">
        <f t="shared" si="18"/>
        <v>-4739</v>
      </c>
      <c r="AP22" s="177">
        <f t="shared" si="18"/>
        <v>-7564</v>
      </c>
      <c r="AQ22" s="177">
        <f t="shared" si="18"/>
        <v>-10140</v>
      </c>
    </row>
    <row r="23" spans="1:44" x14ac:dyDescent="0.2">
      <c r="A23" s="414" t="s">
        <v>632</v>
      </c>
      <c r="B23" s="809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0"/>
      <c r="S23" s="170"/>
      <c r="T23" s="605" t="str">
        <f t="shared" si="7"/>
        <v xml:space="preserve">   Transmission, Compression &amp; Storage</v>
      </c>
      <c r="U23" s="814"/>
      <c r="V23" s="588">
        <f t="shared" si="12"/>
        <v>0</v>
      </c>
      <c r="W23" s="588">
        <f t="shared" si="13"/>
        <v>0</v>
      </c>
      <c r="X23" s="588">
        <f t="shared" si="14"/>
        <v>0</v>
      </c>
      <c r="Y23" s="588">
        <f t="shared" si="15"/>
        <v>0</v>
      </c>
      <c r="Z23" s="588"/>
      <c r="AA23" s="588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">
      <c r="A24" s="411" t="s">
        <v>633</v>
      </c>
      <c r="C24" s="177">
        <f>'Fuel-Depr-OtherTax'!C29</f>
        <v>1621</v>
      </c>
      <c r="D24" s="177">
        <f>'Fuel-Depr-OtherTax'!D29</f>
        <v>1587</v>
      </c>
      <c r="E24" s="177">
        <f>'Fuel-Depr-OtherTax'!E29</f>
        <v>1631</v>
      </c>
      <c r="F24" s="177">
        <f>'Fuel-Depr-OtherTax'!F29</f>
        <v>1643</v>
      </c>
      <c r="G24" s="177">
        <f>'Fuel-Depr-OtherTax'!G29</f>
        <v>1600</v>
      </c>
      <c r="H24" s="177">
        <f>'Fuel-Depr-OtherTax'!H29</f>
        <v>1710</v>
      </c>
      <c r="I24" s="177">
        <f>'Fuel-Depr-OtherTax'!I29</f>
        <v>1648</v>
      </c>
      <c r="J24" s="177">
        <f>'Fuel-Depr-OtherTax'!J29</f>
        <v>1650</v>
      </c>
      <c r="K24" s="177">
        <f>'Fuel-Depr-OtherTax'!K29</f>
        <v>1700</v>
      </c>
      <c r="L24" s="177">
        <f>'Fuel-Depr-OtherTax'!L29</f>
        <v>1800</v>
      </c>
      <c r="M24" s="177">
        <f>'Fuel-Depr-OtherTax'!M29</f>
        <v>1900</v>
      </c>
      <c r="N24" s="177">
        <f>'Fuel-Depr-OtherTax'!N29</f>
        <v>1950</v>
      </c>
      <c r="O24" s="177">
        <f t="shared" si="9"/>
        <v>20440</v>
      </c>
      <c r="P24" s="178">
        <f t="shared" si="10"/>
        <v>13090</v>
      </c>
      <c r="Q24" s="177">
        <f t="shared" si="11"/>
        <v>7350</v>
      </c>
      <c r="R24" s="570"/>
      <c r="S24" s="170"/>
      <c r="T24" s="605" t="str">
        <f t="shared" si="7"/>
        <v xml:space="preserve">   Depreciation &amp; Amortization</v>
      </c>
      <c r="U24" s="811"/>
      <c r="V24" s="588">
        <f t="shared" si="12"/>
        <v>4839</v>
      </c>
      <c r="W24" s="588">
        <f t="shared" si="13"/>
        <v>4953</v>
      </c>
      <c r="X24" s="588">
        <f t="shared" si="14"/>
        <v>4998</v>
      </c>
      <c r="Y24" s="588">
        <f t="shared" si="15"/>
        <v>5650</v>
      </c>
      <c r="Z24" s="588"/>
      <c r="AA24" s="588">
        <f t="shared" si="16"/>
        <v>20440</v>
      </c>
      <c r="AB24" s="170"/>
      <c r="AC24" s="170"/>
      <c r="AD24" s="165" t="str">
        <f t="shared" si="8"/>
        <v xml:space="preserve">   Depreciation &amp; Amortization</v>
      </c>
      <c r="AE24" s="809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11440</v>
      </c>
      <c r="AM24" s="177">
        <f t="shared" si="18"/>
        <v>13090</v>
      </c>
      <c r="AN24" s="177">
        <f t="shared" si="18"/>
        <v>14790</v>
      </c>
      <c r="AO24" s="177">
        <f t="shared" si="18"/>
        <v>16590</v>
      </c>
      <c r="AP24" s="177">
        <f t="shared" si="18"/>
        <v>18490</v>
      </c>
      <c r="AQ24" s="177">
        <f t="shared" si="18"/>
        <v>20440</v>
      </c>
    </row>
    <row r="25" spans="1:44" x14ac:dyDescent="0.2">
      <c r="A25" s="411" t="s">
        <v>634</v>
      </c>
      <c r="C25" s="180">
        <f>'Fuel-Depr-OtherTax'!C51</f>
        <v>956</v>
      </c>
      <c r="D25" s="180">
        <f>'Fuel-Depr-OtherTax'!D51</f>
        <v>1007</v>
      </c>
      <c r="E25" s="180">
        <f>'Fuel-Depr-OtherTax'!E51</f>
        <v>914</v>
      </c>
      <c r="F25" s="180">
        <f>'Fuel-Depr-OtherTax'!F51</f>
        <v>909</v>
      </c>
      <c r="G25" s="180">
        <f>'Fuel-Depr-OtherTax'!G51</f>
        <v>913</v>
      </c>
      <c r="H25" s="180">
        <f>'Fuel-Depr-OtherTax'!H51</f>
        <v>917</v>
      </c>
      <c r="I25" s="180">
        <f>'Fuel-Depr-OtherTax'!I51</f>
        <v>905</v>
      </c>
      <c r="J25" s="180">
        <f>'Fuel-Depr-OtherTax'!J51</f>
        <v>901</v>
      </c>
      <c r="K25" s="180">
        <f>'Fuel-Depr-OtherTax'!K51</f>
        <v>919</v>
      </c>
      <c r="L25" s="180">
        <f>'Fuel-Depr-OtherTax'!L51</f>
        <v>917</v>
      </c>
      <c r="M25" s="180">
        <f>'Fuel-Depr-OtherTax'!M51</f>
        <v>917</v>
      </c>
      <c r="N25" s="180">
        <f>'Fuel-Depr-OtherTax'!N51</f>
        <v>917</v>
      </c>
      <c r="O25" s="180">
        <f t="shared" si="9"/>
        <v>11092</v>
      </c>
      <c r="P25" s="263">
        <f t="shared" si="10"/>
        <v>7422</v>
      </c>
      <c r="Q25" s="180">
        <f t="shared" si="11"/>
        <v>3670</v>
      </c>
      <c r="R25" s="571"/>
      <c r="S25" s="170"/>
      <c r="T25" s="605" t="str">
        <f t="shared" si="7"/>
        <v xml:space="preserve">   Taxes Other Than Income</v>
      </c>
      <c r="U25" s="811"/>
      <c r="V25" s="590">
        <f t="shared" si="12"/>
        <v>2877</v>
      </c>
      <c r="W25" s="590">
        <f t="shared" si="13"/>
        <v>2739</v>
      </c>
      <c r="X25" s="590">
        <f t="shared" si="14"/>
        <v>2725</v>
      </c>
      <c r="Y25" s="590">
        <f t="shared" si="15"/>
        <v>2751</v>
      </c>
      <c r="Z25" s="590"/>
      <c r="AA25" s="590">
        <f t="shared" si="16"/>
        <v>11092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6521</v>
      </c>
      <c r="AM25" s="180">
        <f t="shared" si="18"/>
        <v>7422</v>
      </c>
      <c r="AN25" s="180">
        <f t="shared" si="18"/>
        <v>8341</v>
      </c>
      <c r="AO25" s="180">
        <f t="shared" si="18"/>
        <v>9258</v>
      </c>
      <c r="AP25" s="180">
        <f t="shared" si="18"/>
        <v>10175</v>
      </c>
      <c r="AQ25" s="180">
        <f t="shared" si="18"/>
        <v>11092</v>
      </c>
    </row>
    <row r="26" spans="1:44" ht="3.95" customHeight="1" x14ac:dyDescent="0.2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5"/>
      <c r="U26" s="811"/>
      <c r="V26" s="588"/>
      <c r="W26" s="588"/>
      <c r="X26" s="588"/>
      <c r="Y26" s="588"/>
      <c r="Z26" s="588"/>
      <c r="AA26" s="588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">
      <c r="A27" s="410" t="s">
        <v>635</v>
      </c>
      <c r="B27" s="808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7520</v>
      </c>
      <c r="J27" s="181">
        <f t="shared" si="19"/>
        <v>7541</v>
      </c>
      <c r="K27" s="181">
        <f t="shared" si="19"/>
        <v>2986</v>
      </c>
      <c r="L27" s="181">
        <f t="shared" si="19"/>
        <v>4079</v>
      </c>
      <c r="M27" s="181">
        <f t="shared" si="19"/>
        <v>3990</v>
      </c>
      <c r="N27" s="181">
        <f t="shared" si="19"/>
        <v>4013</v>
      </c>
      <c r="O27" s="181">
        <f t="shared" si="19"/>
        <v>73048</v>
      </c>
      <c r="P27" s="181">
        <f t="shared" si="19"/>
        <v>57980</v>
      </c>
      <c r="Q27" s="181">
        <f t="shared" si="19"/>
        <v>15068</v>
      </c>
      <c r="R27" s="546"/>
      <c r="S27" s="168"/>
      <c r="T27" s="604" t="str">
        <f>A27</f>
        <v xml:space="preserve">     Total Operating Expenses</v>
      </c>
      <c r="U27" s="599"/>
      <c r="V27" s="607">
        <f>SUM(V20:V25)</f>
        <v>11398</v>
      </c>
      <c r="W27" s="607">
        <f>SUM(W20:W25)</f>
        <v>31521</v>
      </c>
      <c r="X27" s="607">
        <f>SUM(X20:X25)</f>
        <v>18047</v>
      </c>
      <c r="Y27" s="607">
        <f>SUM(Y20:Y25)</f>
        <v>12082</v>
      </c>
      <c r="Z27" s="607"/>
      <c r="AA27" s="607">
        <f>SUM(AA20:AA25)</f>
        <v>73048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50439</v>
      </c>
      <c r="AM27" s="181">
        <f t="shared" si="20"/>
        <v>57980</v>
      </c>
      <c r="AN27" s="181">
        <f t="shared" si="20"/>
        <v>60966</v>
      </c>
      <c r="AO27" s="181">
        <f t="shared" si="20"/>
        <v>65045</v>
      </c>
      <c r="AP27" s="181">
        <f t="shared" si="20"/>
        <v>69035</v>
      </c>
      <c r="AQ27" s="181">
        <f t="shared" si="20"/>
        <v>73048</v>
      </c>
    </row>
    <row r="28" spans="1:44" x14ac:dyDescent="0.2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7"/>
      <c r="U28" s="811"/>
      <c r="V28" s="588"/>
      <c r="W28" s="588"/>
      <c r="X28" s="588"/>
      <c r="Y28" s="588"/>
      <c r="Z28" s="588"/>
      <c r="AA28" s="588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">
      <c r="A29" s="410" t="s">
        <v>636</v>
      </c>
      <c r="B29" s="807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10548</v>
      </c>
      <c r="J29" s="181">
        <f t="shared" si="21"/>
        <v>9838</v>
      </c>
      <c r="K29" s="181">
        <f t="shared" si="21"/>
        <v>10089</v>
      </c>
      <c r="L29" s="181">
        <f t="shared" si="21"/>
        <v>9169</v>
      </c>
      <c r="M29" s="181">
        <f t="shared" si="21"/>
        <v>8330</v>
      </c>
      <c r="N29" s="181">
        <f t="shared" si="21"/>
        <v>9152</v>
      </c>
      <c r="O29" s="181">
        <f t="shared" si="21"/>
        <v>119356</v>
      </c>
      <c r="P29" s="181">
        <f t="shared" si="21"/>
        <v>82616</v>
      </c>
      <c r="Q29" s="181">
        <f t="shared" si="21"/>
        <v>36740</v>
      </c>
      <c r="R29" s="546"/>
      <c r="S29" s="168"/>
      <c r="T29" s="604" t="str">
        <f>A29</f>
        <v>OPERATING INCOME</v>
      </c>
      <c r="U29" s="599"/>
      <c r="V29" s="607">
        <f>V17-V27</f>
        <v>28312</v>
      </c>
      <c r="W29" s="607">
        <f>W17-W27</f>
        <v>33918</v>
      </c>
      <c r="X29" s="607">
        <f>X17-X27</f>
        <v>30475</v>
      </c>
      <c r="Y29" s="607">
        <f>Y17-Y27</f>
        <v>26651</v>
      </c>
      <c r="Z29" s="607"/>
      <c r="AA29" s="607">
        <f>AA17-AA27</f>
        <v>119356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72778</v>
      </c>
      <c r="AM29" s="181">
        <f t="shared" si="22"/>
        <v>82616</v>
      </c>
      <c r="AN29" s="181">
        <f t="shared" si="22"/>
        <v>92705</v>
      </c>
      <c r="AO29" s="181">
        <f t="shared" si="22"/>
        <v>101874</v>
      </c>
      <c r="AP29" s="181">
        <f t="shared" si="22"/>
        <v>110204</v>
      </c>
      <c r="AQ29" s="181">
        <f t="shared" si="22"/>
        <v>119356</v>
      </c>
      <c r="AR29" s="170"/>
    </row>
    <row r="30" spans="1:44" x14ac:dyDescent="0.2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7"/>
      <c r="U30" s="811"/>
      <c r="V30" s="588"/>
      <c r="W30" s="588"/>
      <c r="X30" s="588"/>
      <c r="Y30" s="588"/>
      <c r="Z30" s="588"/>
      <c r="AA30" s="588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">
      <c r="A31" s="398" t="s">
        <v>637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4" t="str">
        <f>A31</f>
        <v>OTHER INCOME</v>
      </c>
      <c r="U31" s="811"/>
      <c r="V31" s="588"/>
      <c r="W31" s="588"/>
      <c r="X31" s="588"/>
      <c r="Y31" s="588"/>
      <c r="Z31" s="588"/>
      <c r="AA31" s="588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">
      <c r="A32" s="413" t="s">
        <v>638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SUM(C32:J32)</f>
        <v>0</v>
      </c>
      <c r="Q32" s="177">
        <f>O32-P32</f>
        <v>0</v>
      </c>
      <c r="R32" s="570"/>
      <c r="S32" s="170"/>
      <c r="T32" s="605" t="str">
        <f>A32</f>
        <v xml:space="preserve">   Partnership Income</v>
      </c>
      <c r="U32" s="811"/>
      <c r="V32" s="588">
        <f>C32+D32+E32</f>
        <v>0</v>
      </c>
      <c r="W32" s="588">
        <f>F32+G32+H32</f>
        <v>0</v>
      </c>
      <c r="X32" s="588">
        <f>I32+J32+K32</f>
        <v>0</v>
      </c>
      <c r="Y32" s="588">
        <f>L32+M32+N32</f>
        <v>0</v>
      </c>
      <c r="Z32" s="588"/>
      <c r="AA32" s="588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">
      <c r="A33" s="413" t="s">
        <v>639</v>
      </c>
      <c r="C33" s="177">
        <f>OtherInc!C24</f>
        <v>0</v>
      </c>
      <c r="D33" s="177">
        <f>OtherInc!D24</f>
        <v>1</v>
      </c>
      <c r="E33" s="177">
        <f>OtherInc!E24</f>
        <v>2</v>
      </c>
      <c r="F33" s="177">
        <f>OtherInc!F24</f>
        <v>1</v>
      </c>
      <c r="G33" s="177">
        <f>OtherInc!G24</f>
        <v>0</v>
      </c>
      <c r="H33" s="177">
        <f>OtherInc!H24</f>
        <v>0</v>
      </c>
      <c r="I33" s="177">
        <f>OtherInc!I24</f>
        <v>1</v>
      </c>
      <c r="J33" s="177">
        <f>OtherInc!J24</f>
        <v>5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10</v>
      </c>
      <c r="P33" s="178">
        <f>SUM(C33:J33)</f>
        <v>10</v>
      </c>
      <c r="Q33" s="177">
        <f>O33-P33</f>
        <v>0</v>
      </c>
      <c r="R33" s="570"/>
      <c r="T33" s="605" t="str">
        <f>A33</f>
        <v xml:space="preserve">   Interest Income</v>
      </c>
      <c r="U33" s="811"/>
      <c r="V33" s="588">
        <f>C33+D33+E33</f>
        <v>3</v>
      </c>
      <c r="W33" s="588">
        <f>F33+G33+H33</f>
        <v>1</v>
      </c>
      <c r="X33" s="588">
        <f>I33+J33+K33</f>
        <v>6</v>
      </c>
      <c r="Y33" s="588">
        <f>L33+M33+N33</f>
        <v>0</v>
      </c>
      <c r="Z33" s="588"/>
      <c r="AA33" s="588">
        <f>SUM(V33:Y33)</f>
        <v>10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5</v>
      </c>
      <c r="AM33" s="177">
        <f t="shared" si="23"/>
        <v>10</v>
      </c>
      <c r="AN33" s="177">
        <f t="shared" si="23"/>
        <v>10</v>
      </c>
      <c r="AO33" s="177">
        <f t="shared" si="23"/>
        <v>10</v>
      </c>
      <c r="AP33" s="177">
        <f t="shared" si="23"/>
        <v>10</v>
      </c>
      <c r="AQ33" s="177">
        <f t="shared" si="23"/>
        <v>10</v>
      </c>
    </row>
    <row r="34" spans="1:44" x14ac:dyDescent="0.2">
      <c r="A34" s="413" t="s">
        <v>640</v>
      </c>
      <c r="C34" s="180">
        <f>OtherInc!C45-IntDeduct!C51</f>
        <v>132</v>
      </c>
      <c r="D34" s="180">
        <f>OtherInc!D45-IntDeduct!D51</f>
        <v>-91</v>
      </c>
      <c r="E34" s="180">
        <f>OtherInc!E45-IntDeduct!E51</f>
        <v>-25</v>
      </c>
      <c r="F34" s="180">
        <f>OtherInc!F45-IntDeduct!F51</f>
        <v>4</v>
      </c>
      <c r="G34" s="180">
        <f>OtherInc!G45-IntDeduct!G51</f>
        <v>-25</v>
      </c>
      <c r="H34" s="180">
        <f>OtherInc!H45-IntDeduct!H51</f>
        <v>-4</v>
      </c>
      <c r="I34" s="180">
        <f>OtherInc!I45-IntDeduct!I51</f>
        <v>54</v>
      </c>
      <c r="J34" s="180">
        <f>OtherInc!J45-IntDeduct!J51</f>
        <v>2</v>
      </c>
      <c r="K34" s="180">
        <f>OtherInc!K45-IntDeduct!K51</f>
        <v>-2</v>
      </c>
      <c r="L34" s="180">
        <f>OtherInc!L45-IntDeduct!L51</f>
        <v>-5</v>
      </c>
      <c r="M34" s="180">
        <f>OtherInc!M45-IntDeduct!M51</f>
        <v>-2</v>
      </c>
      <c r="N34" s="180">
        <f>OtherInc!N45-IntDeduct!N51</f>
        <v>-2</v>
      </c>
      <c r="O34" s="180">
        <f>SUM(C34:N34)</f>
        <v>36</v>
      </c>
      <c r="P34" s="263">
        <f>SUM(C34:J34)</f>
        <v>47</v>
      </c>
      <c r="Q34" s="180">
        <f>O34-P34</f>
        <v>-11</v>
      </c>
      <c r="R34" s="571"/>
      <c r="S34" s="170"/>
      <c r="T34" s="605" t="str">
        <f>A34</f>
        <v xml:space="preserve">   Other Income / (Deductions)</v>
      </c>
      <c r="U34" s="811"/>
      <c r="V34" s="590">
        <f>C34+D34+E34</f>
        <v>16</v>
      </c>
      <c r="W34" s="590">
        <f>F34+G34+H34</f>
        <v>-25</v>
      </c>
      <c r="X34" s="590">
        <f>I34+J34+K34</f>
        <v>54</v>
      </c>
      <c r="Y34" s="590">
        <f>L34+M34+N34</f>
        <v>-9</v>
      </c>
      <c r="Z34" s="590"/>
      <c r="AA34" s="590">
        <f>SUM(V34:Y34)</f>
        <v>36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45</v>
      </c>
      <c r="AM34" s="180">
        <f t="shared" si="23"/>
        <v>47</v>
      </c>
      <c r="AN34" s="180">
        <f t="shared" si="23"/>
        <v>45</v>
      </c>
      <c r="AO34" s="180">
        <f t="shared" si="23"/>
        <v>40</v>
      </c>
      <c r="AP34" s="180">
        <f t="shared" si="23"/>
        <v>38</v>
      </c>
      <c r="AQ34" s="180">
        <f t="shared" si="23"/>
        <v>36</v>
      </c>
    </row>
    <row r="35" spans="1:44" ht="3.95" customHeight="1" x14ac:dyDescent="0.2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3"/>
      <c r="U35" s="811"/>
      <c r="V35" s="588"/>
      <c r="W35" s="588"/>
      <c r="X35" s="588"/>
      <c r="Y35" s="588"/>
      <c r="Z35" s="588"/>
      <c r="AA35" s="588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">
      <c r="A36" s="410" t="s">
        <v>641</v>
      </c>
      <c r="B36" s="807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55</v>
      </c>
      <c r="J36" s="181">
        <f t="shared" si="24"/>
        <v>7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46</v>
      </c>
      <c r="P36" s="181">
        <f t="shared" si="24"/>
        <v>57</v>
      </c>
      <c r="Q36" s="181">
        <f t="shared" si="24"/>
        <v>-11</v>
      </c>
      <c r="R36" s="546"/>
      <c r="S36" s="168"/>
      <c r="T36" s="604" t="str">
        <f>A36</f>
        <v xml:space="preserve">     Total Other Income &amp; Other Deductions</v>
      </c>
      <c r="U36" s="599"/>
      <c r="V36" s="607">
        <f>V32+V33+V34</f>
        <v>19</v>
      </c>
      <c r="W36" s="607">
        <f>W32+W33+W34</f>
        <v>-24</v>
      </c>
      <c r="X36" s="607">
        <f>X32+X33+X34</f>
        <v>60</v>
      </c>
      <c r="Y36" s="607">
        <f>Y32+Y33+Y34</f>
        <v>-9</v>
      </c>
      <c r="Z36" s="607"/>
      <c r="AA36" s="607">
        <f>AA32+AA33+AA34</f>
        <v>46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50</v>
      </c>
      <c r="AM36" s="181">
        <f t="shared" si="25"/>
        <v>57</v>
      </c>
      <c r="AN36" s="181">
        <f t="shared" si="25"/>
        <v>55</v>
      </c>
      <c r="AO36" s="181">
        <f t="shared" si="25"/>
        <v>50</v>
      </c>
      <c r="AP36" s="181">
        <f t="shared" si="25"/>
        <v>48</v>
      </c>
      <c r="AQ36" s="181">
        <f t="shared" si="25"/>
        <v>46</v>
      </c>
    </row>
    <row r="37" spans="1:44" x14ac:dyDescent="0.2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7"/>
      <c r="U37" s="811"/>
      <c r="V37" s="588"/>
      <c r="W37" s="588"/>
      <c r="X37" s="588"/>
      <c r="Y37" s="588"/>
      <c r="Z37" s="588"/>
      <c r="AA37" s="588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">
      <c r="A38" s="399" t="s">
        <v>645</v>
      </c>
      <c r="B38" s="810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10603</v>
      </c>
      <c r="J38" s="181">
        <f t="shared" si="26"/>
        <v>9845</v>
      </c>
      <c r="K38" s="181">
        <f t="shared" si="26"/>
        <v>10087</v>
      </c>
      <c r="L38" s="181">
        <f t="shared" si="26"/>
        <v>9164</v>
      </c>
      <c r="M38" s="181">
        <f t="shared" si="26"/>
        <v>8328</v>
      </c>
      <c r="N38" s="181">
        <f t="shared" si="26"/>
        <v>9150</v>
      </c>
      <c r="O38" s="181">
        <f t="shared" si="26"/>
        <v>119402</v>
      </c>
      <c r="P38" s="181">
        <f t="shared" si="26"/>
        <v>82673</v>
      </c>
      <c r="Q38" s="181">
        <f>O38-P38</f>
        <v>36729</v>
      </c>
      <c r="R38" s="546"/>
      <c r="S38" s="168"/>
      <c r="T38" s="604" t="str">
        <f>A38</f>
        <v>INCOME BEFORE INTEREST &amp; TAXES</v>
      </c>
      <c r="U38" s="813"/>
      <c r="V38" s="607">
        <f>C38+D38+E38</f>
        <v>28331</v>
      </c>
      <c r="W38" s="607">
        <f>F38+G38+H38</f>
        <v>33894</v>
      </c>
      <c r="X38" s="607">
        <f>I38+J38+K38</f>
        <v>30535</v>
      </c>
      <c r="Y38" s="607">
        <f>L38+M38+N38</f>
        <v>26642</v>
      </c>
      <c r="Z38" s="607"/>
      <c r="AA38" s="607">
        <f>SUM(V38:Y38)</f>
        <v>119402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72828</v>
      </c>
      <c r="AM38" s="181">
        <f t="shared" si="27"/>
        <v>82673</v>
      </c>
      <c r="AN38" s="181">
        <f t="shared" si="27"/>
        <v>92760</v>
      </c>
      <c r="AO38" s="181">
        <f t="shared" si="27"/>
        <v>101924</v>
      </c>
      <c r="AP38" s="181">
        <f t="shared" si="27"/>
        <v>110252</v>
      </c>
      <c r="AQ38" s="181">
        <f t="shared" si="27"/>
        <v>119402</v>
      </c>
    </row>
    <row r="39" spans="1:44" x14ac:dyDescent="0.2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7"/>
      <c r="U39" s="811"/>
      <c r="V39" s="588"/>
      <c r="W39" s="588"/>
      <c r="X39" s="588"/>
      <c r="Y39" s="588"/>
      <c r="Z39" s="588"/>
      <c r="AA39" s="588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">
      <c r="A40" s="410" t="s">
        <v>332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4" t="str">
        <f t="shared" ref="T40:T45" si="28">A40</f>
        <v xml:space="preserve">INTEREST AND OTHER </v>
      </c>
      <c r="U40" s="811"/>
      <c r="V40" s="588"/>
      <c r="W40" s="608"/>
      <c r="X40" s="588"/>
      <c r="Y40" s="588"/>
      <c r="Z40" s="588"/>
      <c r="AA40" s="588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">
      <c r="A41" s="411" t="s">
        <v>642</v>
      </c>
      <c r="C41" s="177">
        <f>IntDeduct!C18</f>
        <v>-1</v>
      </c>
      <c r="D41" s="177">
        <f>IntDeduct!D18</f>
        <v>-2</v>
      </c>
      <c r="E41" s="177">
        <f>IntDeduct!E18</f>
        <v>-1</v>
      </c>
      <c r="F41" s="177">
        <f>IntDeduct!F18</f>
        <v>-2</v>
      </c>
      <c r="G41" s="177">
        <f>IntDeduct!G18</f>
        <v>-1</v>
      </c>
      <c r="H41" s="177">
        <f>IntDeduct!H18</f>
        <v>-1</v>
      </c>
      <c r="I41" s="177">
        <f>IntDeduct!I18</f>
        <v>-5</v>
      </c>
      <c r="J41" s="177">
        <f>IntDeduct!J18</f>
        <v>-4</v>
      </c>
      <c r="K41" s="177">
        <f>IntDeduct!K18</f>
        <v>-3</v>
      </c>
      <c r="L41" s="177">
        <f>IntDeduct!L18</f>
        <v>-2</v>
      </c>
      <c r="M41" s="177">
        <f>IntDeduct!M18</f>
        <v>-3</v>
      </c>
      <c r="N41" s="177">
        <f>IntDeduct!N18</f>
        <v>-3</v>
      </c>
      <c r="O41" s="177">
        <f>SUM(C41:N41)</f>
        <v>-28</v>
      </c>
      <c r="P41" s="178">
        <f>SUM(C41:J41)</f>
        <v>-17</v>
      </c>
      <c r="Q41" s="177">
        <f>O41-P41</f>
        <v>-11</v>
      </c>
      <c r="R41" s="570"/>
      <c r="S41" s="170"/>
      <c r="T41" s="605" t="str">
        <f t="shared" si="28"/>
        <v xml:space="preserve">   Direct Interest</v>
      </c>
      <c r="U41" s="811"/>
      <c r="V41" s="588">
        <f>C41+D41+E41</f>
        <v>-4</v>
      </c>
      <c r="W41" s="588">
        <f>F41+G41+H41</f>
        <v>-4</v>
      </c>
      <c r="X41" s="588">
        <f>I41+J41+K41</f>
        <v>-12</v>
      </c>
      <c r="Y41" s="588">
        <f>L41+M41+N41</f>
        <v>-8</v>
      </c>
      <c r="Z41" s="588"/>
      <c r="AA41" s="588">
        <f>SUM(V41:Y41)</f>
        <v>-28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-13</v>
      </c>
      <c r="AM41" s="177">
        <f t="shared" si="30"/>
        <v>-17</v>
      </c>
      <c r="AN41" s="177">
        <f t="shared" si="30"/>
        <v>-20</v>
      </c>
      <c r="AO41" s="177">
        <f t="shared" si="30"/>
        <v>-22</v>
      </c>
      <c r="AP41" s="177">
        <f t="shared" si="30"/>
        <v>-25</v>
      </c>
      <c r="AQ41" s="177">
        <f t="shared" si="30"/>
        <v>-28</v>
      </c>
    </row>
    <row r="42" spans="1:44" x14ac:dyDescent="0.2">
      <c r="A42" s="411" t="s">
        <v>329</v>
      </c>
      <c r="C42" s="177">
        <f>IntDeduct!C21+IntDeduct!C22</f>
        <v>119</v>
      </c>
      <c r="D42" s="177">
        <f>IntDeduct!D21+IntDeduct!D22</f>
        <v>119</v>
      </c>
      <c r="E42" s="177">
        <f>IntDeduct!E21+IntDeduct!E22</f>
        <v>120</v>
      </c>
      <c r="F42" s="177">
        <f>IntDeduct!F21+IntDeduct!F22</f>
        <v>119</v>
      </c>
      <c r="G42" s="177">
        <f>IntDeduct!G21+IntDeduct!G22</f>
        <v>119</v>
      </c>
      <c r="H42" s="177">
        <f>IntDeduct!H21+IntDeduct!H22</f>
        <v>119</v>
      </c>
      <c r="I42" s="177">
        <f>IntDeduct!I21+IntDeduct!I22</f>
        <v>119</v>
      </c>
      <c r="J42" s="177">
        <f>IntDeduct!J21+IntDeduct!J22</f>
        <v>119</v>
      </c>
      <c r="K42" s="177">
        <f>IntDeduct!K21+IntDeduct!K22</f>
        <v>120</v>
      </c>
      <c r="L42" s="177">
        <f>IntDeduct!L21+IntDeduct!L22</f>
        <v>119</v>
      </c>
      <c r="M42" s="177">
        <f>IntDeduct!M21+IntDeduct!M22</f>
        <v>90</v>
      </c>
      <c r="N42" s="177">
        <f>IntDeduct!N21+IntDeduct!N22</f>
        <v>90</v>
      </c>
      <c r="O42" s="177">
        <f>SUM(C42:N42)</f>
        <v>1372</v>
      </c>
      <c r="P42" s="178">
        <f>SUM(C42:J42)</f>
        <v>953</v>
      </c>
      <c r="Q42" s="177">
        <f>O42-P42</f>
        <v>419</v>
      </c>
      <c r="R42" s="570"/>
      <c r="S42" s="170"/>
      <c r="T42" s="605" t="str">
        <f t="shared" si="28"/>
        <v xml:space="preserve">   Interest on Long Term Debt (Pre 1/1/98 - Third Party)</v>
      </c>
      <c r="U42" s="811"/>
      <c r="V42" s="588">
        <f>C42+D42+E42</f>
        <v>358</v>
      </c>
      <c r="W42" s="588">
        <f>F42+G42+H42</f>
        <v>357</v>
      </c>
      <c r="X42" s="588">
        <f>I42+J42+K42</f>
        <v>358</v>
      </c>
      <c r="Y42" s="588">
        <f>L42+M42+N42</f>
        <v>299</v>
      </c>
      <c r="Z42" s="588"/>
      <c r="AA42" s="588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">
      <c r="A43" s="411" t="s">
        <v>330</v>
      </c>
      <c r="C43" s="177">
        <f>IntDeduct!C23</f>
        <v>925</v>
      </c>
      <c r="D43" s="177">
        <f>IntDeduct!D23</f>
        <v>925</v>
      </c>
      <c r="E43" s="177">
        <f>IntDeduct!E23</f>
        <v>925</v>
      </c>
      <c r="F43" s="177">
        <f>IntDeduct!F23</f>
        <v>657</v>
      </c>
      <c r="G43" s="177">
        <f>IntDeduct!G23</f>
        <v>678</v>
      </c>
      <c r="H43" s="177">
        <f>IntDeduct!H23</f>
        <v>613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4723</v>
      </c>
      <c r="P43" s="178">
        <f>SUM(C43:J43)</f>
        <v>4723</v>
      </c>
      <c r="Q43" s="177">
        <f>O43-P43</f>
        <v>0</v>
      </c>
      <c r="R43" s="570"/>
      <c r="S43" s="170"/>
      <c r="T43" s="605" t="str">
        <f t="shared" si="28"/>
        <v xml:space="preserve">   Interest on Long Term Debt (Post 1/1/98 - Internal)</v>
      </c>
      <c r="U43" s="811"/>
      <c r="V43" s="588">
        <f>C43+D43+E43</f>
        <v>2775</v>
      </c>
      <c r="W43" s="588">
        <f>F43+G43+H43</f>
        <v>1948</v>
      </c>
      <c r="X43" s="588">
        <f>I43+J43+K43</f>
        <v>0</v>
      </c>
      <c r="Y43" s="588">
        <f>L43+M43+N43</f>
        <v>0</v>
      </c>
      <c r="Z43" s="588"/>
      <c r="AA43" s="588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">
      <c r="A44" s="411" t="s">
        <v>643</v>
      </c>
      <c r="C44" s="177">
        <f>SUM(IntDeduct!C24:C26)</f>
        <v>0</v>
      </c>
      <c r="D44" s="177">
        <f>SUM(IntDeduct!D24:D26)</f>
        <v>0</v>
      </c>
      <c r="E44" s="177">
        <f>SUM(IntDeduct!E24:E26)</f>
        <v>-5198</v>
      </c>
      <c r="F44" s="177">
        <f>SUM(IntDeduct!F24:F26)</f>
        <v>-1785</v>
      </c>
      <c r="G44" s="177">
        <f>SUM(IntDeduct!G24:G26)</f>
        <v>-1429</v>
      </c>
      <c r="H44" s="177">
        <f>SUM(IntDeduct!H24:H26)</f>
        <v>-1319</v>
      </c>
      <c r="I44" s="177">
        <f>SUM(IntDeduct!I24:I26)</f>
        <v>-825</v>
      </c>
      <c r="J44" s="177">
        <f>SUM(IntDeduct!J24:J26)</f>
        <v>-825</v>
      </c>
      <c r="K44" s="177">
        <f>SUM(IntDeduct!K24:K26)</f>
        <v>-770</v>
      </c>
      <c r="L44" s="177">
        <f>SUM(IntDeduct!L24:L26)</f>
        <v>-788</v>
      </c>
      <c r="M44" s="177">
        <f>SUM(IntDeduct!M24:M26)</f>
        <v>-743</v>
      </c>
      <c r="N44" s="177">
        <f>SUM(IntDeduct!N24:N26)</f>
        <v>-730</v>
      </c>
      <c r="O44" s="177">
        <f>SUM(C44:N44)</f>
        <v>-14412</v>
      </c>
      <c r="P44" s="178">
        <f>SUM(C44:J44)</f>
        <v>-11381</v>
      </c>
      <c r="Q44" s="177">
        <f>O44-P44</f>
        <v>-3031</v>
      </c>
      <c r="R44" s="570"/>
      <c r="S44" s="170"/>
      <c r="T44" s="605" t="str">
        <f t="shared" si="28"/>
        <v xml:space="preserve">   Intercompany Interest Expense / (Income)</v>
      </c>
      <c r="U44" s="811"/>
      <c r="V44" s="588">
        <f>C44+D44+E44</f>
        <v>-5198</v>
      </c>
      <c r="W44" s="588">
        <f>F44+G44+H44</f>
        <v>-4533</v>
      </c>
      <c r="X44" s="588">
        <f>I44+J44+K44</f>
        <v>-2420</v>
      </c>
      <c r="Y44" s="588">
        <f>L44+M44+N44</f>
        <v>-2261</v>
      </c>
      <c r="Z44" s="588"/>
      <c r="AA44" s="588">
        <f>SUM(V44:Y44)</f>
        <v>-14412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-11381</v>
      </c>
      <c r="AN44" s="177">
        <f t="shared" si="30"/>
        <v>-12151</v>
      </c>
      <c r="AO44" s="177">
        <f t="shared" si="30"/>
        <v>-12939</v>
      </c>
      <c r="AP44" s="177">
        <f t="shared" si="30"/>
        <v>-13682</v>
      </c>
      <c r="AQ44" s="177">
        <f t="shared" si="30"/>
        <v>-14412</v>
      </c>
    </row>
    <row r="45" spans="1:44" ht="12.75" customHeight="1" x14ac:dyDescent="0.2">
      <c r="A45" s="176" t="s">
        <v>644</v>
      </c>
      <c r="C45" s="180">
        <f>IntDeduct!C35</f>
        <v>-11</v>
      </c>
      <c r="D45" s="180">
        <f>IntDeduct!D35</f>
        <v>-10</v>
      </c>
      <c r="E45" s="180">
        <f>IntDeduct!E35</f>
        <v>-9</v>
      </c>
      <c r="F45" s="180">
        <f>IntDeduct!F35</f>
        <v>-7</v>
      </c>
      <c r="G45" s="180">
        <f>IntDeduct!G35</f>
        <v>-8</v>
      </c>
      <c r="H45" s="180">
        <f>IntDeduct!H35</f>
        <v>-11</v>
      </c>
      <c r="I45" s="180">
        <f>IntDeduct!I35</f>
        <v>-35</v>
      </c>
      <c r="J45" s="180">
        <f>IntDeduct!J35</f>
        <v>-34</v>
      </c>
      <c r="K45" s="180">
        <f>IntDeduct!K35</f>
        <v>-25</v>
      </c>
      <c r="L45" s="180">
        <f>IntDeduct!L35</f>
        <v>-15</v>
      </c>
      <c r="M45" s="180">
        <f>IntDeduct!M35</f>
        <v>-27</v>
      </c>
      <c r="N45" s="180">
        <f>IntDeduct!N35</f>
        <v>-22</v>
      </c>
      <c r="O45" s="180">
        <f>SUM(C45:N45)</f>
        <v>-214</v>
      </c>
      <c r="P45" s="263">
        <f>SUM(C45:J45)</f>
        <v>-125</v>
      </c>
      <c r="Q45" s="180">
        <f>O45-P45</f>
        <v>-89</v>
      </c>
      <c r="R45" s="571"/>
      <c r="S45" s="659"/>
      <c r="T45" s="605" t="str">
        <f t="shared" si="28"/>
        <v xml:space="preserve">   AFUDC</v>
      </c>
      <c r="U45" s="815"/>
      <c r="V45" s="590">
        <f>C45+D45+E45</f>
        <v>-30</v>
      </c>
      <c r="W45" s="590">
        <f>F45+G45+H45</f>
        <v>-26</v>
      </c>
      <c r="X45" s="590">
        <f>I45+J45+K45</f>
        <v>-94</v>
      </c>
      <c r="Y45" s="590">
        <f>L45+M45+N45</f>
        <v>-64</v>
      </c>
      <c r="Z45" s="590"/>
      <c r="AA45" s="590">
        <f>SUM(V45:Y45)</f>
        <v>-214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-91</v>
      </c>
      <c r="AM45" s="180">
        <f t="shared" si="30"/>
        <v>-125</v>
      </c>
      <c r="AN45" s="180">
        <f t="shared" si="30"/>
        <v>-150</v>
      </c>
      <c r="AO45" s="180">
        <f t="shared" si="30"/>
        <v>-165</v>
      </c>
      <c r="AP45" s="180">
        <f t="shared" si="30"/>
        <v>-192</v>
      </c>
      <c r="AQ45" s="180">
        <f t="shared" si="30"/>
        <v>-214</v>
      </c>
    </row>
    <row r="46" spans="1:44" ht="3.95" customHeight="1" x14ac:dyDescent="0.2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7"/>
      <c r="U46" s="811"/>
      <c r="V46" s="588"/>
      <c r="W46" s="588"/>
      <c r="X46" s="588"/>
      <c r="Y46" s="588"/>
      <c r="Z46" s="588"/>
      <c r="AA46" s="588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">
      <c r="A47" s="415" t="s">
        <v>333</v>
      </c>
      <c r="B47" s="810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-746</v>
      </c>
      <c r="J47" s="181">
        <f t="shared" si="32"/>
        <v>-744</v>
      </c>
      <c r="K47" s="181">
        <f t="shared" si="32"/>
        <v>-678</v>
      </c>
      <c r="L47" s="181">
        <f t="shared" si="32"/>
        <v>-686</v>
      </c>
      <c r="M47" s="181">
        <f t="shared" si="32"/>
        <v>-683</v>
      </c>
      <c r="N47" s="181">
        <f t="shared" si="32"/>
        <v>-665</v>
      </c>
      <c r="O47" s="181">
        <f t="shared" si="32"/>
        <v>-8559</v>
      </c>
      <c r="P47" s="181">
        <f t="shared" si="32"/>
        <v>-5847</v>
      </c>
      <c r="Q47" s="181">
        <f t="shared" si="32"/>
        <v>-2712</v>
      </c>
      <c r="R47" s="546"/>
      <c r="S47" s="168"/>
      <c r="T47" s="604" t="str">
        <f>A47</f>
        <v xml:space="preserve">     Total Interest and Other</v>
      </c>
      <c r="U47" s="813"/>
      <c r="V47" s="607">
        <f>SUM(V41:V45)</f>
        <v>-2099</v>
      </c>
      <c r="W47" s="607">
        <f>SUM(W41:W45)</f>
        <v>-2258</v>
      </c>
      <c r="X47" s="607">
        <f>SUM(X41:X45)</f>
        <v>-2168</v>
      </c>
      <c r="Y47" s="607">
        <f>SUM(Y41:Y45)</f>
        <v>-2034</v>
      </c>
      <c r="Z47" s="607"/>
      <c r="AA47" s="607">
        <f>SUM(AA41:AA45)</f>
        <v>-8559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-5103</v>
      </c>
      <c r="AM47" s="181">
        <f t="shared" si="33"/>
        <v>-5847</v>
      </c>
      <c r="AN47" s="181">
        <f t="shared" si="33"/>
        <v>-6525</v>
      </c>
      <c r="AO47" s="181">
        <f t="shared" si="33"/>
        <v>-7211</v>
      </c>
      <c r="AP47" s="181">
        <f t="shared" si="33"/>
        <v>-7894</v>
      </c>
      <c r="AQ47" s="181">
        <f t="shared" si="33"/>
        <v>-8559</v>
      </c>
    </row>
    <row r="48" spans="1:44" x14ac:dyDescent="0.2">
      <c r="A48" s="415"/>
      <c r="B48" s="81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4"/>
      <c r="U48" s="813"/>
      <c r="V48" s="607"/>
      <c r="W48" s="607"/>
      <c r="X48" s="607"/>
      <c r="Y48" s="607"/>
      <c r="Z48" s="607"/>
      <c r="AA48" s="607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">
      <c r="A49" s="399" t="s">
        <v>646</v>
      </c>
      <c r="B49" s="807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11349</v>
      </c>
      <c r="J49" s="181">
        <f t="shared" si="34"/>
        <v>10589</v>
      </c>
      <c r="K49" s="181">
        <f t="shared" si="34"/>
        <v>10765</v>
      </c>
      <c r="L49" s="181">
        <f t="shared" si="34"/>
        <v>9850</v>
      </c>
      <c r="M49" s="181">
        <f t="shared" si="34"/>
        <v>9011</v>
      </c>
      <c r="N49" s="181">
        <f t="shared" si="34"/>
        <v>9815</v>
      </c>
      <c r="O49" s="181">
        <f t="shared" si="34"/>
        <v>127961</v>
      </c>
      <c r="P49" s="181">
        <f t="shared" si="34"/>
        <v>88520</v>
      </c>
      <c r="Q49" s="181">
        <f t="shared" si="34"/>
        <v>39441</v>
      </c>
      <c r="R49" s="546"/>
      <c r="S49" s="168"/>
      <c r="T49" s="604" t="str">
        <f>A49</f>
        <v>INCOME BEFORE INCOME TAXES</v>
      </c>
      <c r="U49" s="599"/>
      <c r="V49" s="607">
        <f>V29+V36-V47</f>
        <v>30430</v>
      </c>
      <c r="W49" s="607">
        <f>W29+W36-W47</f>
        <v>36152</v>
      </c>
      <c r="X49" s="607">
        <f>X29+X36-X47</f>
        <v>32703</v>
      </c>
      <c r="Y49" s="607">
        <f>Y29+Y36-Y47</f>
        <v>28676</v>
      </c>
      <c r="Z49" s="607"/>
      <c r="AA49" s="607">
        <f>AA29+AA36-AA47</f>
        <v>127961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77931</v>
      </c>
      <c r="AM49" s="181">
        <f t="shared" si="35"/>
        <v>88520</v>
      </c>
      <c r="AN49" s="181">
        <f t="shared" si="35"/>
        <v>99285</v>
      </c>
      <c r="AO49" s="181">
        <f t="shared" si="35"/>
        <v>109135</v>
      </c>
      <c r="AP49" s="181">
        <f t="shared" si="35"/>
        <v>118146</v>
      </c>
      <c r="AQ49" s="181">
        <f t="shared" si="35"/>
        <v>127961</v>
      </c>
    </row>
    <row r="50" spans="1:44" x14ac:dyDescent="0.2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7"/>
      <c r="U50" s="811"/>
      <c r="V50" s="588"/>
      <c r="W50" s="588"/>
      <c r="X50" s="588"/>
      <c r="Y50" s="588"/>
      <c r="Z50" s="588"/>
      <c r="AA50" s="588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">
      <c r="A51" s="176" t="s">
        <v>274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4178</v>
      </c>
      <c r="J51" s="177">
        <f t="shared" si="36"/>
        <v>4037</v>
      </c>
      <c r="K51" s="177">
        <f t="shared" si="36"/>
        <v>3460</v>
      </c>
      <c r="L51" s="177">
        <f t="shared" si="36"/>
        <v>595</v>
      </c>
      <c r="M51" s="177">
        <f t="shared" si="36"/>
        <v>4278</v>
      </c>
      <c r="N51" s="177">
        <f t="shared" si="36"/>
        <v>3898</v>
      </c>
      <c r="O51" s="177">
        <f>SUM(C51:N51)</f>
        <v>49845</v>
      </c>
      <c r="P51" s="178">
        <f>SUM(C51:J51)</f>
        <v>37614</v>
      </c>
      <c r="Q51" s="177">
        <f>O51-P51</f>
        <v>12231</v>
      </c>
      <c r="R51" s="570"/>
      <c r="S51" s="170"/>
      <c r="T51" s="605" t="str">
        <f>A51</f>
        <v xml:space="preserve">   Payable Currently</v>
      </c>
      <c r="U51" s="811"/>
      <c r="V51" s="588">
        <f>C51+D51+E51</f>
        <v>16342</v>
      </c>
      <c r="W51" s="588">
        <f>F51+G51+H51</f>
        <v>13057</v>
      </c>
      <c r="X51" s="588">
        <f>I51+J51+K51</f>
        <v>11675</v>
      </c>
      <c r="Y51" s="588">
        <f>L51+M51+N51</f>
        <v>8771</v>
      </c>
      <c r="Z51" s="588"/>
      <c r="AA51" s="588">
        <f>SUM(V51:Y51)</f>
        <v>49845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33577</v>
      </c>
      <c r="AM51" s="177">
        <f t="shared" si="37"/>
        <v>37614</v>
      </c>
      <c r="AN51" s="177">
        <f t="shared" si="37"/>
        <v>41074</v>
      </c>
      <c r="AO51" s="177">
        <f t="shared" si="37"/>
        <v>41669</v>
      </c>
      <c r="AP51" s="177">
        <f t="shared" si="37"/>
        <v>45947</v>
      </c>
      <c r="AQ51" s="177">
        <f t="shared" si="37"/>
        <v>49845</v>
      </c>
    </row>
    <row r="52" spans="1:44" x14ac:dyDescent="0.2">
      <c r="A52" s="413" t="s">
        <v>277</v>
      </c>
      <c r="C52" s="846">
        <f>DeferredTax!R81</f>
        <v>150</v>
      </c>
      <c r="D52" s="846">
        <f>DeferredTax!S81</f>
        <v>92</v>
      </c>
      <c r="E52" s="846">
        <f>DeferredTax!T81</f>
        <v>-4693</v>
      </c>
      <c r="F52" s="846">
        <f>DeferredTax!U81</f>
        <v>802</v>
      </c>
      <c r="G52" s="846">
        <f>DeferredTax!V81</f>
        <v>259</v>
      </c>
      <c r="H52" s="846">
        <f>DeferredTax!W81</f>
        <v>6</v>
      </c>
      <c r="I52" s="846">
        <f>DeferredTax!X81</f>
        <v>256</v>
      </c>
      <c r="J52" s="846">
        <f>DeferredTax!Y81</f>
        <v>100</v>
      </c>
      <c r="K52" s="846">
        <f>DeferredTax!Z81</f>
        <v>747</v>
      </c>
      <c r="L52" s="846">
        <f>DeferredTax!AA81</f>
        <v>3257</v>
      </c>
      <c r="M52" s="846">
        <f>DeferredTax!AB81</f>
        <v>-753</v>
      </c>
      <c r="N52" s="846">
        <f>DeferredTax!AC81</f>
        <v>-60</v>
      </c>
      <c r="O52" s="180">
        <f>SUM(C52:N52)</f>
        <v>163</v>
      </c>
      <c r="P52" s="263">
        <f>SUM(C52:J52)</f>
        <v>-3028</v>
      </c>
      <c r="Q52" s="180">
        <f>O52-P52</f>
        <v>3191</v>
      </c>
      <c r="R52" s="571"/>
      <c r="S52" s="170"/>
      <c r="T52" s="605" t="str">
        <f>A52</f>
        <v xml:space="preserve">   Deferred</v>
      </c>
      <c r="U52" s="811"/>
      <c r="V52" s="590">
        <f>C52+D52+E52</f>
        <v>-4451</v>
      </c>
      <c r="W52" s="590">
        <f>F52+G52+H52</f>
        <v>1067</v>
      </c>
      <c r="X52" s="590">
        <f>I52+J52+K52</f>
        <v>1103</v>
      </c>
      <c r="Y52" s="590">
        <f>L52+M52+N52</f>
        <v>2444</v>
      </c>
      <c r="Z52" s="590"/>
      <c r="AA52" s="590">
        <f>SUM(V52:Y52)</f>
        <v>163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-3128</v>
      </c>
      <c r="AM52" s="180">
        <f t="shared" si="37"/>
        <v>-3028</v>
      </c>
      <c r="AN52" s="180">
        <f t="shared" si="37"/>
        <v>-2281</v>
      </c>
      <c r="AO52" s="180">
        <f t="shared" si="37"/>
        <v>976</v>
      </c>
      <c r="AP52" s="180">
        <f t="shared" si="37"/>
        <v>223</v>
      </c>
      <c r="AQ52" s="180">
        <f t="shared" si="37"/>
        <v>163</v>
      </c>
    </row>
    <row r="53" spans="1:44" ht="3.95" customHeight="1" x14ac:dyDescent="0.2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3"/>
      <c r="U53" s="811"/>
      <c r="V53" s="588"/>
      <c r="W53" s="588"/>
      <c r="X53" s="588"/>
      <c r="Y53" s="588"/>
      <c r="Z53" s="588"/>
      <c r="AA53" s="588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">
      <c r="A54" s="412" t="s">
        <v>273</v>
      </c>
      <c r="B54" s="807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4434</v>
      </c>
      <c r="J54" s="181">
        <f t="shared" si="38"/>
        <v>4137</v>
      </c>
      <c r="K54" s="181">
        <f t="shared" si="38"/>
        <v>4207</v>
      </c>
      <c r="L54" s="181">
        <f t="shared" si="38"/>
        <v>3852</v>
      </c>
      <c r="M54" s="181">
        <f t="shared" si="38"/>
        <v>3525</v>
      </c>
      <c r="N54" s="181">
        <f t="shared" si="38"/>
        <v>3838</v>
      </c>
      <c r="O54" s="181">
        <f>ROUND((SUM(O51:O52)),0)</f>
        <v>50008</v>
      </c>
      <c r="P54" s="181">
        <f>ROUND((SUM(P51:P52)),0)</f>
        <v>34586</v>
      </c>
      <c r="Q54" s="181">
        <f>ROUND((SUM(Q51:Q52)),0)</f>
        <v>15422</v>
      </c>
      <c r="R54" s="546"/>
      <c r="S54" s="168"/>
      <c r="T54" s="604" t="str">
        <f>A54</f>
        <v xml:space="preserve">     Total Income Taxes (Composite Rate - 38.88 %)</v>
      </c>
      <c r="U54" s="599"/>
      <c r="V54" s="607">
        <f>V51+V52</f>
        <v>11891</v>
      </c>
      <c r="W54" s="607">
        <f>W51+W52</f>
        <v>14124</v>
      </c>
      <c r="X54" s="607">
        <f>X51+X52</f>
        <v>12778</v>
      </c>
      <c r="Y54" s="607">
        <f>Y51+Y52</f>
        <v>11215</v>
      </c>
      <c r="Z54" s="607"/>
      <c r="AA54" s="607">
        <f>AA51+AA52</f>
        <v>50008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30449</v>
      </c>
      <c r="AM54" s="181">
        <f t="shared" si="39"/>
        <v>34586</v>
      </c>
      <c r="AN54" s="181">
        <f t="shared" si="39"/>
        <v>38793</v>
      </c>
      <c r="AO54" s="181">
        <f t="shared" si="39"/>
        <v>42645</v>
      </c>
      <c r="AP54" s="181">
        <f t="shared" si="39"/>
        <v>46170</v>
      </c>
      <c r="AQ54" s="181">
        <f t="shared" si="39"/>
        <v>50008</v>
      </c>
    </row>
    <row r="55" spans="1:44" x14ac:dyDescent="0.2">
      <c r="A55" s="401"/>
      <c r="B55" s="807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2"/>
      <c r="U55" s="599"/>
      <c r="V55" s="606"/>
      <c r="W55" s="606"/>
      <c r="X55" s="606"/>
      <c r="Y55" s="609"/>
      <c r="Z55" s="606"/>
      <c r="AA55" s="606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">
      <c r="A56" s="410" t="s">
        <v>331</v>
      </c>
      <c r="B56" s="807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6915</v>
      </c>
      <c r="J56" s="181">
        <f t="shared" si="40"/>
        <v>6452</v>
      </c>
      <c r="K56" s="181">
        <f t="shared" si="40"/>
        <v>6558</v>
      </c>
      <c r="L56" s="181">
        <f t="shared" si="40"/>
        <v>5998</v>
      </c>
      <c r="M56" s="181">
        <f t="shared" si="40"/>
        <v>5486</v>
      </c>
      <c r="N56" s="181">
        <f t="shared" si="40"/>
        <v>5977</v>
      </c>
      <c r="O56" s="181">
        <f t="shared" si="40"/>
        <v>77953</v>
      </c>
      <c r="P56" s="181">
        <f t="shared" si="40"/>
        <v>53934</v>
      </c>
      <c r="Q56" s="181">
        <f>Q49-Q54</f>
        <v>24019</v>
      </c>
      <c r="R56" s="546"/>
      <c r="S56" s="168"/>
      <c r="T56" s="604" t="str">
        <f>A56</f>
        <v xml:space="preserve">NET INCOME </v>
      </c>
      <c r="U56" s="599"/>
      <c r="V56" s="607">
        <f>V49-V54</f>
        <v>18539</v>
      </c>
      <c r="W56" s="607">
        <f>W49-W54</f>
        <v>22028</v>
      </c>
      <c r="X56" s="607">
        <f>X49-X54</f>
        <v>19925</v>
      </c>
      <c r="Y56" s="607">
        <f>Y49-Y54</f>
        <v>17461</v>
      </c>
      <c r="Z56" s="607"/>
      <c r="AA56" s="607">
        <f>AA49-AA54</f>
        <v>77953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47482</v>
      </c>
      <c r="AM56" s="181">
        <f t="shared" si="41"/>
        <v>53934</v>
      </c>
      <c r="AN56" s="181">
        <f t="shared" si="41"/>
        <v>60492</v>
      </c>
      <c r="AO56" s="181">
        <f t="shared" si="41"/>
        <v>66490</v>
      </c>
      <c r="AP56" s="181">
        <f t="shared" si="41"/>
        <v>71976</v>
      </c>
      <c r="AQ56" s="181">
        <f t="shared" si="41"/>
        <v>77953</v>
      </c>
    </row>
    <row r="57" spans="1:44" x14ac:dyDescent="0.2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7"/>
      <c r="U57" s="811"/>
      <c r="V57" s="608"/>
      <c r="W57" s="608"/>
      <c r="X57" s="588"/>
      <c r="Y57" s="588"/>
      <c r="Z57" s="588"/>
      <c r="AA57" s="608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3"/>
      <c r="U58" s="811"/>
      <c r="V58" s="605"/>
      <c r="W58" s="605"/>
      <c r="X58" s="605"/>
      <c r="Y58" s="605"/>
      <c r="Z58" s="605"/>
      <c r="AA58" s="605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">
      <c r="A59" s="400"/>
      <c r="AJ59" s="167"/>
    </row>
    <row r="60" spans="1:44" x14ac:dyDescent="0.2">
      <c r="A60" s="549" t="str">
        <f>A1</f>
        <v xml:space="preserve">            </v>
      </c>
      <c r="B60" s="811"/>
      <c r="C60" s="573"/>
      <c r="D60" s="573"/>
      <c r="E60" s="573"/>
      <c r="F60" s="574"/>
      <c r="G60" s="575" t="str">
        <f>G1</f>
        <v>TRANSWESTERN PIPELINE GROUP</v>
      </c>
      <c r="H60" s="575"/>
      <c r="I60" s="575"/>
      <c r="J60" s="575"/>
      <c r="K60" s="576"/>
      <c r="L60" s="576"/>
      <c r="M60" s="576"/>
      <c r="N60" s="576"/>
      <c r="O60" s="576"/>
      <c r="P60" s="577"/>
      <c r="Q60" s="573"/>
      <c r="S60" s="170"/>
      <c r="T60" s="416" t="str">
        <f>A60</f>
        <v xml:space="preserve">            </v>
      </c>
      <c r="U60" s="807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">
      <c r="A61" s="578" t="s">
        <v>648</v>
      </c>
      <c r="B61" s="811"/>
      <c r="C61" s="573"/>
      <c r="D61" s="573"/>
      <c r="E61" s="573"/>
      <c r="F61" s="573"/>
      <c r="G61" s="575" t="str">
        <f>G2</f>
        <v>2001 ACTUAL / ESTIMATE</v>
      </c>
      <c r="H61" s="579"/>
      <c r="I61" s="579"/>
      <c r="J61" s="579"/>
      <c r="K61" s="573"/>
      <c r="L61" s="573"/>
      <c r="M61" s="573"/>
      <c r="N61" s="573"/>
      <c r="O61" s="573"/>
      <c r="P61" s="573"/>
      <c r="Q61" s="573"/>
      <c r="T61" s="572" t="s">
        <v>649</v>
      </c>
      <c r="U61" s="807"/>
      <c r="V61" s="525" t="str">
        <f>V2</f>
        <v>2001 ACTUAL / ESTIMATE</v>
      </c>
      <c r="W61" s="527"/>
      <c r="X61" s="527"/>
      <c r="Y61" s="527"/>
      <c r="Z61" s="166"/>
      <c r="AA61" s="166"/>
      <c r="AD61" s="572" t="s">
        <v>650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">
      <c r="A62" s="580" t="str">
        <f>A3</f>
        <v>2001 CURRENT ESTIMATE</v>
      </c>
      <c r="B62" s="811"/>
      <c r="C62" s="573"/>
      <c r="D62" s="573"/>
      <c r="E62" s="573"/>
      <c r="F62" s="573"/>
      <c r="G62" s="581" t="s">
        <v>651</v>
      </c>
      <c r="H62" s="579"/>
      <c r="I62" s="579"/>
      <c r="J62" s="579"/>
      <c r="K62" s="573"/>
      <c r="L62" s="573"/>
      <c r="M62" s="573"/>
      <c r="N62" s="573"/>
      <c r="O62" s="573"/>
      <c r="P62" s="573"/>
      <c r="Q62" s="573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18"/>
      <c r="AI62" s="524" t="s">
        <v>652</v>
      </c>
      <c r="AJ62" s="526"/>
      <c r="AK62" s="526"/>
      <c r="AL62" s="526"/>
    </row>
    <row r="63" spans="1:44" x14ac:dyDescent="0.2">
      <c r="A63" s="582"/>
      <c r="B63" s="811"/>
      <c r="C63" s="573"/>
      <c r="D63" s="573"/>
      <c r="E63" s="573"/>
      <c r="F63" s="573"/>
      <c r="G63" s="575" t="str">
        <f>G4</f>
        <v>(Thousands of Dollars)</v>
      </c>
      <c r="H63" s="579"/>
      <c r="I63" s="579"/>
      <c r="J63" s="579"/>
      <c r="K63" s="573"/>
      <c r="L63" s="573"/>
      <c r="M63" s="573"/>
      <c r="N63" s="573"/>
      <c r="O63" s="573"/>
      <c r="P63" s="573"/>
      <c r="Q63" s="573"/>
      <c r="T63" s="166"/>
      <c r="V63" s="525" t="str">
        <f>V4</f>
        <v>(Thousands of Dollars)</v>
      </c>
      <c r="W63" s="526"/>
      <c r="X63" s="526"/>
      <c r="Y63" s="526"/>
      <c r="AD63" s="166"/>
      <c r="AE63" s="818"/>
      <c r="AI63" s="525" t="str">
        <f>AI4</f>
        <v>(Thousands of Dollars)</v>
      </c>
      <c r="AJ63" s="526"/>
      <c r="AK63" s="526"/>
      <c r="AL63" s="526"/>
    </row>
    <row r="64" spans="1:44" x14ac:dyDescent="0.2">
      <c r="A64" s="583" t="str">
        <f>A5</f>
        <v xml:space="preserve">      " GROUP MONTHLY "</v>
      </c>
      <c r="B64" s="805">
        <f ca="1">NOW()</f>
        <v>37154.4025400463</v>
      </c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T64" s="166" t="str">
        <f>T5</f>
        <v xml:space="preserve">         " GROUP QUARTERLY "</v>
      </c>
      <c r="U64" s="805">
        <f ca="1">NOW()</f>
        <v>37154.4025400463</v>
      </c>
      <c r="AD64" s="166" t="str">
        <f>AD5</f>
        <v xml:space="preserve">      " GROUP CUMULATIVE "</v>
      </c>
      <c r="AE64" s="805">
        <f ca="1">NOW()</f>
        <v>37154.4025400463</v>
      </c>
    </row>
    <row r="65" spans="1:43" x14ac:dyDescent="0.2">
      <c r="A65" s="573"/>
      <c r="B65" s="806">
        <f ca="1">NOW()</f>
        <v>37154.4025400463</v>
      </c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T65" s="166"/>
      <c r="U65" s="806">
        <f ca="1">NOW()</f>
        <v>37154.4025400463</v>
      </c>
      <c r="AE65" s="806">
        <f ca="1">NOW()</f>
        <v>37154.4025400463</v>
      </c>
    </row>
    <row r="66" spans="1:43" x14ac:dyDescent="0.2">
      <c r="A66" s="584"/>
      <c r="B66" s="812"/>
      <c r="C66" s="585" t="str">
        <f>DataBase!C2</f>
        <v>ACT.</v>
      </c>
      <c r="D66" s="585" t="str">
        <f>DataBase!D2</f>
        <v>ACT.</v>
      </c>
      <c r="E66" s="585" t="str">
        <f>DataBase!E2</f>
        <v>ACT.</v>
      </c>
      <c r="F66" s="585" t="str">
        <f>DataBase!F2</f>
        <v>ACT.</v>
      </c>
      <c r="G66" s="585" t="str">
        <f>DataBase!G2</f>
        <v>ACT.</v>
      </c>
      <c r="H66" s="585" t="str">
        <f>DataBase!H2</f>
        <v>ACT.</v>
      </c>
      <c r="I66" s="585" t="str">
        <f>DataBase!I2</f>
        <v>ACT.</v>
      </c>
      <c r="J66" s="585" t="str">
        <f>DataBase!J2</f>
        <v>ACT.</v>
      </c>
      <c r="K66" s="585" t="str">
        <f>DataBase!K2</f>
        <v>3rd CE</v>
      </c>
      <c r="L66" s="585" t="str">
        <f>DataBase!L2</f>
        <v>3rd CE</v>
      </c>
      <c r="M66" s="585" t="str">
        <f>DataBase!M2</f>
        <v>3rd CE</v>
      </c>
      <c r="N66" s="585" t="str">
        <f>DataBase!N2</f>
        <v>3rd CE</v>
      </c>
      <c r="O66" s="585" t="str">
        <f>DataBase!O2</f>
        <v>TOTAL</v>
      </c>
      <c r="P66" s="585" t="str">
        <f>P6</f>
        <v>AUGUST</v>
      </c>
      <c r="Q66" s="585" t="str">
        <f>Q6</f>
        <v>ESTIMATE</v>
      </c>
      <c r="R66" s="166"/>
      <c r="S66" s="170"/>
      <c r="U66" s="763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63"/>
      <c r="AF66" s="171" t="str">
        <f>DataBase!C2</f>
        <v>ACT.</v>
      </c>
      <c r="AG66" s="171" t="str">
        <f>DataBase!D2</f>
        <v>ACT.</v>
      </c>
      <c r="AH66" s="171" t="str">
        <f>DataBase!E2</f>
        <v>ACT.</v>
      </c>
      <c r="AI66" s="171" t="str">
        <f>DataBase!F2</f>
        <v>ACT.</v>
      </c>
      <c r="AJ66" s="171" t="str">
        <f>DataBase!G2</f>
        <v>ACT.</v>
      </c>
      <c r="AK66" s="171" t="str">
        <f>DataBase!H2</f>
        <v>ACT.</v>
      </c>
      <c r="AL66" s="171" t="str">
        <f>DataBase!I2</f>
        <v>ACT.</v>
      </c>
      <c r="AM66" s="171" t="str">
        <f>DataBase!J2</f>
        <v>ACT.</v>
      </c>
      <c r="AN66" s="171" t="str">
        <f>DataBase!K2</f>
        <v>3rd CE</v>
      </c>
      <c r="AO66" s="171" t="str">
        <f>DataBase!L2</f>
        <v>3rd CE</v>
      </c>
      <c r="AP66" s="171" t="str">
        <f>DataBase!M2</f>
        <v>3rd CE</v>
      </c>
      <c r="AQ66" s="171" t="str">
        <f>DataBase!N2</f>
        <v>3rd CE</v>
      </c>
    </row>
    <row r="67" spans="1:43" x14ac:dyDescent="0.2">
      <c r="A67" s="584"/>
      <c r="B67" s="812"/>
      <c r="C67" s="586" t="str">
        <f t="shared" ref="C67:Q67" si="43">C7</f>
        <v>JAN</v>
      </c>
      <c r="D67" s="586" t="str">
        <f t="shared" si="43"/>
        <v>FEB</v>
      </c>
      <c r="E67" s="586" t="str">
        <f t="shared" si="43"/>
        <v>MAR</v>
      </c>
      <c r="F67" s="586" t="str">
        <f t="shared" si="43"/>
        <v>APR</v>
      </c>
      <c r="G67" s="586" t="str">
        <f t="shared" si="43"/>
        <v>MAY</v>
      </c>
      <c r="H67" s="586" t="str">
        <f t="shared" si="43"/>
        <v>JUN</v>
      </c>
      <c r="I67" s="586" t="str">
        <f t="shared" si="43"/>
        <v>JUL</v>
      </c>
      <c r="J67" s="586" t="str">
        <f t="shared" si="43"/>
        <v>AUG</v>
      </c>
      <c r="K67" s="586" t="str">
        <f t="shared" si="43"/>
        <v>SEP</v>
      </c>
      <c r="L67" s="586" t="str">
        <f t="shared" si="43"/>
        <v>OCT</v>
      </c>
      <c r="M67" s="586" t="str">
        <f t="shared" si="43"/>
        <v>NOV</v>
      </c>
      <c r="N67" s="586" t="str">
        <f t="shared" si="43"/>
        <v>DEC</v>
      </c>
      <c r="O67" s="586">
        <f t="shared" si="43"/>
        <v>2001</v>
      </c>
      <c r="P67" s="586" t="str">
        <f t="shared" si="43"/>
        <v>Y-T-D</v>
      </c>
      <c r="Q67" s="586" t="str">
        <f t="shared" si="43"/>
        <v>R.M.</v>
      </c>
      <c r="R67" s="190"/>
      <c r="S67" s="186"/>
      <c r="U67" s="763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2001</v>
      </c>
      <c r="AB67" s="186"/>
      <c r="AC67" s="186"/>
      <c r="AD67"/>
      <c r="AE67" s="763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5" customHeight="1" x14ac:dyDescent="0.2">
      <c r="A68" s="573"/>
      <c r="B68" s="811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AD68" s="170"/>
    </row>
    <row r="69" spans="1:43" x14ac:dyDescent="0.2">
      <c r="A69" s="587" t="s">
        <v>653</v>
      </c>
      <c r="B69" s="599"/>
      <c r="C69" s="588">
        <f t="shared" ref="C69:N69" si="45">C49</f>
        <v>10927</v>
      </c>
      <c r="D69" s="588">
        <f t="shared" si="45"/>
        <v>14002</v>
      </c>
      <c r="E69" s="588">
        <f t="shared" si="45"/>
        <v>5501</v>
      </c>
      <c r="F69" s="588">
        <f t="shared" si="45"/>
        <v>13377</v>
      </c>
      <c r="G69" s="588">
        <f t="shared" si="45"/>
        <v>12436</v>
      </c>
      <c r="H69" s="588">
        <f t="shared" si="45"/>
        <v>10339</v>
      </c>
      <c r="I69" s="588">
        <f t="shared" si="45"/>
        <v>11349</v>
      </c>
      <c r="J69" s="588">
        <f t="shared" si="45"/>
        <v>10589</v>
      </c>
      <c r="K69" s="588">
        <f t="shared" si="45"/>
        <v>10765</v>
      </c>
      <c r="L69" s="588">
        <f t="shared" si="45"/>
        <v>9850</v>
      </c>
      <c r="M69" s="588">
        <f t="shared" si="45"/>
        <v>9011</v>
      </c>
      <c r="N69" s="588">
        <f t="shared" si="45"/>
        <v>9815</v>
      </c>
      <c r="O69" s="588">
        <f>SUM(C69:N69)</f>
        <v>127961</v>
      </c>
      <c r="P69" s="178">
        <f>SUM(C69:J69)</f>
        <v>88520</v>
      </c>
      <c r="Q69" s="588">
        <f>O69-P69</f>
        <v>39441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32703</v>
      </c>
      <c r="Y69" s="177">
        <f>L69+M69+N69</f>
        <v>28676</v>
      </c>
      <c r="Z69" s="177"/>
      <c r="AA69" s="177">
        <f>SUM(V69:Y69)</f>
        <v>127961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6">D69+AF69</f>
        <v>24929</v>
      </c>
      <c r="AH69" s="177">
        <f t="shared" si="46"/>
        <v>30430</v>
      </c>
      <c r="AI69" s="177">
        <f t="shared" si="46"/>
        <v>43807</v>
      </c>
      <c r="AJ69" s="177">
        <f t="shared" si="46"/>
        <v>56243</v>
      </c>
      <c r="AK69" s="177">
        <f t="shared" si="46"/>
        <v>66582</v>
      </c>
      <c r="AL69" s="177">
        <f t="shared" si="46"/>
        <v>77931</v>
      </c>
      <c r="AM69" s="177">
        <f t="shared" si="46"/>
        <v>88520</v>
      </c>
      <c r="AN69" s="177">
        <f t="shared" si="46"/>
        <v>99285</v>
      </c>
      <c r="AO69" s="177">
        <f t="shared" si="46"/>
        <v>109135</v>
      </c>
      <c r="AP69" s="177">
        <f t="shared" si="46"/>
        <v>118146</v>
      </c>
      <c r="AQ69" s="177">
        <f t="shared" si="46"/>
        <v>127961</v>
      </c>
    </row>
    <row r="70" spans="1:43" x14ac:dyDescent="0.2">
      <c r="A70" s="589" t="s">
        <v>654</v>
      </c>
      <c r="B70" s="811"/>
      <c r="C70" s="590">
        <f t="shared" ref="C70:O70" si="47">C94</f>
        <v>2</v>
      </c>
      <c r="D70" s="590">
        <f t="shared" si="47"/>
        <v>-1</v>
      </c>
      <c r="E70" s="590">
        <f t="shared" si="47"/>
        <v>6</v>
      </c>
      <c r="F70" s="590">
        <f t="shared" si="47"/>
        <v>6</v>
      </c>
      <c r="G70" s="590">
        <f t="shared" si="47"/>
        <v>7</v>
      </c>
      <c r="H70" s="590">
        <f t="shared" si="47"/>
        <v>10</v>
      </c>
      <c r="I70" s="590">
        <f t="shared" si="47"/>
        <v>6</v>
      </c>
      <c r="J70" s="590">
        <f t="shared" si="47"/>
        <v>3</v>
      </c>
      <c r="K70" s="590">
        <f t="shared" si="47"/>
        <v>8</v>
      </c>
      <c r="L70" s="590">
        <f t="shared" si="47"/>
        <v>8</v>
      </c>
      <c r="M70" s="590">
        <f t="shared" si="47"/>
        <v>8</v>
      </c>
      <c r="N70" s="590">
        <f t="shared" si="47"/>
        <v>8</v>
      </c>
      <c r="O70" s="590">
        <f t="shared" si="47"/>
        <v>71</v>
      </c>
      <c r="P70" s="263">
        <f>SUM(C70:J70)</f>
        <v>39</v>
      </c>
      <c r="Q70" s="590">
        <f>O70-P70</f>
        <v>32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17</v>
      </c>
      <c r="Y70" s="180">
        <f>L70+M70+N70</f>
        <v>24</v>
      </c>
      <c r="Z70" s="180"/>
      <c r="AA70" s="180">
        <f>SUM(V70:Y70)</f>
        <v>71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6"/>
        <v>1</v>
      </c>
      <c r="AH70" s="180">
        <f t="shared" si="46"/>
        <v>7</v>
      </c>
      <c r="AI70" s="180">
        <f t="shared" si="46"/>
        <v>13</v>
      </c>
      <c r="AJ70" s="180">
        <f t="shared" si="46"/>
        <v>20</v>
      </c>
      <c r="AK70" s="180">
        <f t="shared" si="46"/>
        <v>30</v>
      </c>
      <c r="AL70" s="180">
        <f t="shared" si="46"/>
        <v>36</v>
      </c>
      <c r="AM70" s="180">
        <f t="shared" si="46"/>
        <v>39</v>
      </c>
      <c r="AN70" s="180">
        <f t="shared" si="46"/>
        <v>47</v>
      </c>
      <c r="AO70" s="180">
        <f t="shared" si="46"/>
        <v>55</v>
      </c>
      <c r="AP70" s="180">
        <f t="shared" si="46"/>
        <v>63</v>
      </c>
      <c r="AQ70" s="180">
        <f t="shared" si="46"/>
        <v>71</v>
      </c>
    </row>
    <row r="71" spans="1:43" ht="3.95" customHeight="1" x14ac:dyDescent="0.2">
      <c r="A71" s="577"/>
      <c r="B71" s="811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88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">
      <c r="A72" s="587" t="s">
        <v>655</v>
      </c>
      <c r="B72" s="599"/>
      <c r="C72" s="588">
        <f t="shared" ref="C72:O72" si="48">ROUND(+C69+C70,0)</f>
        <v>10929</v>
      </c>
      <c r="D72" s="588">
        <f t="shared" si="48"/>
        <v>14001</v>
      </c>
      <c r="E72" s="588">
        <f t="shared" si="48"/>
        <v>5507</v>
      </c>
      <c r="F72" s="588">
        <f t="shared" si="48"/>
        <v>13383</v>
      </c>
      <c r="G72" s="588">
        <f t="shared" si="48"/>
        <v>12443</v>
      </c>
      <c r="H72" s="588">
        <f t="shared" si="48"/>
        <v>10349</v>
      </c>
      <c r="I72" s="588">
        <f t="shared" si="48"/>
        <v>11355</v>
      </c>
      <c r="J72" s="588">
        <f t="shared" si="48"/>
        <v>10592</v>
      </c>
      <c r="K72" s="588">
        <f t="shared" si="48"/>
        <v>10773</v>
      </c>
      <c r="L72" s="588">
        <f t="shared" si="48"/>
        <v>9858</v>
      </c>
      <c r="M72" s="588">
        <f t="shared" si="48"/>
        <v>9019</v>
      </c>
      <c r="N72" s="588">
        <f t="shared" si="48"/>
        <v>9823</v>
      </c>
      <c r="O72" s="588">
        <f t="shared" si="48"/>
        <v>128032</v>
      </c>
      <c r="P72" s="588">
        <f>P69+P70</f>
        <v>88559</v>
      </c>
      <c r="Q72" s="588">
        <f>Q69+Q70</f>
        <v>39473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32720</v>
      </c>
      <c r="Y72" s="177">
        <f>L72+M72+N72</f>
        <v>28700</v>
      </c>
      <c r="Z72" s="177"/>
      <c r="AA72" s="177">
        <f>SUM(V72:Y72)</f>
        <v>128032</v>
      </c>
      <c r="AD72" s="175" t="str">
        <f>A72</f>
        <v>Taxable Income</v>
      </c>
      <c r="AF72" s="177">
        <f>C72</f>
        <v>10929</v>
      </c>
      <c r="AG72" s="177">
        <f t="shared" ref="AG72:AQ72" si="49">D72+AF72</f>
        <v>24930</v>
      </c>
      <c r="AH72" s="177">
        <f t="shared" si="49"/>
        <v>30437</v>
      </c>
      <c r="AI72" s="177">
        <f t="shared" si="49"/>
        <v>43820</v>
      </c>
      <c r="AJ72" s="177">
        <f t="shared" si="49"/>
        <v>56263</v>
      </c>
      <c r="AK72" s="177">
        <f t="shared" si="49"/>
        <v>66612</v>
      </c>
      <c r="AL72" s="177">
        <f t="shared" si="49"/>
        <v>77967</v>
      </c>
      <c r="AM72" s="177">
        <f t="shared" si="49"/>
        <v>88559</v>
      </c>
      <c r="AN72" s="177">
        <f t="shared" si="49"/>
        <v>99332</v>
      </c>
      <c r="AO72" s="177">
        <f t="shared" si="49"/>
        <v>109190</v>
      </c>
      <c r="AP72" s="177">
        <f t="shared" si="49"/>
        <v>118209</v>
      </c>
      <c r="AQ72" s="177">
        <f t="shared" si="49"/>
        <v>128032</v>
      </c>
    </row>
    <row r="73" spans="1:43" x14ac:dyDescent="0.2">
      <c r="A73" s="591" t="s">
        <v>656</v>
      </c>
      <c r="B73" s="811"/>
      <c r="C73" s="657">
        <v>0.38879000000000002</v>
      </c>
      <c r="D73" s="657">
        <v>0.38879000000000002</v>
      </c>
      <c r="E73" s="657">
        <v>0.38879000000000002</v>
      </c>
      <c r="F73" s="657">
        <v>0.38879000000000002</v>
      </c>
      <c r="G73" s="657">
        <v>0.38879000000000002</v>
      </c>
      <c r="H73" s="657">
        <v>0.38879000000000002</v>
      </c>
      <c r="I73" s="657">
        <v>0.38879000000000002</v>
      </c>
      <c r="J73" s="657">
        <v>0.38879000000000002</v>
      </c>
      <c r="K73" s="657">
        <v>0.38879000000000002</v>
      </c>
      <c r="L73" s="657">
        <v>0.38879000000000002</v>
      </c>
      <c r="M73" s="657">
        <v>0.38879000000000002</v>
      </c>
      <c r="N73" s="657">
        <v>0.38879000000000002</v>
      </c>
      <c r="O73" s="592">
        <f>ROUND(O75/O72,5)</f>
        <v>0.38879000000000002</v>
      </c>
      <c r="P73" s="592">
        <f>ROUND(P75/P72,5)</f>
        <v>0.38879000000000002</v>
      </c>
      <c r="Q73" s="592">
        <f>ROUND(Q75/Q72,5)</f>
        <v>0.38877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0.38878000000000001</v>
      </c>
      <c r="Y73" s="194">
        <f>ROUND(Y75/Y72,5)</f>
        <v>0.38878000000000001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5" customHeight="1" x14ac:dyDescent="0.2">
      <c r="A74" s="573"/>
      <c r="B74" s="811"/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73"/>
      <c r="Q74" s="573"/>
    </row>
    <row r="75" spans="1:43" x14ac:dyDescent="0.2">
      <c r="A75" s="583" t="s">
        <v>657</v>
      </c>
      <c r="B75" s="599"/>
      <c r="C75" s="590">
        <f t="shared" ref="C75:N75" si="51">ROUND(C72*C73,0)</f>
        <v>4249</v>
      </c>
      <c r="D75" s="590">
        <f t="shared" si="51"/>
        <v>5443</v>
      </c>
      <c r="E75" s="590">
        <f t="shared" si="51"/>
        <v>2141</v>
      </c>
      <c r="F75" s="590">
        <f t="shared" si="51"/>
        <v>5203</v>
      </c>
      <c r="G75" s="590">
        <f t="shared" si="51"/>
        <v>4838</v>
      </c>
      <c r="H75" s="590">
        <f t="shared" si="51"/>
        <v>4024</v>
      </c>
      <c r="I75" s="590">
        <f t="shared" si="51"/>
        <v>4415</v>
      </c>
      <c r="J75" s="590">
        <f t="shared" si="51"/>
        <v>4118</v>
      </c>
      <c r="K75" s="590">
        <f t="shared" si="51"/>
        <v>4188</v>
      </c>
      <c r="L75" s="590">
        <f t="shared" si="51"/>
        <v>3833</v>
      </c>
      <c r="M75" s="590">
        <f t="shared" si="51"/>
        <v>3506</v>
      </c>
      <c r="N75" s="590">
        <f t="shared" si="51"/>
        <v>3819</v>
      </c>
      <c r="O75" s="590">
        <f>SUM(C75:N75)</f>
        <v>49777</v>
      </c>
      <c r="P75" s="263">
        <f>SUM(C75:J75)</f>
        <v>34431</v>
      </c>
      <c r="Q75" s="590">
        <f>O75-P75</f>
        <v>15346</v>
      </c>
      <c r="R75" s="166"/>
      <c r="S75" s="168"/>
      <c r="T75" s="175" t="str">
        <f>A75</f>
        <v>Base Tax Expense</v>
      </c>
      <c r="U75" s="807"/>
      <c r="V75" s="180">
        <f>C75+D75+E75</f>
        <v>11833</v>
      </c>
      <c r="W75" s="180">
        <f>F75+G75+H75</f>
        <v>14065</v>
      </c>
      <c r="X75" s="180">
        <f>I75+J75+K75</f>
        <v>12721</v>
      </c>
      <c r="Y75" s="180">
        <f>L75+M75+N75</f>
        <v>11158</v>
      </c>
      <c r="Z75" s="180"/>
      <c r="AA75" s="180">
        <f>SUM(V75:Y75)</f>
        <v>49777</v>
      </c>
      <c r="AD75" s="175" t="str">
        <f>A75</f>
        <v>Base Tax Expense</v>
      </c>
      <c r="AF75" s="180">
        <f>C75</f>
        <v>4249</v>
      </c>
      <c r="AG75" s="180">
        <f t="shared" ref="AG75:AQ75" si="52">D75+AF75</f>
        <v>9692</v>
      </c>
      <c r="AH75" s="180">
        <f t="shared" si="52"/>
        <v>11833</v>
      </c>
      <c r="AI75" s="180">
        <f t="shared" si="52"/>
        <v>17036</v>
      </c>
      <c r="AJ75" s="180">
        <f t="shared" si="52"/>
        <v>21874</v>
      </c>
      <c r="AK75" s="180">
        <f t="shared" si="52"/>
        <v>25898</v>
      </c>
      <c r="AL75" s="180">
        <f t="shared" si="52"/>
        <v>30313</v>
      </c>
      <c r="AM75" s="180">
        <f t="shared" si="52"/>
        <v>34431</v>
      </c>
      <c r="AN75" s="180">
        <f t="shared" si="52"/>
        <v>38619</v>
      </c>
      <c r="AO75" s="180">
        <f t="shared" si="52"/>
        <v>42452</v>
      </c>
      <c r="AP75" s="180">
        <f t="shared" si="52"/>
        <v>45958</v>
      </c>
      <c r="AQ75" s="180">
        <f t="shared" si="52"/>
        <v>49777</v>
      </c>
    </row>
    <row r="76" spans="1:43" x14ac:dyDescent="0.2">
      <c r="A76" s="573"/>
      <c r="B76" s="811"/>
      <c r="C76" s="577"/>
      <c r="D76" s="577"/>
      <c r="E76" s="577"/>
      <c r="F76" s="577"/>
      <c r="G76" s="577"/>
      <c r="H76" s="577"/>
      <c r="I76" s="577"/>
      <c r="J76" s="577"/>
      <c r="K76" s="577"/>
      <c r="L76" s="577"/>
      <c r="M76" s="577"/>
      <c r="N76" s="577"/>
      <c r="O76" s="577"/>
      <c r="P76" s="573"/>
      <c r="Q76" s="573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">
      <c r="A77" s="583" t="s">
        <v>658</v>
      </c>
      <c r="B77" s="811"/>
      <c r="C77" s="577"/>
      <c r="D77" s="577"/>
      <c r="E77" s="577"/>
      <c r="F77" s="577"/>
      <c r="G77" s="577"/>
      <c r="H77" s="577"/>
      <c r="I77" s="577"/>
      <c r="J77" s="577"/>
      <c r="K77" s="577"/>
      <c r="L77" s="577"/>
      <c r="M77" s="577"/>
      <c r="N77" s="577"/>
      <c r="O77" s="577"/>
      <c r="P77" s="573"/>
      <c r="Q77" s="573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">
      <c r="A78" s="413" t="s">
        <v>659</v>
      </c>
      <c r="B78" s="811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8">
        <f>SUM(C78:N78)</f>
        <v>3</v>
      </c>
      <c r="P78" s="178">
        <f>SUM(C78:J78)</f>
        <v>3</v>
      </c>
      <c r="Q78" s="588">
        <f>O78-P78</f>
        <v>0</v>
      </c>
      <c r="S78" s="170"/>
      <c r="T78" s="179" t="str">
        <f t="shared" si="53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4"/>
        <v xml:space="preserve">    Other</v>
      </c>
      <c r="AF78" s="177">
        <f>C78</f>
        <v>1</v>
      </c>
      <c r="AG78" s="177">
        <f t="shared" ref="AG78:AQ82" si="55">D78+AF78</f>
        <v>1</v>
      </c>
      <c r="AH78" s="177">
        <f t="shared" si="55"/>
        <v>1</v>
      </c>
      <c r="AI78" s="177">
        <f t="shared" si="55"/>
        <v>2</v>
      </c>
      <c r="AJ78" s="177">
        <f t="shared" si="55"/>
        <v>3</v>
      </c>
      <c r="AK78" s="177">
        <f t="shared" si="55"/>
        <v>3</v>
      </c>
      <c r="AL78" s="177">
        <f t="shared" si="55"/>
        <v>3</v>
      </c>
      <c r="AM78" s="177">
        <f t="shared" si="55"/>
        <v>3</v>
      </c>
      <c r="AN78" s="177">
        <f t="shared" si="55"/>
        <v>3</v>
      </c>
      <c r="AO78" s="177">
        <f t="shared" si="55"/>
        <v>3</v>
      </c>
      <c r="AP78" s="177">
        <f t="shared" si="55"/>
        <v>3</v>
      </c>
      <c r="AQ78" s="177">
        <f t="shared" si="55"/>
        <v>3</v>
      </c>
    </row>
    <row r="79" spans="1:43" x14ac:dyDescent="0.2">
      <c r="A79" s="185" t="s">
        <v>660</v>
      </c>
      <c r="B79" s="811"/>
      <c r="C79" s="588">
        <f t="shared" ref="C79:N79" si="56">ROUND((+C32*C73),0)</f>
        <v>0</v>
      </c>
      <c r="D79" s="588">
        <f t="shared" si="56"/>
        <v>0</v>
      </c>
      <c r="E79" s="588">
        <f t="shared" si="56"/>
        <v>0</v>
      </c>
      <c r="F79" s="588">
        <f t="shared" si="56"/>
        <v>0</v>
      </c>
      <c r="G79" s="588">
        <f t="shared" si="56"/>
        <v>0</v>
      </c>
      <c r="H79" s="588">
        <f t="shared" si="56"/>
        <v>0</v>
      </c>
      <c r="I79" s="588">
        <f t="shared" si="56"/>
        <v>0</v>
      </c>
      <c r="J79" s="588">
        <f t="shared" si="56"/>
        <v>0</v>
      </c>
      <c r="K79" s="588">
        <f t="shared" si="56"/>
        <v>0</v>
      </c>
      <c r="L79" s="588">
        <f t="shared" si="56"/>
        <v>0</v>
      </c>
      <c r="M79" s="588">
        <f t="shared" si="56"/>
        <v>0</v>
      </c>
      <c r="N79" s="588">
        <f t="shared" si="56"/>
        <v>0</v>
      </c>
      <c r="O79" s="588">
        <f>SUM(C79:N79)</f>
        <v>0</v>
      </c>
      <c r="P79" s="178">
        <f>SUM(C79:J79)</f>
        <v>0</v>
      </c>
      <c r="Q79" s="588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">
      <c r="A80" s="413" t="s">
        <v>661</v>
      </c>
      <c r="B80" s="811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8">
        <f>SUM(C80:N80)</f>
        <v>228</v>
      </c>
      <c r="P80" s="178">
        <f>SUM(C80:J80)</f>
        <v>152</v>
      </c>
      <c r="Q80" s="588">
        <f>O80-P80</f>
        <v>76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">
      <c r="A81" s="413" t="s">
        <v>662</v>
      </c>
      <c r="B81" s="811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8">
        <f>SUM(C81:N81)</f>
        <v>0</v>
      </c>
      <c r="P81" s="178">
        <f>SUM(C81:J81)</f>
        <v>0</v>
      </c>
      <c r="Q81" s="588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">
      <c r="A82" s="185" t="s">
        <v>663</v>
      </c>
      <c r="B82" s="811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0">
        <f>SUM(C82:N82)</f>
        <v>0</v>
      </c>
      <c r="P82" s="263">
        <f>SUM(C82:J82)</f>
        <v>0</v>
      </c>
      <c r="Q82" s="590">
        <f>O82-P82</f>
        <v>0</v>
      </c>
      <c r="R82" s="189"/>
      <c r="S82" s="186"/>
      <c r="T82" s="179" t="str">
        <f t="shared" si="53"/>
        <v xml:space="preserve">    Admin. Services / Rounding</v>
      </c>
      <c r="U82" s="816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5" customHeight="1" x14ac:dyDescent="0.2">
      <c r="A83" s="573"/>
      <c r="B83" s="811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0"/>
      <c r="P83" s="588"/>
      <c r="Q83" s="588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">
      <c r="A84" s="583" t="s">
        <v>664</v>
      </c>
      <c r="B84" s="599"/>
      <c r="C84" s="590">
        <f t="shared" ref="C84:Q84" si="57">SUM(C78:C82)</f>
        <v>20</v>
      </c>
      <c r="D84" s="590">
        <f t="shared" si="57"/>
        <v>19</v>
      </c>
      <c r="E84" s="590">
        <f t="shared" si="57"/>
        <v>19</v>
      </c>
      <c r="F84" s="590">
        <f t="shared" si="57"/>
        <v>20</v>
      </c>
      <c r="G84" s="590">
        <f t="shared" si="57"/>
        <v>20</v>
      </c>
      <c r="H84" s="590">
        <f t="shared" si="57"/>
        <v>19</v>
      </c>
      <c r="I84" s="590">
        <f t="shared" si="57"/>
        <v>19</v>
      </c>
      <c r="J84" s="590">
        <f t="shared" si="57"/>
        <v>19</v>
      </c>
      <c r="K84" s="590">
        <f t="shared" si="57"/>
        <v>19</v>
      </c>
      <c r="L84" s="590">
        <f t="shared" si="57"/>
        <v>19</v>
      </c>
      <c r="M84" s="590">
        <f t="shared" si="57"/>
        <v>19</v>
      </c>
      <c r="N84" s="590">
        <f t="shared" si="57"/>
        <v>19</v>
      </c>
      <c r="O84" s="590">
        <f t="shared" si="57"/>
        <v>231</v>
      </c>
      <c r="P84" s="590">
        <f t="shared" si="57"/>
        <v>155</v>
      </c>
      <c r="Q84" s="590">
        <f t="shared" si="57"/>
        <v>76</v>
      </c>
      <c r="R84" s="166"/>
      <c r="S84" s="168"/>
      <c r="T84" s="175" t="str">
        <f>A84</f>
        <v xml:space="preserve">      Total Debits (Credits)</v>
      </c>
      <c r="U84" s="807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8">D84+AF84</f>
        <v>39</v>
      </c>
      <c r="AH84" s="180">
        <f t="shared" si="58"/>
        <v>58</v>
      </c>
      <c r="AI84" s="180">
        <f t="shared" si="58"/>
        <v>78</v>
      </c>
      <c r="AJ84" s="180">
        <f t="shared" si="58"/>
        <v>98</v>
      </c>
      <c r="AK84" s="180">
        <f t="shared" si="58"/>
        <v>117</v>
      </c>
      <c r="AL84" s="180">
        <f t="shared" si="58"/>
        <v>136</v>
      </c>
      <c r="AM84" s="180">
        <f t="shared" si="58"/>
        <v>155</v>
      </c>
      <c r="AN84" s="180">
        <f t="shared" si="58"/>
        <v>174</v>
      </c>
      <c r="AO84" s="180">
        <f t="shared" si="58"/>
        <v>193</v>
      </c>
      <c r="AP84" s="180">
        <f t="shared" si="58"/>
        <v>212</v>
      </c>
      <c r="AQ84" s="180">
        <f t="shared" si="58"/>
        <v>231</v>
      </c>
    </row>
    <row r="85" spans="1:43" x14ac:dyDescent="0.2">
      <c r="A85" s="573"/>
      <c r="B85" s="811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">
      <c r="A86" s="583" t="s">
        <v>665</v>
      </c>
      <c r="B86" s="599"/>
      <c r="C86" s="594">
        <f t="shared" ref="C86:Q86" si="59">C75+C84</f>
        <v>4269</v>
      </c>
      <c r="D86" s="594">
        <f t="shared" si="59"/>
        <v>5462</v>
      </c>
      <c r="E86" s="594">
        <f t="shared" si="59"/>
        <v>2160</v>
      </c>
      <c r="F86" s="594">
        <f t="shared" si="59"/>
        <v>5223</v>
      </c>
      <c r="G86" s="594">
        <f t="shared" si="59"/>
        <v>4858</v>
      </c>
      <c r="H86" s="594">
        <f t="shared" si="59"/>
        <v>4043</v>
      </c>
      <c r="I86" s="594">
        <f t="shared" si="59"/>
        <v>4434</v>
      </c>
      <c r="J86" s="594">
        <f t="shared" si="59"/>
        <v>4137</v>
      </c>
      <c r="K86" s="594">
        <f t="shared" si="59"/>
        <v>4207</v>
      </c>
      <c r="L86" s="594">
        <f t="shared" si="59"/>
        <v>3852</v>
      </c>
      <c r="M86" s="594">
        <f t="shared" si="59"/>
        <v>3525</v>
      </c>
      <c r="N86" s="594">
        <f t="shared" si="59"/>
        <v>3838</v>
      </c>
      <c r="O86" s="594">
        <f t="shared" si="59"/>
        <v>50008</v>
      </c>
      <c r="P86" s="594">
        <f t="shared" si="59"/>
        <v>34586</v>
      </c>
      <c r="Q86" s="594">
        <f t="shared" si="59"/>
        <v>15422</v>
      </c>
      <c r="R86" s="166"/>
      <c r="S86" s="168"/>
      <c r="T86" s="175" t="str">
        <f>A86</f>
        <v>Net Tax Expense</v>
      </c>
      <c r="U86" s="807"/>
      <c r="V86" s="191">
        <f>C86+D86+E86</f>
        <v>11891</v>
      </c>
      <c r="W86" s="191">
        <f>F86+G86+H86</f>
        <v>14124</v>
      </c>
      <c r="X86" s="191">
        <f>I86+J86+K86</f>
        <v>12778</v>
      </c>
      <c r="Y86" s="191">
        <f>L86+M86+N86</f>
        <v>11215</v>
      </c>
      <c r="Z86" s="191"/>
      <c r="AA86" s="191">
        <f>SUM(V86:Y86)</f>
        <v>50008</v>
      </c>
      <c r="AD86" s="175" t="str">
        <f>A86</f>
        <v>Net Tax Expense</v>
      </c>
      <c r="AF86" s="191">
        <f>C86</f>
        <v>4269</v>
      </c>
      <c r="AG86" s="191">
        <f t="shared" ref="AG86:AQ86" si="60">D86+AF86</f>
        <v>9731</v>
      </c>
      <c r="AH86" s="191">
        <f t="shared" si="60"/>
        <v>11891</v>
      </c>
      <c r="AI86" s="191">
        <f t="shared" si="60"/>
        <v>17114</v>
      </c>
      <c r="AJ86" s="191">
        <f t="shared" si="60"/>
        <v>21972</v>
      </c>
      <c r="AK86" s="191">
        <f t="shared" si="60"/>
        <v>26015</v>
      </c>
      <c r="AL86" s="191">
        <f t="shared" si="60"/>
        <v>30449</v>
      </c>
      <c r="AM86" s="191">
        <f t="shared" si="60"/>
        <v>34586</v>
      </c>
      <c r="AN86" s="191">
        <f t="shared" si="60"/>
        <v>38793</v>
      </c>
      <c r="AO86" s="191">
        <f t="shared" si="60"/>
        <v>42645</v>
      </c>
      <c r="AP86" s="191">
        <f t="shared" si="60"/>
        <v>46170</v>
      </c>
      <c r="AQ86" s="191">
        <f t="shared" si="60"/>
        <v>50008</v>
      </c>
    </row>
    <row r="87" spans="1:43" x14ac:dyDescent="0.2">
      <c r="A87" s="573"/>
      <c r="B87" s="811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70"/>
      <c r="P87" s="588"/>
      <c r="Q87" s="588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">
      <c r="A88" s="583" t="s">
        <v>666</v>
      </c>
      <c r="B88" s="811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70"/>
      <c r="P88" s="570"/>
      <c r="Q88" s="588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">
      <c r="A89" s="591" t="s">
        <v>667</v>
      </c>
      <c r="B89" s="811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8">
        <f>SUM(C89:N89)</f>
        <v>0</v>
      </c>
      <c r="P89" s="178">
        <f>SUM(C89:J89)</f>
        <v>0</v>
      </c>
      <c r="Q89" s="588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">
      <c r="A90" s="591" t="s">
        <v>668</v>
      </c>
      <c r="B90" s="811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6</v>
      </c>
      <c r="J90" s="178">
        <v>3</v>
      </c>
      <c r="K90" s="178">
        <v>8</v>
      </c>
      <c r="L90" s="178">
        <v>8</v>
      </c>
      <c r="M90" s="178">
        <v>8</v>
      </c>
      <c r="N90" s="178">
        <v>8</v>
      </c>
      <c r="O90" s="588">
        <f>SUM(C90:N90)</f>
        <v>71</v>
      </c>
      <c r="P90" s="178">
        <f>SUM(C90:J90)</f>
        <v>39</v>
      </c>
      <c r="Q90" s="588">
        <f>O90-P90</f>
        <v>32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17</v>
      </c>
      <c r="Y90" s="177">
        <f>L90+M90+N90</f>
        <v>24</v>
      </c>
      <c r="Z90" s="177"/>
      <c r="AA90" s="177">
        <f>SUM(V90:Y90)</f>
        <v>71</v>
      </c>
      <c r="AD90" s="179" t="str">
        <f>A90</f>
        <v xml:space="preserve">    Business Expenses</v>
      </c>
      <c r="AF90" s="177">
        <f>C90</f>
        <v>2</v>
      </c>
      <c r="AG90" s="177">
        <f t="shared" si="61"/>
        <v>1</v>
      </c>
      <c r="AH90" s="177">
        <f t="shared" si="61"/>
        <v>7</v>
      </c>
      <c r="AI90" s="177">
        <f t="shared" si="61"/>
        <v>13</v>
      </c>
      <c r="AJ90" s="177">
        <f t="shared" si="61"/>
        <v>20</v>
      </c>
      <c r="AK90" s="177">
        <f t="shared" si="61"/>
        <v>30</v>
      </c>
      <c r="AL90" s="177">
        <f t="shared" si="61"/>
        <v>36</v>
      </c>
      <c r="AM90" s="177">
        <f t="shared" si="61"/>
        <v>39</v>
      </c>
      <c r="AN90" s="177">
        <f t="shared" si="61"/>
        <v>47</v>
      </c>
      <c r="AO90" s="177">
        <f t="shared" si="61"/>
        <v>55</v>
      </c>
      <c r="AP90" s="177">
        <f t="shared" si="61"/>
        <v>63</v>
      </c>
      <c r="AQ90" s="177">
        <f t="shared" si="61"/>
        <v>71</v>
      </c>
    </row>
    <row r="91" spans="1:43" x14ac:dyDescent="0.2">
      <c r="A91" s="591" t="s">
        <v>669</v>
      </c>
      <c r="B91" s="811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8">
        <f>SUM(C91:N91)</f>
        <v>0</v>
      </c>
      <c r="P91" s="178">
        <f>SUM(C91:J91)</f>
        <v>0</v>
      </c>
      <c r="Q91" s="588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9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">
      <c r="A92" s="591" t="s">
        <v>670</v>
      </c>
      <c r="B92" s="811"/>
      <c r="C92" s="590">
        <f t="shared" ref="C92:N92" si="62">-C32</f>
        <v>0</v>
      </c>
      <c r="D92" s="590">
        <f t="shared" si="62"/>
        <v>0</v>
      </c>
      <c r="E92" s="590">
        <f t="shared" si="62"/>
        <v>0</v>
      </c>
      <c r="F92" s="590">
        <f t="shared" si="62"/>
        <v>0</v>
      </c>
      <c r="G92" s="590">
        <f t="shared" si="62"/>
        <v>0</v>
      </c>
      <c r="H92" s="590">
        <f t="shared" si="62"/>
        <v>0</v>
      </c>
      <c r="I92" s="590">
        <f t="shared" si="62"/>
        <v>0</v>
      </c>
      <c r="J92" s="590">
        <f t="shared" si="62"/>
        <v>0</v>
      </c>
      <c r="K92" s="590">
        <f t="shared" si="62"/>
        <v>0</v>
      </c>
      <c r="L92" s="590">
        <f t="shared" si="62"/>
        <v>0</v>
      </c>
      <c r="M92" s="590">
        <f t="shared" si="62"/>
        <v>0</v>
      </c>
      <c r="N92" s="590">
        <f t="shared" si="62"/>
        <v>0</v>
      </c>
      <c r="O92" s="590">
        <f>SUM(C92:N92)</f>
        <v>0</v>
      </c>
      <c r="P92" s="263">
        <f>SUM(C92:J92)</f>
        <v>0</v>
      </c>
      <c r="Q92" s="590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5" customHeight="1" x14ac:dyDescent="0.2">
      <c r="A93" s="573"/>
      <c r="B93" s="811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88"/>
      <c r="Q93" s="588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">
      <c r="A94" s="595" t="s">
        <v>671</v>
      </c>
      <c r="B94" s="813"/>
      <c r="C94" s="590">
        <f t="shared" ref="C94:Q94" si="63">SUM(C89:C92)</f>
        <v>2</v>
      </c>
      <c r="D94" s="590">
        <f t="shared" si="63"/>
        <v>-1</v>
      </c>
      <c r="E94" s="590">
        <f t="shared" si="63"/>
        <v>6</v>
      </c>
      <c r="F94" s="590">
        <f t="shared" si="63"/>
        <v>6</v>
      </c>
      <c r="G94" s="590">
        <f t="shared" si="63"/>
        <v>7</v>
      </c>
      <c r="H94" s="590">
        <f t="shared" si="63"/>
        <v>10</v>
      </c>
      <c r="I94" s="590">
        <f t="shared" si="63"/>
        <v>6</v>
      </c>
      <c r="J94" s="590">
        <f t="shared" si="63"/>
        <v>3</v>
      </c>
      <c r="K94" s="590">
        <f t="shared" si="63"/>
        <v>8</v>
      </c>
      <c r="L94" s="590">
        <f t="shared" si="63"/>
        <v>8</v>
      </c>
      <c r="M94" s="590">
        <f t="shared" si="63"/>
        <v>8</v>
      </c>
      <c r="N94" s="590">
        <f t="shared" si="63"/>
        <v>8</v>
      </c>
      <c r="O94" s="590">
        <f t="shared" si="63"/>
        <v>71</v>
      </c>
      <c r="P94" s="590">
        <f t="shared" si="63"/>
        <v>39</v>
      </c>
      <c r="Q94" s="590">
        <f t="shared" si="63"/>
        <v>32</v>
      </c>
      <c r="R94" s="166"/>
      <c r="S94" s="170"/>
      <c r="T94" s="175" t="str">
        <f>A94</f>
        <v xml:space="preserve">      Total Income Tax Adjustment</v>
      </c>
      <c r="U94" s="809"/>
      <c r="V94" s="180">
        <f>C94+D94+E94</f>
        <v>7</v>
      </c>
      <c r="W94" s="180">
        <f>F94+G94+H94</f>
        <v>23</v>
      </c>
      <c r="X94" s="180">
        <f>I94+J94+K94</f>
        <v>17</v>
      </c>
      <c r="Y94" s="180">
        <f>L94+M94+N94</f>
        <v>24</v>
      </c>
      <c r="Z94" s="180"/>
      <c r="AA94" s="180">
        <f>SUM(V94:Y94)</f>
        <v>71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4">D94+AF94</f>
        <v>1</v>
      </c>
      <c r="AH94" s="180">
        <f t="shared" si="64"/>
        <v>7</v>
      </c>
      <c r="AI94" s="180">
        <f t="shared" si="64"/>
        <v>13</v>
      </c>
      <c r="AJ94" s="180">
        <f t="shared" si="64"/>
        <v>20</v>
      </c>
      <c r="AK94" s="180">
        <f t="shared" si="64"/>
        <v>30</v>
      </c>
      <c r="AL94" s="180">
        <f t="shared" si="64"/>
        <v>36</v>
      </c>
      <c r="AM94" s="180">
        <f t="shared" si="64"/>
        <v>39</v>
      </c>
      <c r="AN94" s="180">
        <f t="shared" si="64"/>
        <v>47</v>
      </c>
      <c r="AO94" s="180">
        <f t="shared" si="64"/>
        <v>55</v>
      </c>
      <c r="AP94" s="180">
        <f t="shared" si="64"/>
        <v>63</v>
      </c>
      <c r="AQ94" s="180">
        <f t="shared" si="64"/>
        <v>71</v>
      </c>
    </row>
    <row r="95" spans="1:43" ht="8.1" customHeight="1" x14ac:dyDescent="0.2">
      <c r="A95" s="573"/>
      <c r="B95" s="811"/>
      <c r="C95" s="573"/>
      <c r="D95" s="573"/>
      <c r="E95" s="573"/>
      <c r="F95" s="573"/>
      <c r="G95" s="573"/>
      <c r="H95" s="573"/>
      <c r="I95" s="573"/>
      <c r="J95" s="573"/>
      <c r="K95" s="573"/>
      <c r="L95" s="573"/>
      <c r="M95" s="573"/>
      <c r="N95" s="573"/>
      <c r="O95" s="577"/>
      <c r="P95" s="573"/>
      <c r="Q95" s="573"/>
      <c r="S95" s="170"/>
      <c r="T95" s="170"/>
      <c r="V95" s="170"/>
    </row>
    <row r="96" spans="1:43" ht="12.75" customHeight="1" x14ac:dyDescent="0.2">
      <c r="A96" s="549" t="str">
        <f ca="1">CELL("FILENAME")</f>
        <v>P:\Finance\2001CE\[TW3rdCEEM.XLS]DataBase</v>
      </c>
      <c r="C96" s="166"/>
      <c r="D96" s="166"/>
      <c r="E96" s="166"/>
      <c r="F96" s="166"/>
      <c r="G96" s="664" t="s">
        <v>897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0" t="str">
        <f ca="1">A96</f>
        <v>P:\Finance\2001CE\[TW3rdCEEM.XLS]DataBase</v>
      </c>
      <c r="U96" s="599"/>
      <c r="V96" s="596" t="str">
        <f>G96</f>
        <v>TRANSWESTERN FAIR VALUE COMPANY</v>
      </c>
      <c r="W96" s="575"/>
      <c r="X96" s="575"/>
      <c r="Y96" s="575"/>
      <c r="Z96" s="574"/>
      <c r="AA96" s="574"/>
      <c r="AB96" s="167"/>
      <c r="AC96" s="166"/>
      <c r="AD96" s="416" t="str">
        <f ca="1">A96</f>
        <v>P:\Finance\2001CE\[TW3rdCEEM.XLS]DataBase</v>
      </c>
      <c r="AI96" s="525" t="str">
        <f>G96</f>
        <v>TRANSWESTERN FAIR VALUE COMPANY</v>
      </c>
      <c r="AJ96" s="525"/>
      <c r="AK96" s="525"/>
      <c r="AL96" s="529"/>
    </row>
    <row r="97" spans="1:43" x14ac:dyDescent="0.2">
      <c r="A97" s="403" t="s">
        <v>878</v>
      </c>
      <c r="C97" s="168"/>
      <c r="D97" s="169"/>
      <c r="E97" s="168"/>
      <c r="F97" s="167"/>
      <c r="G97" s="575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3" t="s">
        <v>880</v>
      </c>
      <c r="U97" s="599"/>
      <c r="V97" s="596" t="str">
        <f>G97</f>
        <v>2001 ACTUAL / ESTIMATE</v>
      </c>
      <c r="W97" s="575"/>
      <c r="X97" s="575"/>
      <c r="Y97" s="575"/>
      <c r="Z97" s="574"/>
      <c r="AA97" s="574"/>
      <c r="AB97" s="166"/>
      <c r="AC97" s="166"/>
      <c r="AD97" s="672" t="s">
        <v>879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">
      <c r="A98" s="674" t="str">
        <f>A3</f>
        <v>2001 CURRENT ESTIMATE</v>
      </c>
      <c r="C98" s="168"/>
      <c r="D98" s="168"/>
      <c r="E98" s="168"/>
      <c r="F98" s="168"/>
      <c r="G98" s="575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598" t="str">
        <f>A98</f>
        <v>2001 CURRENT ESTIMATE</v>
      </c>
      <c r="U98" s="599"/>
      <c r="V98" s="596" t="str">
        <f>G98</f>
        <v xml:space="preserve">RESULTS OF OPERATIONS </v>
      </c>
      <c r="W98" s="575"/>
      <c r="X98" s="575"/>
      <c r="Y98" s="575"/>
      <c r="Z98" s="574"/>
      <c r="AA98" s="574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136</v>
      </c>
      <c r="AJ98" s="525"/>
      <c r="AK98" s="525"/>
      <c r="AL98" s="529"/>
      <c r="AN98" s="170"/>
      <c r="AO98" s="170"/>
      <c r="AP98" s="170"/>
      <c r="AQ98" s="170"/>
    </row>
    <row r="99" spans="1:43" x14ac:dyDescent="0.2">
      <c r="A99" s="400"/>
      <c r="B99" s="805">
        <f ca="1">NOW()</f>
        <v>37154.4025400463</v>
      </c>
      <c r="C99" s="168"/>
      <c r="D99" s="168"/>
      <c r="E99" s="168"/>
      <c r="F99" s="168"/>
      <c r="G99" s="575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3"/>
      <c r="U99" s="805">
        <f ca="1">NOW()</f>
        <v>37154.4025400463</v>
      </c>
      <c r="V99" s="596" t="str">
        <f>G99</f>
        <v>(Thousands of Dollars)</v>
      </c>
      <c r="W99" s="575"/>
      <c r="X99" s="575"/>
      <c r="Y99" s="575"/>
      <c r="Z99" s="574"/>
      <c r="AA99" s="574"/>
      <c r="AB99" s="166"/>
      <c r="AC99" s="166"/>
      <c r="AD99" s="166"/>
      <c r="AE99" s="805">
        <f ca="1">NOW()</f>
        <v>37154.4025400463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">
      <c r="A100" s="412" t="s">
        <v>898</v>
      </c>
      <c r="B100" s="806">
        <f ca="1">NOW()</f>
        <v>37154.4025400463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9" t="s">
        <v>899</v>
      </c>
      <c r="U100" s="806">
        <f ca="1">NOW()</f>
        <v>37154.4025400463</v>
      </c>
      <c r="V100" s="574"/>
      <c r="W100" s="582"/>
      <c r="X100" s="582"/>
      <c r="Y100" s="582"/>
      <c r="Z100" s="582"/>
      <c r="AA100" s="582"/>
      <c r="AB100" s="166"/>
      <c r="AC100" s="166"/>
      <c r="AD100" s="412" t="s">
        <v>900</v>
      </c>
      <c r="AE100" s="806">
        <f ca="1">NOW()</f>
        <v>37154.4025400463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">
      <c r="A101" s="170"/>
      <c r="C101" s="171" t="str">
        <f>DataBase!C2</f>
        <v>ACT.</v>
      </c>
      <c r="D101" s="171" t="str">
        <f>DataBase!D2</f>
        <v>ACT.</v>
      </c>
      <c r="E101" s="171" t="str">
        <f>DataBase!E2</f>
        <v>ACT.</v>
      </c>
      <c r="F101" s="171" t="str">
        <f>DataBase!F2</f>
        <v>ACT.</v>
      </c>
      <c r="G101" s="171" t="str">
        <f>DataBase!G2</f>
        <v>ACT.</v>
      </c>
      <c r="H101" s="171" t="str">
        <f>DataBase!H2</f>
        <v>ACT.</v>
      </c>
      <c r="I101" s="171" t="str">
        <f>DataBase!I2</f>
        <v>ACT.</v>
      </c>
      <c r="J101" s="171" t="str">
        <f>DataBase!J2</f>
        <v>ACT.</v>
      </c>
      <c r="K101" s="171" t="str">
        <f>DataBase!K2</f>
        <v>3rd CE</v>
      </c>
      <c r="L101" s="171" t="str">
        <f>DataBase!L2</f>
        <v>3rd CE</v>
      </c>
      <c r="M101" s="171" t="str">
        <f>DataBase!M2</f>
        <v>3rd CE</v>
      </c>
      <c r="N101" s="171" t="str">
        <f>DataBase!N2</f>
        <v>3rd CE</v>
      </c>
      <c r="O101" s="171" t="str">
        <f>DataBase!O2</f>
        <v>TOTAL</v>
      </c>
      <c r="P101" s="171" t="str">
        <f>P6</f>
        <v>AUGUST</v>
      </c>
      <c r="Q101" s="171" t="str">
        <f>Q6</f>
        <v>ESTIMATE</v>
      </c>
      <c r="R101" s="166"/>
      <c r="S101" s="167"/>
      <c r="T101" s="574"/>
      <c r="U101" s="599"/>
      <c r="V101" s="599" t="s">
        <v>140</v>
      </c>
      <c r="W101" s="599" t="s">
        <v>141</v>
      </c>
      <c r="X101" s="599" t="s">
        <v>142</v>
      </c>
      <c r="Y101" s="599" t="s">
        <v>143</v>
      </c>
      <c r="Z101" s="582"/>
      <c r="AA101" s="600" t="str">
        <f>O101</f>
        <v>TOTAL</v>
      </c>
      <c r="AB101" s="166"/>
      <c r="AC101" s="166"/>
      <c r="AD101" s="170"/>
      <c r="AF101" s="171" t="str">
        <f t="shared" ref="AF101:AQ102" si="65">C101</f>
        <v>ACT.</v>
      </c>
      <c r="AG101" s="171" t="str">
        <f t="shared" si="65"/>
        <v>ACT.</v>
      </c>
      <c r="AH101" s="171" t="str">
        <f t="shared" si="65"/>
        <v>ACT.</v>
      </c>
      <c r="AI101" s="171" t="str">
        <f t="shared" si="65"/>
        <v>ACT.</v>
      </c>
      <c r="AJ101" s="171" t="str">
        <f t="shared" si="65"/>
        <v>ACT.</v>
      </c>
      <c r="AK101" s="171" t="str">
        <f t="shared" si="65"/>
        <v>ACT.</v>
      </c>
      <c r="AL101" s="171" t="str">
        <f t="shared" si="65"/>
        <v>ACT.</v>
      </c>
      <c r="AM101" s="171" t="str">
        <f t="shared" si="65"/>
        <v>ACT.</v>
      </c>
      <c r="AN101" s="171" t="str">
        <f t="shared" si="65"/>
        <v>3rd CE</v>
      </c>
      <c r="AO101" s="171" t="str">
        <f t="shared" si="65"/>
        <v>3rd CE</v>
      </c>
      <c r="AP101" s="171" t="str">
        <f t="shared" si="65"/>
        <v>3rd CE</v>
      </c>
      <c r="AQ101" s="171" t="str">
        <f t="shared" si="65"/>
        <v>3rd CE</v>
      </c>
    </row>
    <row r="102" spans="1:43" x14ac:dyDescent="0.2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2001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4"/>
      <c r="U102" s="599"/>
      <c r="V102" s="586" t="s">
        <v>146</v>
      </c>
      <c r="W102" s="601" t="str">
        <f>V$7</f>
        <v>Quarter</v>
      </c>
      <c r="X102" s="601" t="str">
        <f>W$7</f>
        <v>Quarter</v>
      </c>
      <c r="Y102" s="601" t="str">
        <f>X$7</f>
        <v>Quarter</v>
      </c>
      <c r="Z102" s="602"/>
      <c r="AA102" s="603">
        <f>O102</f>
        <v>2001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">
      <c r="A103" s="410" t="s">
        <v>147</v>
      </c>
      <c r="T103" s="604" t="str">
        <f>A103</f>
        <v>OPERATING REVENUES</v>
      </c>
      <c r="U103" s="811"/>
      <c r="V103" s="573"/>
      <c r="W103" s="573"/>
      <c r="X103" s="573"/>
      <c r="Y103" s="573"/>
      <c r="Z103" s="573"/>
      <c r="AA103" s="573"/>
      <c r="AD103" s="166" t="str">
        <f>A103</f>
        <v>OPERATING REVENUES</v>
      </c>
    </row>
    <row r="104" spans="1:43" x14ac:dyDescent="0.2">
      <c r="A104" s="411" t="s">
        <v>148</v>
      </c>
      <c r="C104" s="670">
        <v>0</v>
      </c>
      <c r="D104" s="670">
        <v>0</v>
      </c>
      <c r="E104" s="670">
        <v>0</v>
      </c>
      <c r="F104" s="670">
        <v>0</v>
      </c>
      <c r="G104" s="670">
        <v>0</v>
      </c>
      <c r="H104" s="670">
        <v>0</v>
      </c>
      <c r="I104" s="670">
        <v>0</v>
      </c>
      <c r="J104" s="670">
        <v>0</v>
      </c>
      <c r="K104" s="670">
        <v>0</v>
      </c>
      <c r="L104" s="670">
        <v>0</v>
      </c>
      <c r="M104" s="670">
        <v>0</v>
      </c>
      <c r="N104" s="670">
        <v>0</v>
      </c>
      <c r="O104" s="177">
        <f>SUM(C104:N104)</f>
        <v>0</v>
      </c>
      <c r="P104" s="178">
        <f>SUM(C104:J104)</f>
        <v>0</v>
      </c>
      <c r="Q104" s="177">
        <f>O104-P104</f>
        <v>0</v>
      </c>
      <c r="R104" s="570"/>
      <c r="S104" s="170"/>
      <c r="T104" s="605" t="str">
        <f>A104</f>
        <v xml:space="preserve">   Gas Sales &amp; Liquids Revenue</v>
      </c>
      <c r="U104" s="811"/>
      <c r="V104" s="588">
        <f>C104+D104+E104</f>
        <v>0</v>
      </c>
      <c r="W104" s="588">
        <f>F104+G104+H104</f>
        <v>0</v>
      </c>
      <c r="X104" s="588">
        <f>I104+J104+K104</f>
        <v>0</v>
      </c>
      <c r="Y104" s="588">
        <f>L104+M104+N104</f>
        <v>0</v>
      </c>
      <c r="Z104" s="588"/>
      <c r="AA104" s="588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">
      <c r="A105" s="411" t="s">
        <v>149</v>
      </c>
      <c r="C105" s="671">
        <v>0</v>
      </c>
      <c r="D105" s="671">
        <v>0</v>
      </c>
      <c r="E105" s="671">
        <v>0</v>
      </c>
      <c r="F105" s="671">
        <v>0</v>
      </c>
      <c r="G105" s="671">
        <v>0</v>
      </c>
      <c r="H105" s="671">
        <v>0</v>
      </c>
      <c r="I105" s="671">
        <v>0</v>
      </c>
      <c r="J105" s="671">
        <v>0</v>
      </c>
      <c r="K105" s="671">
        <v>0</v>
      </c>
      <c r="L105" s="671">
        <v>0</v>
      </c>
      <c r="M105" s="671">
        <v>0</v>
      </c>
      <c r="N105" s="671">
        <v>0</v>
      </c>
      <c r="O105" s="180">
        <f>SUM(C105:N105)</f>
        <v>0</v>
      </c>
      <c r="P105" s="263">
        <f>SUM(C105:J105)</f>
        <v>0</v>
      </c>
      <c r="Q105" s="180">
        <f>O105-P105</f>
        <v>0</v>
      </c>
      <c r="R105" s="571"/>
      <c r="S105" s="170"/>
      <c r="T105" s="605" t="str">
        <f>A105</f>
        <v xml:space="preserve">     Less:  Cost of Sales</v>
      </c>
      <c r="U105" s="811"/>
      <c r="V105" s="590">
        <f>C105+D105+E105</f>
        <v>0</v>
      </c>
      <c r="W105" s="590">
        <f>F105+G105+H105</f>
        <v>0</v>
      </c>
      <c r="X105" s="590">
        <f>I105+J105+K105</f>
        <v>0</v>
      </c>
      <c r="Y105" s="590">
        <f>L105+M105+N105</f>
        <v>0</v>
      </c>
      <c r="Z105" s="590"/>
      <c r="AA105" s="590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3"/>
      <c r="U106" s="811"/>
      <c r="V106" s="588"/>
      <c r="W106" s="588"/>
      <c r="X106" s="588"/>
      <c r="Y106" s="588"/>
      <c r="Z106" s="588"/>
      <c r="AA106" s="588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">
      <c r="A107" s="412" t="s">
        <v>150</v>
      </c>
      <c r="B107" s="807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6"/>
      <c r="S107" s="168"/>
      <c r="T107" s="604" t="str">
        <f>A107</f>
        <v xml:space="preserve">      Sales Margin</v>
      </c>
      <c r="U107" s="599"/>
      <c r="V107" s="606">
        <f>V104-V105</f>
        <v>0</v>
      </c>
      <c r="W107" s="606">
        <f>W104-W105</f>
        <v>0</v>
      </c>
      <c r="X107" s="606">
        <f>X104-X105</f>
        <v>0</v>
      </c>
      <c r="Y107" s="606">
        <f>Y104-Y105</f>
        <v>0</v>
      </c>
      <c r="Z107" s="606"/>
      <c r="AA107" s="606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3"/>
      <c r="U108" s="811"/>
      <c r="V108" s="588"/>
      <c r="W108" s="588"/>
      <c r="X108" s="588"/>
      <c r="Y108" s="588"/>
      <c r="Z108" s="588"/>
      <c r="AA108" s="588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">
      <c r="A109" s="411" t="s">
        <v>151</v>
      </c>
      <c r="C109" s="670">
        <v>0</v>
      </c>
      <c r="D109" s="670">
        <v>0</v>
      </c>
      <c r="E109" s="670">
        <v>0</v>
      </c>
      <c r="F109" s="670">
        <v>0</v>
      </c>
      <c r="G109" s="670">
        <v>0</v>
      </c>
      <c r="H109" s="670">
        <v>0</v>
      </c>
      <c r="I109" s="670">
        <v>0</v>
      </c>
      <c r="J109" s="670">
        <v>0</v>
      </c>
      <c r="K109" s="670">
        <v>0</v>
      </c>
      <c r="L109" s="670">
        <v>0</v>
      </c>
      <c r="M109" s="670">
        <v>0</v>
      </c>
      <c r="N109" s="670">
        <v>0</v>
      </c>
      <c r="O109" s="177">
        <f>SUM(C109:N109)</f>
        <v>0</v>
      </c>
      <c r="P109" s="178">
        <f>SUM(C109:J109)</f>
        <v>0</v>
      </c>
      <c r="Q109" s="177">
        <f>O109-P109</f>
        <v>0</v>
      </c>
      <c r="R109" s="570"/>
      <c r="S109" s="170"/>
      <c r="T109" s="605" t="str">
        <f>A109</f>
        <v xml:space="preserve">   Transportation &amp; Storage Revenue</v>
      </c>
      <c r="U109" s="811"/>
      <c r="V109" s="588">
        <f>C109+D109+E109</f>
        <v>0</v>
      </c>
      <c r="W109" s="588">
        <f>F109+G109+H109</f>
        <v>0</v>
      </c>
      <c r="X109" s="588">
        <f>I109+J109+K109</f>
        <v>0</v>
      </c>
      <c r="Y109" s="588">
        <f>L109+M109+N109</f>
        <v>0</v>
      </c>
      <c r="Z109" s="588"/>
      <c r="AA109" s="588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">
      <c r="A110" s="411" t="s">
        <v>626</v>
      </c>
      <c r="C110" s="671">
        <v>0</v>
      </c>
      <c r="D110" s="671">
        <v>0</v>
      </c>
      <c r="E110" s="671">
        <v>0</v>
      </c>
      <c r="F110" s="671">
        <v>0</v>
      </c>
      <c r="G110" s="671">
        <v>0</v>
      </c>
      <c r="H110" s="671">
        <v>0</v>
      </c>
      <c r="I110" s="671">
        <v>0</v>
      </c>
      <c r="J110" s="671">
        <v>0</v>
      </c>
      <c r="K110" s="671">
        <v>0</v>
      </c>
      <c r="L110" s="671">
        <v>0</v>
      </c>
      <c r="M110" s="671">
        <v>0</v>
      </c>
      <c r="N110" s="671">
        <v>0</v>
      </c>
      <c r="O110" s="180">
        <f>SUM(C110:N110)</f>
        <v>0</v>
      </c>
      <c r="P110" s="263">
        <f>SUM(C110:J110)</f>
        <v>0</v>
      </c>
      <c r="Q110" s="180">
        <f>O110-P110</f>
        <v>0</v>
      </c>
      <c r="R110" s="571"/>
      <c r="S110" s="170"/>
      <c r="T110" s="605" t="str">
        <f>A110</f>
        <v xml:space="preserve">   Other Revenue</v>
      </c>
      <c r="U110" s="811"/>
      <c r="V110" s="590">
        <f>C110+D110+E110</f>
        <v>0</v>
      </c>
      <c r="W110" s="590">
        <f>F110+G110+H110</f>
        <v>0</v>
      </c>
      <c r="X110" s="590">
        <f>I110+J110+K110</f>
        <v>0</v>
      </c>
      <c r="Y110" s="590">
        <f>L110+M110+N110</f>
        <v>0</v>
      </c>
      <c r="Z110" s="590"/>
      <c r="AA110" s="590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5" customHeight="1" x14ac:dyDescent="0.2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5"/>
      <c r="U111" s="811"/>
      <c r="V111" s="588"/>
      <c r="W111" s="588"/>
      <c r="X111" s="588"/>
      <c r="Y111" s="588"/>
      <c r="Z111" s="588"/>
      <c r="AA111" s="588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">
      <c r="A112" s="410" t="s">
        <v>627</v>
      </c>
      <c r="B112" s="808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4" t="str">
        <f>A112</f>
        <v xml:space="preserve">      Net Operating Income</v>
      </c>
      <c r="U112" s="599"/>
      <c r="V112" s="607">
        <f>SUM(V107:V110)</f>
        <v>0</v>
      </c>
      <c r="W112" s="607">
        <f>SUM(W107:W110)</f>
        <v>0</v>
      </c>
      <c r="X112" s="607">
        <f>SUM(X107:X110)</f>
        <v>0</v>
      </c>
      <c r="Y112" s="607">
        <f>SUM(Y107:Y110)</f>
        <v>0</v>
      </c>
      <c r="Z112" s="607"/>
      <c r="AA112" s="607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5"/>
      <c r="U113" s="811"/>
      <c r="V113" s="588"/>
      <c r="W113" s="588"/>
      <c r="X113" s="588"/>
      <c r="Y113" s="588"/>
      <c r="Z113" s="588"/>
      <c r="AA113" s="588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">
      <c r="A114" s="410" t="s">
        <v>628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4" t="str">
        <f t="shared" ref="T114:T120" si="73">A114</f>
        <v>OPERATING EXPENSES</v>
      </c>
      <c r="U114" s="811"/>
      <c r="V114" s="588"/>
      <c r="W114" s="588"/>
      <c r="X114" s="588"/>
      <c r="Y114" s="588"/>
      <c r="Z114" s="588"/>
      <c r="AA114" s="588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">
      <c r="A115" s="411" t="s">
        <v>629</v>
      </c>
      <c r="C115" s="670">
        <v>0</v>
      </c>
      <c r="D115" s="670">
        <v>0</v>
      </c>
      <c r="E115" s="670">
        <v>0</v>
      </c>
      <c r="F115" s="670">
        <v>0</v>
      </c>
      <c r="G115" s="670">
        <v>0</v>
      </c>
      <c r="H115" s="670">
        <v>0</v>
      </c>
      <c r="I115" s="670">
        <v>0</v>
      </c>
      <c r="J115" s="670">
        <v>0</v>
      </c>
      <c r="K115" s="670">
        <v>0</v>
      </c>
      <c r="L115" s="670">
        <v>0</v>
      </c>
      <c r="M115" s="670">
        <v>0</v>
      </c>
      <c r="N115" s="670">
        <v>0</v>
      </c>
      <c r="O115" s="177">
        <f t="shared" ref="O115:O120" si="75">SUM(C115:N115)</f>
        <v>0</v>
      </c>
      <c r="P115" s="178">
        <f t="shared" ref="P115:P120" si="76">SUM(C115:J115)</f>
        <v>0</v>
      </c>
      <c r="Q115" s="177">
        <f t="shared" ref="Q115:Q120" si="77">O115-P115</f>
        <v>0</v>
      </c>
      <c r="R115" s="570"/>
      <c r="S115" s="170"/>
      <c r="T115" s="605" t="str">
        <f t="shared" si="73"/>
        <v xml:space="preserve">   Operations and Maintenance</v>
      </c>
      <c r="U115" s="811"/>
      <c r="V115" s="588">
        <f t="shared" ref="V115:V120" si="78">C115+D115+E115</f>
        <v>0</v>
      </c>
      <c r="W115" s="588">
        <f t="shared" ref="W115:W120" si="79">F115+G115+H115</f>
        <v>0</v>
      </c>
      <c r="X115" s="588">
        <f t="shared" ref="X115:X120" si="80">I115+J115+K115</f>
        <v>0</v>
      </c>
      <c r="Y115" s="588">
        <f t="shared" ref="Y115:Y120" si="81">L115+M115+N115</f>
        <v>0</v>
      </c>
      <c r="Z115" s="588"/>
      <c r="AA115" s="588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">
      <c r="A116" s="411" t="s">
        <v>630</v>
      </c>
      <c r="C116" s="670">
        <v>0</v>
      </c>
      <c r="D116" s="670">
        <v>0</v>
      </c>
      <c r="E116" s="670">
        <v>0</v>
      </c>
      <c r="F116" s="670">
        <v>0</v>
      </c>
      <c r="G116" s="670">
        <v>0</v>
      </c>
      <c r="H116" s="670">
        <v>0</v>
      </c>
      <c r="I116" s="670">
        <v>0</v>
      </c>
      <c r="J116" s="670">
        <v>0</v>
      </c>
      <c r="K116" s="670">
        <v>0</v>
      </c>
      <c r="L116" s="670">
        <v>0</v>
      </c>
      <c r="M116" s="670">
        <v>0</v>
      </c>
      <c r="N116" s="670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70"/>
      <c r="S116" s="170"/>
      <c r="T116" s="605" t="str">
        <f t="shared" si="73"/>
        <v xml:space="preserve">   Regulatory Amortization</v>
      </c>
      <c r="U116" s="811"/>
      <c r="V116" s="588">
        <f t="shared" si="78"/>
        <v>0</v>
      </c>
      <c r="W116" s="588">
        <f t="shared" si="79"/>
        <v>0</v>
      </c>
      <c r="X116" s="588">
        <f t="shared" si="80"/>
        <v>0</v>
      </c>
      <c r="Y116" s="588">
        <f t="shared" si="81"/>
        <v>0</v>
      </c>
      <c r="Z116" s="588"/>
      <c r="AA116" s="588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">
      <c r="A117" s="413" t="s">
        <v>631</v>
      </c>
      <c r="C117" s="670">
        <v>0</v>
      </c>
      <c r="D117" s="670">
        <v>0</v>
      </c>
      <c r="E117" s="670">
        <v>0</v>
      </c>
      <c r="F117" s="670">
        <v>0</v>
      </c>
      <c r="G117" s="670">
        <v>0</v>
      </c>
      <c r="H117" s="670">
        <v>0</v>
      </c>
      <c r="I117" s="670">
        <v>0</v>
      </c>
      <c r="J117" s="670">
        <v>0</v>
      </c>
      <c r="K117" s="670">
        <v>0</v>
      </c>
      <c r="L117" s="670">
        <v>0</v>
      </c>
      <c r="M117" s="670">
        <v>0</v>
      </c>
      <c r="N117" s="670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70"/>
      <c r="S117" s="170"/>
      <c r="T117" s="605" t="str">
        <f t="shared" si="73"/>
        <v xml:space="preserve">   Fuel Used in Operations</v>
      </c>
      <c r="U117" s="811"/>
      <c r="V117" s="588">
        <f t="shared" si="78"/>
        <v>0</v>
      </c>
      <c r="W117" s="588">
        <f t="shared" si="79"/>
        <v>0</v>
      </c>
      <c r="X117" s="588">
        <f t="shared" si="80"/>
        <v>0</v>
      </c>
      <c r="Y117" s="588">
        <f t="shared" si="81"/>
        <v>0</v>
      </c>
      <c r="Z117" s="588"/>
      <c r="AA117" s="588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">
      <c r="A118" s="414" t="s">
        <v>632</v>
      </c>
      <c r="B118" s="809"/>
      <c r="C118" s="670">
        <v>0</v>
      </c>
      <c r="D118" s="670">
        <v>0</v>
      </c>
      <c r="E118" s="670">
        <v>0</v>
      </c>
      <c r="F118" s="670">
        <v>0</v>
      </c>
      <c r="G118" s="670">
        <v>0</v>
      </c>
      <c r="H118" s="670">
        <v>0</v>
      </c>
      <c r="I118" s="670">
        <v>0</v>
      </c>
      <c r="J118" s="670">
        <v>0</v>
      </c>
      <c r="K118" s="670">
        <v>0</v>
      </c>
      <c r="L118" s="670">
        <v>0</v>
      </c>
      <c r="M118" s="670">
        <v>0</v>
      </c>
      <c r="N118" s="670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70"/>
      <c r="S118" s="170"/>
      <c r="T118" s="605" t="str">
        <f t="shared" si="73"/>
        <v xml:space="preserve">   Transmission, Compression &amp; Storage</v>
      </c>
      <c r="U118" s="814"/>
      <c r="V118" s="588">
        <f t="shared" si="78"/>
        <v>0</v>
      </c>
      <c r="W118" s="588">
        <f t="shared" si="79"/>
        <v>0</v>
      </c>
      <c r="X118" s="588">
        <f t="shared" si="80"/>
        <v>0</v>
      </c>
      <c r="Y118" s="588">
        <f t="shared" si="81"/>
        <v>0</v>
      </c>
      <c r="Z118" s="588"/>
      <c r="AA118" s="588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">
      <c r="A119" s="411" t="s">
        <v>633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4000</v>
      </c>
      <c r="Q119" s="177">
        <f t="shared" si="77"/>
        <v>2000</v>
      </c>
      <c r="R119" s="570"/>
      <c r="S119" s="170"/>
      <c r="T119" s="605" t="str">
        <f t="shared" si="73"/>
        <v xml:space="preserve">   Depreciation &amp; Amortization</v>
      </c>
      <c r="U119" s="811"/>
      <c r="V119" s="588">
        <f t="shared" si="78"/>
        <v>1500</v>
      </c>
      <c r="W119" s="588">
        <f t="shared" si="79"/>
        <v>1500</v>
      </c>
      <c r="X119" s="588">
        <f t="shared" si="80"/>
        <v>1500</v>
      </c>
      <c r="Y119" s="588">
        <f t="shared" si="81"/>
        <v>1500</v>
      </c>
      <c r="Z119" s="588"/>
      <c r="AA119" s="588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9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">
      <c r="A120" s="411" t="s">
        <v>634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71"/>
      <c r="S120" s="170"/>
      <c r="T120" s="605" t="str">
        <f t="shared" si="73"/>
        <v xml:space="preserve">   Taxes Other Than Income</v>
      </c>
      <c r="U120" s="811"/>
      <c r="V120" s="590">
        <f t="shared" si="78"/>
        <v>0</v>
      </c>
      <c r="W120" s="590">
        <f t="shared" si="79"/>
        <v>0</v>
      </c>
      <c r="X120" s="590">
        <f t="shared" si="80"/>
        <v>0</v>
      </c>
      <c r="Y120" s="590">
        <f t="shared" si="81"/>
        <v>0</v>
      </c>
      <c r="Z120" s="590"/>
      <c r="AA120" s="590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5" customHeight="1" x14ac:dyDescent="0.2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5"/>
      <c r="U121" s="811"/>
      <c r="V121" s="588"/>
      <c r="W121" s="588"/>
      <c r="X121" s="588"/>
      <c r="Y121" s="588"/>
      <c r="Z121" s="588"/>
      <c r="AA121" s="588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">
      <c r="A122" s="410" t="s">
        <v>635</v>
      </c>
      <c r="B122" s="808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4000</v>
      </c>
      <c r="Q122" s="181">
        <f t="shared" si="95"/>
        <v>2000</v>
      </c>
      <c r="R122" s="546"/>
      <c r="S122" s="168"/>
      <c r="T122" s="604" t="str">
        <f>A122</f>
        <v xml:space="preserve">     Total Operating Expenses</v>
      </c>
      <c r="U122" s="599"/>
      <c r="V122" s="607">
        <f>SUM(V115:V120)</f>
        <v>1500</v>
      </c>
      <c r="W122" s="607">
        <f>SUM(W115:W120)</f>
        <v>1500</v>
      </c>
      <c r="X122" s="607">
        <f>SUM(X115:X120)</f>
        <v>1500</v>
      </c>
      <c r="Y122" s="607">
        <f>SUM(Y115:Y120)</f>
        <v>1500</v>
      </c>
      <c r="Z122" s="607"/>
      <c r="AA122" s="607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7"/>
      <c r="U123" s="811"/>
      <c r="V123" s="588"/>
      <c r="W123" s="588"/>
      <c r="X123" s="588"/>
      <c r="Y123" s="588"/>
      <c r="Z123" s="588"/>
      <c r="AA123" s="588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">
      <c r="A124" s="410" t="s">
        <v>636</v>
      </c>
      <c r="B124" s="807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-4000</v>
      </c>
      <c r="Q124" s="181">
        <f t="shared" si="97"/>
        <v>-2000</v>
      </c>
      <c r="R124" s="546"/>
      <c r="S124" s="168"/>
      <c r="T124" s="604" t="str">
        <f>A124</f>
        <v>OPERATING INCOME</v>
      </c>
      <c r="U124" s="599"/>
      <c r="V124" s="607">
        <f>V112-V122</f>
        <v>-1500</v>
      </c>
      <c r="W124" s="607">
        <f>W112-W122</f>
        <v>-1500</v>
      </c>
      <c r="X124" s="607">
        <f>X112-X122</f>
        <v>-1500</v>
      </c>
      <c r="Y124" s="607">
        <f>Y112-Y122</f>
        <v>-1500</v>
      </c>
      <c r="Z124" s="607"/>
      <c r="AA124" s="607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7"/>
      <c r="U125" s="811"/>
      <c r="V125" s="588"/>
      <c r="W125" s="588"/>
      <c r="X125" s="588"/>
      <c r="Y125" s="588"/>
      <c r="Z125" s="588"/>
      <c r="AA125" s="588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">
      <c r="A126" s="398" t="s">
        <v>637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4" t="str">
        <f>A126</f>
        <v>OTHER INCOME</v>
      </c>
      <c r="U126" s="811"/>
      <c r="V126" s="588"/>
      <c r="W126" s="588"/>
      <c r="X126" s="588"/>
      <c r="Y126" s="588"/>
      <c r="Z126" s="588"/>
      <c r="AA126" s="588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">
      <c r="A127" s="413" t="s">
        <v>638</v>
      </c>
      <c r="C127" s="670">
        <v>0</v>
      </c>
      <c r="D127" s="670">
        <v>0</v>
      </c>
      <c r="E127" s="670">
        <v>0</v>
      </c>
      <c r="F127" s="670">
        <v>0</v>
      </c>
      <c r="G127" s="670">
        <v>0</v>
      </c>
      <c r="H127" s="670">
        <v>0</v>
      </c>
      <c r="I127" s="670">
        <v>0</v>
      </c>
      <c r="J127" s="670">
        <v>0</v>
      </c>
      <c r="K127" s="670">
        <v>0</v>
      </c>
      <c r="L127" s="670">
        <v>0</v>
      </c>
      <c r="M127" s="670">
        <v>0</v>
      </c>
      <c r="N127" s="670">
        <v>0</v>
      </c>
      <c r="O127" s="177">
        <f>SUM(C127:N127)</f>
        <v>0</v>
      </c>
      <c r="P127" s="178">
        <f>SUM(C127:J127)</f>
        <v>0</v>
      </c>
      <c r="Q127" s="177">
        <f>O127-P127</f>
        <v>0</v>
      </c>
      <c r="R127" s="570"/>
      <c r="S127" s="170"/>
      <c r="T127" s="605" t="str">
        <f>A127</f>
        <v xml:space="preserve">   Partnership Income</v>
      </c>
      <c r="U127" s="811"/>
      <c r="V127" s="588">
        <f>C127+D127+E127</f>
        <v>0</v>
      </c>
      <c r="W127" s="588">
        <f>F127+G127+H127</f>
        <v>0</v>
      </c>
      <c r="X127" s="588">
        <f>I127+J127+K127</f>
        <v>0</v>
      </c>
      <c r="Y127" s="588">
        <f>L127+M127+N127</f>
        <v>0</v>
      </c>
      <c r="Z127" s="588"/>
      <c r="AA127" s="588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">
      <c r="A128" s="413" t="s">
        <v>639</v>
      </c>
      <c r="C128" s="670">
        <v>0</v>
      </c>
      <c r="D128" s="670">
        <v>0</v>
      </c>
      <c r="E128" s="670">
        <v>0</v>
      </c>
      <c r="F128" s="670">
        <v>0</v>
      </c>
      <c r="G128" s="670">
        <v>0</v>
      </c>
      <c r="H128" s="670">
        <v>0</v>
      </c>
      <c r="I128" s="670">
        <v>0</v>
      </c>
      <c r="J128" s="670">
        <v>0</v>
      </c>
      <c r="K128" s="670">
        <v>0</v>
      </c>
      <c r="L128" s="670">
        <v>0</v>
      </c>
      <c r="M128" s="670">
        <v>0</v>
      </c>
      <c r="N128" s="670">
        <v>0</v>
      </c>
      <c r="O128" s="177">
        <f>SUM(C128:N128)</f>
        <v>0</v>
      </c>
      <c r="P128" s="178">
        <f>SUM(C128:J128)</f>
        <v>0</v>
      </c>
      <c r="Q128" s="177">
        <f>O128-P128</f>
        <v>0</v>
      </c>
      <c r="R128" s="570"/>
      <c r="T128" s="605" t="str">
        <f>A128</f>
        <v xml:space="preserve">   Interest Income</v>
      </c>
      <c r="U128" s="811"/>
      <c r="V128" s="588">
        <f>C128+D128+E128</f>
        <v>0</v>
      </c>
      <c r="W128" s="588">
        <f>F128+G128+H128</f>
        <v>0</v>
      </c>
      <c r="X128" s="588">
        <f>I128+J128+K128</f>
        <v>0</v>
      </c>
      <c r="Y128" s="588">
        <f>L128+M128+N128</f>
        <v>0</v>
      </c>
      <c r="Z128" s="588"/>
      <c r="AA128" s="588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">
      <c r="A129" s="413" t="s">
        <v>640</v>
      </c>
      <c r="C129" s="671">
        <v>0</v>
      </c>
      <c r="D129" s="671">
        <v>0</v>
      </c>
      <c r="E129" s="671">
        <v>0</v>
      </c>
      <c r="F129" s="671">
        <v>0</v>
      </c>
      <c r="G129" s="671">
        <v>0</v>
      </c>
      <c r="H129" s="671">
        <v>0</v>
      </c>
      <c r="I129" s="671">
        <v>0</v>
      </c>
      <c r="J129" s="671">
        <v>0</v>
      </c>
      <c r="K129" s="671">
        <v>0</v>
      </c>
      <c r="L129" s="671">
        <v>0</v>
      </c>
      <c r="M129" s="671">
        <v>0</v>
      </c>
      <c r="N129" s="671">
        <v>0</v>
      </c>
      <c r="O129" s="180">
        <f>SUM(C129:N129)</f>
        <v>0</v>
      </c>
      <c r="P129" s="263">
        <f>SUM(C129:J129)</f>
        <v>0</v>
      </c>
      <c r="Q129" s="180">
        <f>O129-P129</f>
        <v>0</v>
      </c>
      <c r="R129" s="571"/>
      <c r="S129" s="170"/>
      <c r="T129" s="605" t="str">
        <f>A129</f>
        <v xml:space="preserve">   Other Income / (Deductions)</v>
      </c>
      <c r="U129" s="811"/>
      <c r="V129" s="590">
        <f>C129+D129+E129</f>
        <v>0</v>
      </c>
      <c r="W129" s="590">
        <f>F129+G129+H129</f>
        <v>0</v>
      </c>
      <c r="X129" s="590">
        <f>I129+J129+K129</f>
        <v>0</v>
      </c>
      <c r="Y129" s="590">
        <f>L129+M129+N129</f>
        <v>0</v>
      </c>
      <c r="Z129" s="590"/>
      <c r="AA129" s="590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5" customHeight="1" x14ac:dyDescent="0.2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3"/>
      <c r="U130" s="811"/>
      <c r="V130" s="588"/>
      <c r="W130" s="588"/>
      <c r="X130" s="588"/>
      <c r="Y130" s="588"/>
      <c r="Z130" s="588"/>
      <c r="AA130" s="588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">
      <c r="A131" s="410" t="s">
        <v>641</v>
      </c>
      <c r="B131" s="807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6"/>
      <c r="S131" s="168"/>
      <c r="T131" s="604" t="str">
        <f>A131</f>
        <v xml:space="preserve">     Total Other Income &amp; Other Deductions</v>
      </c>
      <c r="U131" s="599"/>
      <c r="V131" s="607">
        <f>V127+V128+V129</f>
        <v>0</v>
      </c>
      <c r="W131" s="607">
        <f>W127+W128+W129</f>
        <v>0</v>
      </c>
      <c r="X131" s="607">
        <f>X127+X128+X129</f>
        <v>0</v>
      </c>
      <c r="Y131" s="607">
        <f>Y127+Y128+Y129</f>
        <v>0</v>
      </c>
      <c r="Z131" s="607"/>
      <c r="AA131" s="607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7"/>
      <c r="U132" s="811"/>
      <c r="V132" s="588"/>
      <c r="W132" s="588"/>
      <c r="X132" s="588"/>
      <c r="Y132" s="588"/>
      <c r="Z132" s="588"/>
      <c r="AA132" s="588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">
      <c r="A133" s="399" t="s">
        <v>645</v>
      </c>
      <c r="B133" s="810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-4000</v>
      </c>
      <c r="Q133" s="181">
        <f t="shared" si="102"/>
        <v>-2000</v>
      </c>
      <c r="R133" s="546"/>
      <c r="S133" s="168"/>
      <c r="T133" s="604" t="str">
        <f>A133</f>
        <v>INCOME BEFORE INTEREST &amp; TAXES</v>
      </c>
      <c r="U133" s="813"/>
      <c r="V133" s="607">
        <f>C133+D133+E133</f>
        <v>-1500</v>
      </c>
      <c r="W133" s="607">
        <f>F133+G133+H133</f>
        <v>-1500</v>
      </c>
      <c r="X133" s="607">
        <f>I133+J133+K133</f>
        <v>-1500</v>
      </c>
      <c r="Y133" s="607">
        <f>L133+M133+N133</f>
        <v>-1500</v>
      </c>
      <c r="Z133" s="607"/>
      <c r="AA133" s="607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7"/>
      <c r="U134" s="811"/>
      <c r="V134" s="588"/>
      <c r="W134" s="588"/>
      <c r="X134" s="588"/>
      <c r="Y134" s="588"/>
      <c r="Z134" s="588"/>
      <c r="AA134" s="588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">
      <c r="A135" s="410" t="s">
        <v>332</v>
      </c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177"/>
      <c r="P135" s="178"/>
      <c r="Q135" s="177"/>
      <c r="R135" s="178"/>
      <c r="S135" s="170"/>
      <c r="T135" s="604" t="str">
        <f t="shared" ref="T135:T140" si="104">A135</f>
        <v xml:space="preserve">INTEREST AND OTHER </v>
      </c>
      <c r="U135" s="811"/>
      <c r="V135" s="588"/>
      <c r="W135" s="608"/>
      <c r="X135" s="588"/>
      <c r="Y135" s="588"/>
      <c r="Z135" s="588"/>
      <c r="AA135" s="588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">
      <c r="A136" s="411" t="s">
        <v>642</v>
      </c>
      <c r="C136" s="670">
        <v>0</v>
      </c>
      <c r="D136" s="670">
        <v>0</v>
      </c>
      <c r="E136" s="670">
        <v>0</v>
      </c>
      <c r="F136" s="670">
        <v>0</v>
      </c>
      <c r="G136" s="670">
        <v>0</v>
      </c>
      <c r="H136" s="670">
        <v>0</v>
      </c>
      <c r="I136" s="670">
        <v>0</v>
      </c>
      <c r="J136" s="670">
        <v>0</v>
      </c>
      <c r="K136" s="670">
        <v>0</v>
      </c>
      <c r="L136" s="670">
        <v>0</v>
      </c>
      <c r="M136" s="670">
        <v>0</v>
      </c>
      <c r="N136" s="670">
        <v>0</v>
      </c>
      <c r="O136" s="177">
        <f>SUM(C136:N136)</f>
        <v>0</v>
      </c>
      <c r="P136" s="178">
        <f>SUM(C136:J136)</f>
        <v>0</v>
      </c>
      <c r="Q136" s="177">
        <f>O136-P136</f>
        <v>0</v>
      </c>
      <c r="R136" s="570"/>
      <c r="S136" s="170"/>
      <c r="T136" s="605" t="str">
        <f t="shared" si="104"/>
        <v xml:space="preserve">   Direct Interest</v>
      </c>
      <c r="U136" s="811"/>
      <c r="V136" s="588">
        <f>C136+D136+E136</f>
        <v>0</v>
      </c>
      <c r="W136" s="588">
        <f>F136+G136+H136</f>
        <v>0</v>
      </c>
      <c r="X136" s="588">
        <f>I136+J136+K136</f>
        <v>0</v>
      </c>
      <c r="Y136" s="588">
        <f>L136+M136+N136</f>
        <v>0</v>
      </c>
      <c r="Z136" s="588"/>
      <c r="AA136" s="588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">
      <c r="A137" s="411" t="s">
        <v>329</v>
      </c>
      <c r="C137" s="670">
        <v>0</v>
      </c>
      <c r="D137" s="670">
        <v>0</v>
      </c>
      <c r="E137" s="670">
        <v>0</v>
      </c>
      <c r="F137" s="670">
        <v>0</v>
      </c>
      <c r="G137" s="670">
        <v>0</v>
      </c>
      <c r="H137" s="670">
        <v>0</v>
      </c>
      <c r="I137" s="670">
        <v>0</v>
      </c>
      <c r="J137" s="670">
        <v>0</v>
      </c>
      <c r="K137" s="670">
        <v>0</v>
      </c>
      <c r="L137" s="670">
        <v>0</v>
      </c>
      <c r="M137" s="670">
        <v>0</v>
      </c>
      <c r="N137" s="670">
        <v>0</v>
      </c>
      <c r="O137" s="177">
        <f>SUM(C137:N137)</f>
        <v>0</v>
      </c>
      <c r="P137" s="178">
        <f>SUM(C137:J137)</f>
        <v>0</v>
      </c>
      <c r="Q137" s="177">
        <f>O137-P137</f>
        <v>0</v>
      </c>
      <c r="R137" s="570"/>
      <c r="S137" s="170"/>
      <c r="T137" s="605" t="str">
        <f t="shared" si="104"/>
        <v xml:space="preserve">   Interest on Long Term Debt (Pre 1/1/98 - Third Party)</v>
      </c>
      <c r="U137" s="811"/>
      <c r="V137" s="588">
        <f>C137+D137+E137</f>
        <v>0</v>
      </c>
      <c r="W137" s="588">
        <f>F137+G137+H137</f>
        <v>0</v>
      </c>
      <c r="X137" s="588">
        <f>I137+J137+K137</f>
        <v>0</v>
      </c>
      <c r="Y137" s="588">
        <f>L137+M137+N137</f>
        <v>0</v>
      </c>
      <c r="Z137" s="588"/>
      <c r="AA137" s="588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">
      <c r="A138" s="411" t="s">
        <v>330</v>
      </c>
      <c r="C138" s="670">
        <v>0</v>
      </c>
      <c r="D138" s="670">
        <v>0</v>
      </c>
      <c r="E138" s="670">
        <v>0</v>
      </c>
      <c r="F138" s="670">
        <v>0</v>
      </c>
      <c r="G138" s="670">
        <v>0</v>
      </c>
      <c r="H138" s="670">
        <v>0</v>
      </c>
      <c r="I138" s="670">
        <v>0</v>
      </c>
      <c r="J138" s="670">
        <v>0</v>
      </c>
      <c r="K138" s="670">
        <v>0</v>
      </c>
      <c r="L138" s="670">
        <v>0</v>
      </c>
      <c r="M138" s="670">
        <v>0</v>
      </c>
      <c r="N138" s="670">
        <v>0</v>
      </c>
      <c r="O138" s="177">
        <f>SUM(C138:N138)</f>
        <v>0</v>
      </c>
      <c r="P138" s="178">
        <f>SUM(C138:J138)</f>
        <v>0</v>
      </c>
      <c r="Q138" s="177">
        <f>O138-P138</f>
        <v>0</v>
      </c>
      <c r="R138" s="570"/>
      <c r="S138" s="170"/>
      <c r="T138" s="605" t="str">
        <f t="shared" si="104"/>
        <v xml:space="preserve">   Interest on Long Term Debt (Post 1/1/98 - Internal)</v>
      </c>
      <c r="U138" s="811"/>
      <c r="V138" s="588">
        <f>C138+D138+E138</f>
        <v>0</v>
      </c>
      <c r="W138" s="588">
        <f>F138+G138+H138</f>
        <v>0</v>
      </c>
      <c r="X138" s="588">
        <f>I138+J138+K138</f>
        <v>0</v>
      </c>
      <c r="Y138" s="588">
        <f>L138+M138+N138</f>
        <v>0</v>
      </c>
      <c r="Z138" s="588"/>
      <c r="AA138" s="588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">
      <c r="A139" s="411" t="s">
        <v>643</v>
      </c>
      <c r="C139" s="670">
        <v>0</v>
      </c>
      <c r="D139" s="670">
        <v>0</v>
      </c>
      <c r="E139" s="670">
        <v>0</v>
      </c>
      <c r="F139" s="670">
        <v>0</v>
      </c>
      <c r="G139" s="670">
        <v>0</v>
      </c>
      <c r="H139" s="670">
        <v>0</v>
      </c>
      <c r="I139" s="670">
        <v>0</v>
      </c>
      <c r="J139" s="670">
        <v>0</v>
      </c>
      <c r="K139" s="670">
        <v>0</v>
      </c>
      <c r="L139" s="670">
        <v>0</v>
      </c>
      <c r="M139" s="670">
        <v>0</v>
      </c>
      <c r="N139" s="670">
        <v>0</v>
      </c>
      <c r="O139" s="177">
        <f>SUM(C139:N139)</f>
        <v>0</v>
      </c>
      <c r="P139" s="178">
        <f>SUM(C139:J139)</f>
        <v>0</v>
      </c>
      <c r="Q139" s="177">
        <f>O139-P139</f>
        <v>0</v>
      </c>
      <c r="R139" s="570"/>
      <c r="S139" s="170"/>
      <c r="T139" s="605" t="str">
        <f t="shared" si="104"/>
        <v xml:space="preserve">   Intercompany Interest Expense / (Income)</v>
      </c>
      <c r="U139" s="811"/>
      <c r="V139" s="588">
        <f>C139+D139+E139</f>
        <v>0</v>
      </c>
      <c r="W139" s="588">
        <f>F139+G139+H139</f>
        <v>0</v>
      </c>
      <c r="X139" s="588">
        <f>I139+J139+K139</f>
        <v>0</v>
      </c>
      <c r="Y139" s="588">
        <f>L139+M139+N139</f>
        <v>0</v>
      </c>
      <c r="Z139" s="588"/>
      <c r="AA139" s="588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">
      <c r="A140" s="176" t="s">
        <v>644</v>
      </c>
      <c r="C140" s="671">
        <v>0</v>
      </c>
      <c r="D140" s="671">
        <v>0</v>
      </c>
      <c r="E140" s="671">
        <v>0</v>
      </c>
      <c r="F140" s="671">
        <v>0</v>
      </c>
      <c r="G140" s="671">
        <v>0</v>
      </c>
      <c r="H140" s="671">
        <v>0</v>
      </c>
      <c r="I140" s="671">
        <v>0</v>
      </c>
      <c r="J140" s="671">
        <v>0</v>
      </c>
      <c r="K140" s="671">
        <v>0</v>
      </c>
      <c r="L140" s="671">
        <v>0</v>
      </c>
      <c r="M140" s="671">
        <v>0</v>
      </c>
      <c r="N140" s="671">
        <v>0</v>
      </c>
      <c r="O140" s="180">
        <f>SUM(C140:N140)</f>
        <v>0</v>
      </c>
      <c r="P140" s="263">
        <f>SUM(C140:J140)</f>
        <v>0</v>
      </c>
      <c r="Q140" s="180">
        <f>O140-P140</f>
        <v>0</v>
      </c>
      <c r="R140" s="571"/>
      <c r="S140" s="659"/>
      <c r="T140" s="605" t="str">
        <f t="shared" si="104"/>
        <v xml:space="preserve">   AFUDC</v>
      </c>
      <c r="U140" s="815"/>
      <c r="V140" s="590">
        <f>C140+D140+E140</f>
        <v>0</v>
      </c>
      <c r="W140" s="590">
        <f>F140+G140+H140</f>
        <v>0</v>
      </c>
      <c r="X140" s="590">
        <f>I140+J140+K140</f>
        <v>0</v>
      </c>
      <c r="Y140" s="590">
        <f>L140+M140+N140</f>
        <v>0</v>
      </c>
      <c r="Z140" s="590"/>
      <c r="AA140" s="590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5" customHeight="1" x14ac:dyDescent="0.2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7"/>
      <c r="U141" s="811"/>
      <c r="V141" s="588"/>
      <c r="W141" s="588"/>
      <c r="X141" s="588"/>
      <c r="Y141" s="588"/>
      <c r="Z141" s="588"/>
      <c r="AA141" s="588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">
      <c r="A142" s="415" t="s">
        <v>333</v>
      </c>
      <c r="B142" s="810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6"/>
      <c r="S142" s="168"/>
      <c r="T142" s="604" t="str">
        <f>A142</f>
        <v xml:space="preserve">     Total Interest and Other</v>
      </c>
      <c r="U142" s="813"/>
      <c r="V142" s="607">
        <f>SUM(V136:V140)</f>
        <v>0</v>
      </c>
      <c r="W142" s="607">
        <f>SUM(W136:W140)</f>
        <v>0</v>
      </c>
      <c r="X142" s="607">
        <f>SUM(X136:X140)</f>
        <v>0</v>
      </c>
      <c r="Y142" s="607">
        <f>SUM(Y136:Y140)</f>
        <v>0</v>
      </c>
      <c r="Z142" s="607"/>
      <c r="AA142" s="607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">
      <c r="A143" s="415"/>
      <c r="B143" s="810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4"/>
      <c r="U143" s="813"/>
      <c r="V143" s="607"/>
      <c r="W143" s="607"/>
      <c r="X143" s="607"/>
      <c r="Y143" s="607"/>
      <c r="Z143" s="607"/>
      <c r="AA143" s="607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">
      <c r="A144" s="399" t="s">
        <v>646</v>
      </c>
      <c r="B144" s="807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-4000</v>
      </c>
      <c r="Q144" s="181">
        <f t="shared" si="110"/>
        <v>-2000</v>
      </c>
      <c r="R144" s="546"/>
      <c r="S144" s="168"/>
      <c r="T144" s="604" t="str">
        <f>A144</f>
        <v>INCOME BEFORE INCOME TAXES</v>
      </c>
      <c r="U144" s="599"/>
      <c r="V144" s="607">
        <f>V124+V131-V142</f>
        <v>-1500</v>
      </c>
      <c r="W144" s="607">
        <f>W124+W131-W142</f>
        <v>-1500</v>
      </c>
      <c r="X144" s="607">
        <f>X124+X131-X142</f>
        <v>-1500</v>
      </c>
      <c r="Y144" s="607">
        <f>Y124+Y131-Y142</f>
        <v>-1500</v>
      </c>
      <c r="Z144" s="607"/>
      <c r="AA144" s="607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7"/>
      <c r="U145" s="811"/>
      <c r="V145" s="588"/>
      <c r="W145" s="588"/>
      <c r="X145" s="588"/>
      <c r="Y145" s="588"/>
      <c r="Z145" s="588"/>
      <c r="AA145" s="588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">
      <c r="A146" s="176" t="s">
        <v>274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SUM(C146:J146)</f>
        <v>0</v>
      </c>
      <c r="Q146" s="177">
        <f>O146-P146</f>
        <v>0</v>
      </c>
      <c r="R146" s="570"/>
      <c r="S146" s="170"/>
      <c r="T146" s="605" t="str">
        <f>A146</f>
        <v xml:space="preserve">   Payable Currently</v>
      </c>
      <c r="U146" s="811"/>
      <c r="V146" s="588">
        <f>C146+D146+E146</f>
        <v>0</v>
      </c>
      <c r="W146" s="588">
        <f>F146+G146+H146</f>
        <v>0</v>
      </c>
      <c r="X146" s="588">
        <f>I146+J146+K146</f>
        <v>0</v>
      </c>
      <c r="Y146" s="588">
        <f>L146+M146+N146</f>
        <v>0</v>
      </c>
      <c r="Z146" s="588"/>
      <c r="AA146" s="588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">
      <c r="A147" s="413" t="s">
        <v>277</v>
      </c>
      <c r="C147" s="846">
        <f>DeferredTax!R73</f>
        <v>-175</v>
      </c>
      <c r="D147" s="846">
        <f>DeferredTax!S73</f>
        <v>-175</v>
      </c>
      <c r="E147" s="846">
        <f>DeferredTax!T73</f>
        <v>-175</v>
      </c>
      <c r="F147" s="846">
        <f>DeferredTax!U73</f>
        <v>-175</v>
      </c>
      <c r="G147" s="846">
        <f>DeferredTax!V73</f>
        <v>-175</v>
      </c>
      <c r="H147" s="846">
        <f>DeferredTax!W73</f>
        <v>-175</v>
      </c>
      <c r="I147" s="846">
        <f>DeferredTax!X73</f>
        <v>-175</v>
      </c>
      <c r="J147" s="846">
        <f>DeferredTax!Y73</f>
        <v>-175</v>
      </c>
      <c r="K147" s="846">
        <f>DeferredTax!Z73</f>
        <v>-175</v>
      </c>
      <c r="L147" s="846">
        <f>DeferredTax!AA73</f>
        <v>-175</v>
      </c>
      <c r="M147" s="846">
        <f>DeferredTax!AB73</f>
        <v>-175</v>
      </c>
      <c r="N147" s="846">
        <f>DeferredTax!AC73</f>
        <v>-175</v>
      </c>
      <c r="O147" s="180">
        <f>SUM(C147:N147)</f>
        <v>-2100</v>
      </c>
      <c r="P147" s="263">
        <f>SUM(C147:J147)</f>
        <v>-1400</v>
      </c>
      <c r="Q147" s="180">
        <f>O147-P147</f>
        <v>-700</v>
      </c>
      <c r="R147" s="571"/>
      <c r="S147" s="170"/>
      <c r="T147" s="605" t="str">
        <f>A147</f>
        <v xml:space="preserve">   Deferred</v>
      </c>
      <c r="U147" s="811"/>
      <c r="V147" s="590">
        <f>C147+D147+E147</f>
        <v>-525</v>
      </c>
      <c r="W147" s="590">
        <f>F147+G147+H147</f>
        <v>-525</v>
      </c>
      <c r="X147" s="590">
        <f>I147+J147+K147</f>
        <v>-525</v>
      </c>
      <c r="Y147" s="590">
        <f>L147+M147+N147</f>
        <v>-525</v>
      </c>
      <c r="Z147" s="590"/>
      <c r="AA147" s="590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5" customHeight="1" x14ac:dyDescent="0.2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3"/>
      <c r="U148" s="811"/>
      <c r="V148" s="588"/>
      <c r="W148" s="588"/>
      <c r="X148" s="588"/>
      <c r="Y148" s="588"/>
      <c r="Z148" s="588"/>
      <c r="AA148" s="588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">
      <c r="A149" s="412" t="s">
        <v>278</v>
      </c>
      <c r="B149" s="807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-1400</v>
      </c>
      <c r="Q149" s="181">
        <f>ROUND((SUM(Q146:Q147)),0)</f>
        <v>-700</v>
      </c>
      <c r="R149" s="546"/>
      <c r="S149" s="168"/>
      <c r="T149" s="604" t="str">
        <f>A149</f>
        <v xml:space="preserve">     Total Income Taxes (Composite Rate - 35.00 %)</v>
      </c>
      <c r="U149" s="599"/>
      <c r="V149" s="607">
        <f>V146+V147</f>
        <v>-525</v>
      </c>
      <c r="W149" s="607">
        <f>W146+W147</f>
        <v>-525</v>
      </c>
      <c r="X149" s="607">
        <f>X146+X147</f>
        <v>-525</v>
      </c>
      <c r="Y149" s="607">
        <f>Y146+Y147</f>
        <v>-525</v>
      </c>
      <c r="Z149" s="607"/>
      <c r="AA149" s="607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">
      <c r="A150" s="401"/>
      <c r="B150" s="807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2"/>
      <c r="U150" s="599"/>
      <c r="V150" s="606"/>
      <c r="W150" s="606"/>
      <c r="X150" s="606"/>
      <c r="Y150" s="609"/>
      <c r="Z150" s="606"/>
      <c r="AA150" s="606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">
      <c r="A151" s="410" t="s">
        <v>331</v>
      </c>
      <c r="B151" s="807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-2600</v>
      </c>
      <c r="Q151" s="181">
        <f>Q144-Q149</f>
        <v>-1300</v>
      </c>
      <c r="R151" s="546"/>
      <c r="S151" s="168"/>
      <c r="T151" s="604" t="str">
        <f>A151</f>
        <v xml:space="preserve">NET INCOME </v>
      </c>
      <c r="U151" s="599"/>
      <c r="V151" s="607">
        <f>V144-V149</f>
        <v>-975</v>
      </c>
      <c r="W151" s="607">
        <f>W144-W149</f>
        <v>-975</v>
      </c>
      <c r="X151" s="607">
        <f>X144-X149</f>
        <v>-975</v>
      </c>
      <c r="Y151" s="607">
        <f>Y144-Y149</f>
        <v>-975</v>
      </c>
      <c r="Z151" s="607"/>
      <c r="AA151" s="607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7"/>
      <c r="U152" s="811"/>
      <c r="V152" s="608"/>
      <c r="W152" s="608"/>
      <c r="X152" s="588"/>
      <c r="Y152" s="588"/>
      <c r="Z152" s="588"/>
      <c r="AA152" s="608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">
      <c r="A154" s="549" t="str">
        <f ca="1">CELL("FILENAME")</f>
        <v>P:\Finance\2001CE\[TW3rdCEEM.XLS]DataBase</v>
      </c>
      <c r="C154" s="166"/>
      <c r="D154" s="166"/>
      <c r="E154" s="166"/>
      <c r="F154" s="166"/>
      <c r="G154" s="664" t="s">
        <v>883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0" t="str">
        <f ca="1">A154</f>
        <v>P:\Finance\2001CE\[TW3rdCEEM.XLS]DataBase</v>
      </c>
      <c r="U154" s="817" t="str">
        <f>G154</f>
        <v>TRANSWESTERN PIPELINE COMPANY (Co. 60 Only)</v>
      </c>
      <c r="V154" s="526"/>
      <c r="W154" s="575"/>
      <c r="X154" s="575"/>
      <c r="Y154" s="575"/>
      <c r="Z154" s="575"/>
      <c r="AA154" s="574"/>
      <c r="AB154" s="167"/>
      <c r="AC154" s="166"/>
      <c r="AD154" s="416" t="str">
        <f ca="1">A154</f>
        <v>P:\Finance\2001CE\[TW3rdCEEM.XLS]DataBase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">
      <c r="A155" s="403" t="s">
        <v>882</v>
      </c>
      <c r="C155" s="168"/>
      <c r="D155" s="169"/>
      <c r="E155" s="168"/>
      <c r="F155" s="167"/>
      <c r="G155" s="575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3" t="s">
        <v>885</v>
      </c>
      <c r="U155" s="599"/>
      <c r="V155" s="596" t="str">
        <f>G155</f>
        <v>2001 ACTUAL / ESTIMATE</v>
      </c>
      <c r="W155" s="575"/>
      <c r="X155" s="575"/>
      <c r="Y155" s="575"/>
      <c r="Z155" s="574"/>
      <c r="AA155" s="574"/>
      <c r="AB155" s="166"/>
      <c r="AC155" s="166"/>
      <c r="AD155" s="672" t="s">
        <v>886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">
      <c r="A156" s="675" t="str">
        <f>A3</f>
        <v>2001 CURRENT ESTIMATE</v>
      </c>
      <c r="C156" s="168"/>
      <c r="D156" s="168"/>
      <c r="E156" s="168"/>
      <c r="F156" s="168"/>
      <c r="G156" s="575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598" t="str">
        <f>A156</f>
        <v>2001 CURRENT ESTIMATE</v>
      </c>
      <c r="U156" s="599"/>
      <c r="V156" s="596" t="str">
        <f>G156</f>
        <v xml:space="preserve">RESULTS OF OPERATIONS </v>
      </c>
      <c r="W156" s="575"/>
      <c r="X156" s="575"/>
      <c r="Y156" s="575"/>
      <c r="Z156" s="574"/>
      <c r="AA156" s="574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136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">
      <c r="A157" s="400"/>
      <c r="B157" s="805">
        <f ca="1">NOW()</f>
        <v>37154.4025400463</v>
      </c>
      <c r="C157" s="168"/>
      <c r="D157" s="168"/>
      <c r="E157" s="168"/>
      <c r="F157" s="168"/>
      <c r="G157" s="575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3"/>
      <c r="U157" s="805">
        <f ca="1">NOW()</f>
        <v>37154.4025400463</v>
      </c>
      <c r="V157" s="596" t="str">
        <f>G157</f>
        <v>(Thousands of Dollars)</v>
      </c>
      <c r="W157" s="575"/>
      <c r="X157" s="575"/>
      <c r="Y157" s="575"/>
      <c r="Z157" s="574"/>
      <c r="AA157" s="574"/>
      <c r="AB157" s="166"/>
      <c r="AC157" s="166"/>
      <c r="AD157" s="166"/>
      <c r="AE157" s="805">
        <f ca="1">NOW()</f>
        <v>37154.4025400463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">
      <c r="A158" s="412" t="s">
        <v>881</v>
      </c>
      <c r="B158" s="806">
        <f ca="1">NOW()</f>
        <v>37154.4025400463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9" t="s">
        <v>884</v>
      </c>
      <c r="U158" s="806">
        <f ca="1">NOW()</f>
        <v>37154.4025400463</v>
      </c>
      <c r="V158" s="574"/>
      <c r="W158" s="582"/>
      <c r="X158" s="582"/>
      <c r="Y158" s="582"/>
      <c r="Z158" s="582"/>
      <c r="AA158" s="582"/>
      <c r="AB158" s="166"/>
      <c r="AC158" s="166"/>
      <c r="AD158" s="412" t="s">
        <v>887</v>
      </c>
      <c r="AE158" s="806">
        <f ca="1">NOW()</f>
        <v>37154.4025400463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">
      <c r="A159" s="170"/>
      <c r="C159" s="171" t="str">
        <f>DataBase!C2</f>
        <v>ACT.</v>
      </c>
      <c r="D159" s="171" t="str">
        <f>DataBase!D2</f>
        <v>ACT.</v>
      </c>
      <c r="E159" s="171" t="str">
        <f>DataBase!E2</f>
        <v>ACT.</v>
      </c>
      <c r="F159" s="171" t="str">
        <f>DataBase!F2</f>
        <v>ACT.</v>
      </c>
      <c r="G159" s="171" t="str">
        <f>DataBase!G2</f>
        <v>ACT.</v>
      </c>
      <c r="H159" s="171" t="str">
        <f>DataBase!H2</f>
        <v>ACT.</v>
      </c>
      <c r="I159" s="171" t="str">
        <f>DataBase!I2</f>
        <v>ACT.</v>
      </c>
      <c r="J159" s="171" t="str">
        <f>DataBase!J2</f>
        <v>ACT.</v>
      </c>
      <c r="K159" s="171" t="str">
        <f>DataBase!K2</f>
        <v>3rd CE</v>
      </c>
      <c r="L159" s="171" t="str">
        <f>DataBase!L2</f>
        <v>3rd CE</v>
      </c>
      <c r="M159" s="171" t="str">
        <f>DataBase!M2</f>
        <v>3rd CE</v>
      </c>
      <c r="N159" s="171" t="str">
        <f>DataBase!N2</f>
        <v>3rd CE</v>
      </c>
      <c r="O159" s="171" t="str">
        <f>DataBase!O2</f>
        <v>TOTAL</v>
      </c>
      <c r="P159" s="171" t="str">
        <f>P6</f>
        <v>AUGUST</v>
      </c>
      <c r="Q159" s="171" t="str">
        <f>Q6</f>
        <v>ESTIMATE</v>
      </c>
      <c r="R159" s="166"/>
      <c r="S159" s="167"/>
      <c r="T159" s="574"/>
      <c r="U159" s="599"/>
      <c r="V159" s="599" t="s">
        <v>140</v>
      </c>
      <c r="W159" s="599" t="s">
        <v>141</v>
      </c>
      <c r="X159" s="599" t="s">
        <v>142</v>
      </c>
      <c r="Y159" s="599" t="s">
        <v>143</v>
      </c>
      <c r="Z159" s="582"/>
      <c r="AA159" s="600" t="str">
        <f>O159</f>
        <v>TOTAL</v>
      </c>
      <c r="AB159" s="166"/>
      <c r="AC159" s="166"/>
      <c r="AD159" s="170"/>
      <c r="AF159" s="171" t="str">
        <f t="shared" ref="AF159:AQ160" si="118">C159</f>
        <v>ACT.</v>
      </c>
      <c r="AG159" s="171" t="str">
        <f t="shared" si="118"/>
        <v>ACT.</v>
      </c>
      <c r="AH159" s="171" t="str">
        <f t="shared" si="118"/>
        <v>ACT.</v>
      </c>
      <c r="AI159" s="171" t="str">
        <f t="shared" si="118"/>
        <v>ACT.</v>
      </c>
      <c r="AJ159" s="171" t="str">
        <f t="shared" si="118"/>
        <v>ACT.</v>
      </c>
      <c r="AK159" s="171" t="str">
        <f t="shared" si="118"/>
        <v>ACT.</v>
      </c>
      <c r="AL159" s="171" t="str">
        <f t="shared" si="118"/>
        <v>ACT.</v>
      </c>
      <c r="AM159" s="171" t="str">
        <f t="shared" si="118"/>
        <v>ACT.</v>
      </c>
      <c r="AN159" s="171" t="str">
        <f t="shared" si="118"/>
        <v>3rd CE</v>
      </c>
      <c r="AO159" s="171" t="str">
        <f t="shared" si="118"/>
        <v>3rd CE</v>
      </c>
      <c r="AP159" s="171" t="str">
        <f t="shared" si="118"/>
        <v>3rd CE</v>
      </c>
      <c r="AQ159" s="171" t="str">
        <f t="shared" si="118"/>
        <v>3rd CE</v>
      </c>
    </row>
    <row r="160" spans="1:43" x14ac:dyDescent="0.2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2001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4"/>
      <c r="U160" s="599"/>
      <c r="V160" s="586" t="s">
        <v>146</v>
      </c>
      <c r="W160" s="601" t="str">
        <f>V$7</f>
        <v>Quarter</v>
      </c>
      <c r="X160" s="601" t="str">
        <f>W$7</f>
        <v>Quarter</v>
      </c>
      <c r="Y160" s="601" t="str">
        <f>X$7</f>
        <v>Quarter</v>
      </c>
      <c r="Z160" s="602"/>
      <c r="AA160" s="603">
        <f>O160</f>
        <v>2001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">
      <c r="A161" s="410" t="s">
        <v>147</v>
      </c>
      <c r="T161" s="604" t="str">
        <f>A161</f>
        <v>OPERATING REVENUES</v>
      </c>
      <c r="U161" s="811"/>
      <c r="V161" s="573"/>
      <c r="W161" s="573"/>
      <c r="X161" s="573"/>
      <c r="Y161" s="573"/>
      <c r="Z161" s="573"/>
      <c r="AA161" s="573"/>
      <c r="AD161" s="166" t="str">
        <f>A161</f>
        <v>OPERATING REVENUES</v>
      </c>
    </row>
    <row r="162" spans="1:43" x14ac:dyDescent="0.2">
      <c r="A162" s="411" t="s">
        <v>148</v>
      </c>
      <c r="C162" s="177">
        <f t="shared" ref="C162:N162" si="120">C9-C104</f>
        <v>7173</v>
      </c>
      <c r="D162" s="177">
        <f t="shared" si="120"/>
        <v>5582</v>
      </c>
      <c r="E162" s="177">
        <f t="shared" si="120"/>
        <v>4818</v>
      </c>
      <c r="F162" s="177">
        <f t="shared" si="120"/>
        <v>-4127</v>
      </c>
      <c r="G162" s="177">
        <f t="shared" si="120"/>
        <v>2258</v>
      </c>
      <c r="H162" s="177">
        <f t="shared" si="120"/>
        <v>3206</v>
      </c>
      <c r="I162" s="177">
        <f t="shared" si="120"/>
        <v>3949</v>
      </c>
      <c r="J162" s="177">
        <f t="shared" si="120"/>
        <v>3777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26636</v>
      </c>
      <c r="P162" s="178">
        <f>SUM(C162:J162)</f>
        <v>26636</v>
      </c>
      <c r="Q162" s="177">
        <f>O162-P162</f>
        <v>0</v>
      </c>
      <c r="R162" s="570"/>
      <c r="S162" s="170"/>
      <c r="T162" s="605" t="str">
        <f>A162</f>
        <v xml:space="preserve">   Gas Sales &amp; Liquids Revenue</v>
      </c>
      <c r="U162" s="811"/>
      <c r="V162" s="588">
        <f>C162+D162+E162</f>
        <v>17573</v>
      </c>
      <c r="W162" s="588">
        <f>F162+G162+H162</f>
        <v>1337</v>
      </c>
      <c r="X162" s="588">
        <f>I162+J162+K162</f>
        <v>7726</v>
      </c>
      <c r="Y162" s="588">
        <f>L162+M162+N162</f>
        <v>0</v>
      </c>
      <c r="Z162" s="588"/>
      <c r="AA162" s="588">
        <f>SUM(V162:Y162)</f>
        <v>26636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1">D162+AF162</f>
        <v>12755</v>
      </c>
      <c r="AH162" s="177">
        <f t="shared" si="121"/>
        <v>17573</v>
      </c>
      <c r="AI162" s="177">
        <f t="shared" si="121"/>
        <v>13446</v>
      </c>
      <c r="AJ162" s="177">
        <f t="shared" si="121"/>
        <v>15704</v>
      </c>
      <c r="AK162" s="177">
        <f t="shared" si="121"/>
        <v>18910</v>
      </c>
      <c r="AL162" s="177">
        <f t="shared" si="121"/>
        <v>22859</v>
      </c>
      <c r="AM162" s="177">
        <f t="shared" si="121"/>
        <v>26636</v>
      </c>
      <c r="AN162" s="177">
        <f t="shared" si="121"/>
        <v>26636</v>
      </c>
      <c r="AO162" s="177">
        <f t="shared" si="121"/>
        <v>26636</v>
      </c>
      <c r="AP162" s="177">
        <f t="shared" si="121"/>
        <v>26636</v>
      </c>
      <c r="AQ162" s="177">
        <f t="shared" si="121"/>
        <v>26636</v>
      </c>
    </row>
    <row r="163" spans="1:43" x14ac:dyDescent="0.2">
      <c r="A163" s="411" t="s">
        <v>149</v>
      </c>
      <c r="C163" s="180">
        <f t="shared" ref="C163:N163" si="122">C10-C105</f>
        <v>7411</v>
      </c>
      <c r="D163" s="180">
        <f t="shared" si="122"/>
        <v>6470</v>
      </c>
      <c r="E163" s="180">
        <f t="shared" si="122"/>
        <v>4990</v>
      </c>
      <c r="F163" s="180">
        <f t="shared" si="122"/>
        <v>-18871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SUM(C163:J163)</f>
        <v>0</v>
      </c>
      <c r="Q163" s="180">
        <f>O163-P163</f>
        <v>0</v>
      </c>
      <c r="R163" s="571"/>
      <c r="S163" s="170"/>
      <c r="T163" s="605" t="str">
        <f>A163</f>
        <v xml:space="preserve">     Less:  Cost of Sales</v>
      </c>
      <c r="U163" s="811"/>
      <c r="V163" s="590">
        <f>C163+D163+E163</f>
        <v>18871</v>
      </c>
      <c r="W163" s="590">
        <f>F163+G163+H163</f>
        <v>-18871</v>
      </c>
      <c r="X163" s="590">
        <f>I163+J163+K163</f>
        <v>0</v>
      </c>
      <c r="Y163" s="590">
        <f>L163+M163+N163</f>
        <v>0</v>
      </c>
      <c r="Z163" s="590"/>
      <c r="AA163" s="590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1"/>
        <v>13881</v>
      </c>
      <c r="AH163" s="180">
        <f t="shared" si="121"/>
        <v>18871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3"/>
      <c r="U164" s="811"/>
      <c r="V164" s="588"/>
      <c r="W164" s="588"/>
      <c r="X164" s="588"/>
      <c r="Y164" s="588"/>
      <c r="Z164" s="588"/>
      <c r="AA164" s="588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">
      <c r="A165" s="412" t="s">
        <v>150</v>
      </c>
      <c r="B165" s="807"/>
      <c r="C165" s="181">
        <f t="shared" ref="C165:Q165" si="123">C162-C163</f>
        <v>-238</v>
      </c>
      <c r="D165" s="181">
        <f t="shared" si="123"/>
        <v>-888</v>
      </c>
      <c r="E165" s="181">
        <f t="shared" si="123"/>
        <v>-172</v>
      </c>
      <c r="F165" s="181">
        <f t="shared" si="123"/>
        <v>14744</v>
      </c>
      <c r="G165" s="181">
        <f t="shared" si="123"/>
        <v>2258</v>
      </c>
      <c r="H165" s="181">
        <f t="shared" si="123"/>
        <v>3206</v>
      </c>
      <c r="I165" s="181">
        <f t="shared" si="123"/>
        <v>3949</v>
      </c>
      <c r="J165" s="181">
        <f t="shared" si="123"/>
        <v>3777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26636</v>
      </c>
      <c r="P165" s="181">
        <f t="shared" si="123"/>
        <v>26636</v>
      </c>
      <c r="Q165" s="181">
        <f t="shared" si="123"/>
        <v>0</v>
      </c>
      <c r="R165" s="546"/>
      <c r="S165" s="168"/>
      <c r="T165" s="604" t="str">
        <f>A165</f>
        <v xml:space="preserve">      Sales Margin</v>
      </c>
      <c r="U165" s="599"/>
      <c r="V165" s="606">
        <f>V162-V163</f>
        <v>-1298</v>
      </c>
      <c r="W165" s="606">
        <f>W162-W163</f>
        <v>20208</v>
      </c>
      <c r="X165" s="606">
        <f>X162-X163</f>
        <v>7726</v>
      </c>
      <c r="Y165" s="606">
        <f>Y162-Y163</f>
        <v>0</v>
      </c>
      <c r="Z165" s="606"/>
      <c r="AA165" s="606">
        <f>AA162-AA163</f>
        <v>26636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4">D165+AF165</f>
        <v>-1126</v>
      </c>
      <c r="AH165" s="182">
        <f t="shared" si="124"/>
        <v>-1298</v>
      </c>
      <c r="AI165" s="182">
        <f t="shared" si="124"/>
        <v>13446</v>
      </c>
      <c r="AJ165" s="182">
        <f t="shared" si="124"/>
        <v>15704</v>
      </c>
      <c r="AK165" s="182">
        <f t="shared" si="124"/>
        <v>18910</v>
      </c>
      <c r="AL165" s="182">
        <f t="shared" si="124"/>
        <v>22859</v>
      </c>
      <c r="AM165" s="182">
        <f t="shared" si="124"/>
        <v>26636</v>
      </c>
      <c r="AN165" s="182">
        <f t="shared" si="124"/>
        <v>26636</v>
      </c>
      <c r="AO165" s="182">
        <f t="shared" si="124"/>
        <v>26636</v>
      </c>
      <c r="AP165" s="182">
        <f t="shared" si="124"/>
        <v>26636</v>
      </c>
      <c r="AQ165" s="182">
        <f t="shared" si="124"/>
        <v>26636</v>
      </c>
    </row>
    <row r="166" spans="1:43" ht="6" customHeight="1" x14ac:dyDescent="0.2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3"/>
      <c r="U166" s="811"/>
      <c r="V166" s="588"/>
      <c r="W166" s="588"/>
      <c r="X166" s="588"/>
      <c r="Y166" s="588"/>
      <c r="Z166" s="588"/>
      <c r="AA166" s="588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">
      <c r="A167" s="411" t="s">
        <v>151</v>
      </c>
      <c r="C167" s="177">
        <f t="shared" ref="C167:N167" si="125">C14-C109</f>
        <v>13886</v>
      </c>
      <c r="D167" s="177">
        <f t="shared" si="125"/>
        <v>18314</v>
      </c>
      <c r="E167" s="177">
        <f t="shared" si="125"/>
        <v>8736</v>
      </c>
      <c r="F167" s="177">
        <f t="shared" si="125"/>
        <v>14527</v>
      </c>
      <c r="G167" s="177">
        <f t="shared" si="125"/>
        <v>16313</v>
      </c>
      <c r="H167" s="177">
        <f t="shared" si="125"/>
        <v>14266</v>
      </c>
      <c r="I167" s="177">
        <f t="shared" si="125"/>
        <v>14096</v>
      </c>
      <c r="J167" s="177">
        <f t="shared" si="125"/>
        <v>13578</v>
      </c>
      <c r="K167" s="177">
        <f t="shared" si="125"/>
        <v>13052</v>
      </c>
      <c r="L167" s="177">
        <f t="shared" si="125"/>
        <v>13225</v>
      </c>
      <c r="M167" s="177">
        <f t="shared" si="125"/>
        <v>12297</v>
      </c>
      <c r="N167" s="177">
        <f t="shared" si="125"/>
        <v>13142</v>
      </c>
      <c r="O167" s="177">
        <f>SUM(C167:N167)</f>
        <v>165432</v>
      </c>
      <c r="P167" s="178">
        <f>SUM(C167:J167)</f>
        <v>113716</v>
      </c>
      <c r="Q167" s="177">
        <f>O167-P167</f>
        <v>51716</v>
      </c>
      <c r="R167" s="570"/>
      <c r="S167" s="170"/>
      <c r="T167" s="605" t="str">
        <f>A167</f>
        <v xml:space="preserve">   Transportation &amp; Storage Revenue</v>
      </c>
      <c r="U167" s="811"/>
      <c r="V167" s="588">
        <f>C167+D167+E167</f>
        <v>40936</v>
      </c>
      <c r="W167" s="588">
        <f>F167+G167+H167</f>
        <v>45106</v>
      </c>
      <c r="X167" s="588">
        <f>I167+J167+K167</f>
        <v>40726</v>
      </c>
      <c r="Y167" s="588">
        <f>L167+M167+N167</f>
        <v>38664</v>
      </c>
      <c r="Z167" s="588"/>
      <c r="AA167" s="588">
        <f>SUM(V167:Y167)</f>
        <v>165432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6">D167+AF167</f>
        <v>32200</v>
      </c>
      <c r="AH167" s="177">
        <f t="shared" si="126"/>
        <v>40936</v>
      </c>
      <c r="AI167" s="177">
        <f t="shared" si="126"/>
        <v>55463</v>
      </c>
      <c r="AJ167" s="177">
        <f t="shared" si="126"/>
        <v>71776</v>
      </c>
      <c r="AK167" s="177">
        <f t="shared" si="126"/>
        <v>86042</v>
      </c>
      <c r="AL167" s="177">
        <f t="shared" si="126"/>
        <v>100138</v>
      </c>
      <c r="AM167" s="177">
        <f t="shared" si="126"/>
        <v>113716</v>
      </c>
      <c r="AN167" s="177">
        <f t="shared" si="126"/>
        <v>126768</v>
      </c>
      <c r="AO167" s="177">
        <f t="shared" si="126"/>
        <v>139993</v>
      </c>
      <c r="AP167" s="177">
        <f t="shared" si="126"/>
        <v>152290</v>
      </c>
      <c r="AQ167" s="177">
        <f t="shared" si="126"/>
        <v>165432</v>
      </c>
    </row>
    <row r="168" spans="1:43" x14ac:dyDescent="0.2">
      <c r="A168" s="411" t="s">
        <v>626</v>
      </c>
      <c r="C168" s="180">
        <f t="shared" ref="C168:N168" si="127">C15-C110</f>
        <v>23</v>
      </c>
      <c r="D168" s="180">
        <f t="shared" si="127"/>
        <v>24</v>
      </c>
      <c r="E168" s="180">
        <f t="shared" si="127"/>
        <v>25</v>
      </c>
      <c r="F168" s="180">
        <f t="shared" si="127"/>
        <v>23</v>
      </c>
      <c r="G168" s="180">
        <f t="shared" si="127"/>
        <v>78</v>
      </c>
      <c r="H168" s="180">
        <f t="shared" si="127"/>
        <v>24</v>
      </c>
      <c r="I168" s="180">
        <f t="shared" si="127"/>
        <v>23</v>
      </c>
      <c r="J168" s="180">
        <f t="shared" si="127"/>
        <v>24</v>
      </c>
      <c r="K168" s="180">
        <f t="shared" si="127"/>
        <v>23</v>
      </c>
      <c r="L168" s="180">
        <f t="shared" si="127"/>
        <v>23</v>
      </c>
      <c r="M168" s="180">
        <f t="shared" si="127"/>
        <v>23</v>
      </c>
      <c r="N168" s="180">
        <f t="shared" si="127"/>
        <v>23</v>
      </c>
      <c r="O168" s="180">
        <f>SUM(C168:N168)</f>
        <v>336</v>
      </c>
      <c r="P168" s="263">
        <f>SUM(C168:J168)</f>
        <v>244</v>
      </c>
      <c r="Q168" s="180">
        <f>O168-P168</f>
        <v>92</v>
      </c>
      <c r="R168" s="571"/>
      <c r="S168" s="170"/>
      <c r="T168" s="605" t="str">
        <f>A168</f>
        <v xml:space="preserve">   Other Revenue</v>
      </c>
      <c r="U168" s="811"/>
      <c r="V168" s="590">
        <f>C168+D168+E168</f>
        <v>72</v>
      </c>
      <c r="W168" s="590">
        <f>F168+G168+H168</f>
        <v>125</v>
      </c>
      <c r="X168" s="590">
        <f>I168+J168+K168</f>
        <v>70</v>
      </c>
      <c r="Y168" s="590">
        <f>L168+M168+N168</f>
        <v>69</v>
      </c>
      <c r="Z168" s="590"/>
      <c r="AA168" s="590">
        <f>SUM(V168:Y168)</f>
        <v>336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6"/>
        <v>47</v>
      </c>
      <c r="AH168" s="180">
        <f t="shared" si="126"/>
        <v>72</v>
      </c>
      <c r="AI168" s="180">
        <f t="shared" si="126"/>
        <v>95</v>
      </c>
      <c r="AJ168" s="180">
        <f t="shared" si="126"/>
        <v>173</v>
      </c>
      <c r="AK168" s="180">
        <f t="shared" si="126"/>
        <v>197</v>
      </c>
      <c r="AL168" s="180">
        <f t="shared" si="126"/>
        <v>220</v>
      </c>
      <c r="AM168" s="180">
        <f t="shared" si="126"/>
        <v>244</v>
      </c>
      <c r="AN168" s="180">
        <f t="shared" si="126"/>
        <v>267</v>
      </c>
      <c r="AO168" s="180">
        <f t="shared" si="126"/>
        <v>290</v>
      </c>
      <c r="AP168" s="180">
        <f t="shared" si="126"/>
        <v>313</v>
      </c>
      <c r="AQ168" s="180">
        <f t="shared" si="126"/>
        <v>336</v>
      </c>
    </row>
    <row r="169" spans="1:43" ht="3.95" customHeight="1" x14ac:dyDescent="0.2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5"/>
      <c r="U169" s="811"/>
      <c r="V169" s="588"/>
      <c r="W169" s="588"/>
      <c r="X169" s="588"/>
      <c r="Y169" s="588"/>
      <c r="Z169" s="588"/>
      <c r="AA169" s="588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">
      <c r="A170" s="410" t="s">
        <v>627</v>
      </c>
      <c r="B170" s="808"/>
      <c r="C170" s="181">
        <f>C165+C167+C168</f>
        <v>13671</v>
      </c>
      <c r="D170" s="181">
        <f t="shared" ref="D170:Q170" si="128">D165+D167+D168</f>
        <v>17450</v>
      </c>
      <c r="E170" s="181">
        <f t="shared" si="128"/>
        <v>8589</v>
      </c>
      <c r="F170" s="181">
        <f t="shared" si="128"/>
        <v>29294</v>
      </c>
      <c r="G170" s="181">
        <f t="shared" si="128"/>
        <v>18649</v>
      </c>
      <c r="H170" s="181">
        <f t="shared" si="128"/>
        <v>17496</v>
      </c>
      <c r="I170" s="181">
        <f t="shared" si="128"/>
        <v>18068</v>
      </c>
      <c r="J170" s="181">
        <f t="shared" si="128"/>
        <v>17379</v>
      </c>
      <c r="K170" s="181">
        <f t="shared" si="128"/>
        <v>13075</v>
      </c>
      <c r="L170" s="181">
        <f t="shared" si="128"/>
        <v>13248</v>
      </c>
      <c r="M170" s="181">
        <f t="shared" si="128"/>
        <v>12320</v>
      </c>
      <c r="N170" s="181">
        <f t="shared" si="128"/>
        <v>13165</v>
      </c>
      <c r="O170" s="181">
        <f t="shared" si="128"/>
        <v>192404</v>
      </c>
      <c r="P170" s="181">
        <f t="shared" si="128"/>
        <v>140596</v>
      </c>
      <c r="Q170" s="181">
        <f t="shared" si="128"/>
        <v>51808</v>
      </c>
      <c r="R170" s="546"/>
      <c r="S170" s="168"/>
      <c r="T170" s="604" t="str">
        <f>A170</f>
        <v xml:space="preserve">      Net Operating Income</v>
      </c>
      <c r="U170" s="599"/>
      <c r="V170" s="607">
        <f>SUM(V165:V168)</f>
        <v>39710</v>
      </c>
      <c r="W170" s="607">
        <f>SUM(W165:W168)</f>
        <v>65439</v>
      </c>
      <c r="X170" s="607">
        <f>SUM(X165:X168)</f>
        <v>48522</v>
      </c>
      <c r="Y170" s="607">
        <f>SUM(Y165:Y168)</f>
        <v>38733</v>
      </c>
      <c r="Z170" s="607"/>
      <c r="AA170" s="607">
        <f>SUM(AA165:AA168)</f>
        <v>192404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29">D170+AF170</f>
        <v>31121</v>
      </c>
      <c r="AH170" s="181">
        <f t="shared" si="129"/>
        <v>39710</v>
      </c>
      <c r="AI170" s="181">
        <f t="shared" si="129"/>
        <v>69004</v>
      </c>
      <c r="AJ170" s="181">
        <f t="shared" si="129"/>
        <v>87653</v>
      </c>
      <c r="AK170" s="181">
        <f t="shared" si="129"/>
        <v>105149</v>
      </c>
      <c r="AL170" s="181">
        <f t="shared" si="129"/>
        <v>123217</v>
      </c>
      <c r="AM170" s="181">
        <f t="shared" si="129"/>
        <v>140596</v>
      </c>
      <c r="AN170" s="181">
        <f t="shared" si="129"/>
        <v>153671</v>
      </c>
      <c r="AO170" s="181">
        <f t="shared" si="129"/>
        <v>166919</v>
      </c>
      <c r="AP170" s="181">
        <f t="shared" si="129"/>
        <v>179239</v>
      </c>
      <c r="AQ170" s="181">
        <f t="shared" si="129"/>
        <v>192404</v>
      </c>
    </row>
    <row r="171" spans="1:43" x14ac:dyDescent="0.2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5"/>
      <c r="U171" s="811"/>
      <c r="V171" s="588"/>
      <c r="W171" s="588"/>
      <c r="X171" s="588"/>
      <c r="Y171" s="588"/>
      <c r="Z171" s="588"/>
      <c r="AA171" s="588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">
      <c r="A172" s="410" t="s">
        <v>628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4" t="str">
        <f t="shared" ref="T172:T178" si="130">A172</f>
        <v>OPERATING EXPENSES</v>
      </c>
      <c r="U172" s="811"/>
      <c r="V172" s="588"/>
      <c r="W172" s="588"/>
      <c r="X172" s="588"/>
      <c r="Y172" s="588"/>
      <c r="Z172" s="588"/>
      <c r="AA172" s="588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">
      <c r="A173" s="411" t="s">
        <v>629</v>
      </c>
      <c r="C173" s="177">
        <f t="shared" ref="C173:N173" si="132">C20-C115</f>
        <v>3425</v>
      </c>
      <c r="D173" s="177">
        <f t="shared" si="132"/>
        <v>3730</v>
      </c>
      <c r="E173" s="177">
        <f t="shared" si="132"/>
        <v>5310</v>
      </c>
      <c r="F173" s="177">
        <f t="shared" si="132"/>
        <v>3154</v>
      </c>
      <c r="G173" s="177">
        <f t="shared" si="132"/>
        <v>4079</v>
      </c>
      <c r="H173" s="177">
        <f t="shared" si="132"/>
        <v>4208</v>
      </c>
      <c r="I173" s="177">
        <f t="shared" si="132"/>
        <v>3219</v>
      </c>
      <c r="J173" s="177">
        <f t="shared" si="132"/>
        <v>3925</v>
      </c>
      <c r="K173" s="177">
        <f t="shared" si="132"/>
        <v>2696</v>
      </c>
      <c r="L173" s="177">
        <f t="shared" si="132"/>
        <v>3359</v>
      </c>
      <c r="M173" s="177">
        <f t="shared" si="132"/>
        <v>3255</v>
      </c>
      <c r="N173" s="177">
        <f t="shared" si="132"/>
        <v>2950</v>
      </c>
      <c r="O173" s="177">
        <f t="shared" ref="O173:O178" si="133">SUM(C173:N173)</f>
        <v>43310</v>
      </c>
      <c r="P173" s="178">
        <f t="shared" ref="P173:P178" si="134">SUM(C173:J173)</f>
        <v>31050</v>
      </c>
      <c r="Q173" s="177">
        <f t="shared" ref="Q173:Q178" si="135">O173-P173</f>
        <v>12260</v>
      </c>
      <c r="R173" s="570"/>
      <c r="S173" s="170"/>
      <c r="T173" s="605" t="str">
        <f t="shared" si="130"/>
        <v xml:space="preserve">   Operations and Maintenance</v>
      </c>
      <c r="U173" s="811"/>
      <c r="V173" s="588">
        <f t="shared" ref="V173:V178" si="136">C173+D173+E173</f>
        <v>12465</v>
      </c>
      <c r="W173" s="588">
        <f t="shared" ref="W173:W178" si="137">F173+G173+H173</f>
        <v>11441</v>
      </c>
      <c r="X173" s="588">
        <f t="shared" ref="X173:X178" si="138">I173+J173+K173</f>
        <v>9840</v>
      </c>
      <c r="Y173" s="588">
        <f t="shared" ref="Y173:Y178" si="139">L173+M173+N173</f>
        <v>9564</v>
      </c>
      <c r="Z173" s="588"/>
      <c r="AA173" s="588">
        <f t="shared" ref="AA173:AA178" si="140">SUM(V173:Y173)</f>
        <v>43310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3425</v>
      </c>
      <c r="AG173" s="177">
        <f t="shared" ref="AG173:AG178" si="142">D173+AF173</f>
        <v>7155</v>
      </c>
      <c r="AH173" s="177">
        <f t="shared" ref="AH173:AH178" si="143">E173+AG173</f>
        <v>12465</v>
      </c>
      <c r="AI173" s="177">
        <f t="shared" ref="AI173:AI178" si="144">F173+AH173</f>
        <v>15619</v>
      </c>
      <c r="AJ173" s="177">
        <f t="shared" ref="AJ173:AJ178" si="145">G173+AI173</f>
        <v>19698</v>
      </c>
      <c r="AK173" s="177">
        <f t="shared" ref="AK173:AK178" si="146">H173+AJ173</f>
        <v>23906</v>
      </c>
      <c r="AL173" s="177">
        <f t="shared" ref="AL173:AL178" si="147">I173+AK173</f>
        <v>27125</v>
      </c>
      <c r="AM173" s="177">
        <f t="shared" ref="AM173:AM178" si="148">J173+AL173</f>
        <v>31050</v>
      </c>
      <c r="AN173" s="177">
        <f t="shared" ref="AN173:AN178" si="149">K173+AM173</f>
        <v>33746</v>
      </c>
      <c r="AO173" s="177">
        <f t="shared" ref="AO173:AO178" si="150">L173+AN173</f>
        <v>37105</v>
      </c>
      <c r="AP173" s="177">
        <f t="shared" ref="AP173:AP178" si="151">M173+AO173</f>
        <v>40360</v>
      </c>
      <c r="AQ173" s="177">
        <f t="shared" ref="AQ173:AQ178" si="152">N173+AP173</f>
        <v>43310</v>
      </c>
    </row>
    <row r="174" spans="1:43" x14ac:dyDescent="0.2">
      <c r="A174" s="411" t="s">
        <v>630</v>
      </c>
      <c r="C174" s="177">
        <f t="shared" ref="C174:N174" si="153">C21-C116</f>
        <v>730</v>
      </c>
      <c r="D174" s="177">
        <f t="shared" si="153"/>
        <v>668</v>
      </c>
      <c r="E174" s="177">
        <f t="shared" si="153"/>
        <v>1269</v>
      </c>
      <c r="F174" s="177">
        <f t="shared" si="153"/>
        <v>571</v>
      </c>
      <c r="G174" s="177">
        <f t="shared" si="153"/>
        <v>564</v>
      </c>
      <c r="H174" s="177">
        <f t="shared" si="153"/>
        <v>545</v>
      </c>
      <c r="I174" s="177">
        <f t="shared" si="153"/>
        <v>552</v>
      </c>
      <c r="J174" s="177">
        <f t="shared" si="153"/>
        <v>559</v>
      </c>
      <c r="K174" s="177">
        <f t="shared" si="153"/>
        <v>623</v>
      </c>
      <c r="L174" s="177">
        <f t="shared" si="153"/>
        <v>750</v>
      </c>
      <c r="M174" s="177">
        <f t="shared" si="153"/>
        <v>743</v>
      </c>
      <c r="N174" s="177">
        <f t="shared" si="153"/>
        <v>772</v>
      </c>
      <c r="O174" s="177">
        <f t="shared" si="133"/>
        <v>8346</v>
      </c>
      <c r="P174" s="178">
        <f t="shared" si="134"/>
        <v>5458</v>
      </c>
      <c r="Q174" s="177">
        <f t="shared" si="135"/>
        <v>2888</v>
      </c>
      <c r="R174" s="570"/>
      <c r="S174" s="170"/>
      <c r="T174" s="605" t="str">
        <f t="shared" si="130"/>
        <v xml:space="preserve">   Regulatory Amortization</v>
      </c>
      <c r="U174" s="811"/>
      <c r="V174" s="588">
        <f t="shared" si="136"/>
        <v>2667</v>
      </c>
      <c r="W174" s="588">
        <f t="shared" si="137"/>
        <v>1680</v>
      </c>
      <c r="X174" s="588">
        <f t="shared" si="138"/>
        <v>1734</v>
      </c>
      <c r="Y174" s="588">
        <f t="shared" si="139"/>
        <v>2265</v>
      </c>
      <c r="Z174" s="588"/>
      <c r="AA174" s="588">
        <f t="shared" si="140"/>
        <v>8346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730</v>
      </c>
      <c r="AG174" s="177">
        <f t="shared" si="142"/>
        <v>1398</v>
      </c>
      <c r="AH174" s="177">
        <f t="shared" si="143"/>
        <v>2667</v>
      </c>
      <c r="AI174" s="177">
        <f t="shared" si="144"/>
        <v>3238</v>
      </c>
      <c r="AJ174" s="177">
        <f t="shared" si="145"/>
        <v>3802</v>
      </c>
      <c r="AK174" s="177">
        <f t="shared" si="146"/>
        <v>4347</v>
      </c>
      <c r="AL174" s="177">
        <f t="shared" si="147"/>
        <v>4899</v>
      </c>
      <c r="AM174" s="177">
        <f t="shared" si="148"/>
        <v>5458</v>
      </c>
      <c r="AN174" s="177">
        <f t="shared" si="149"/>
        <v>6081</v>
      </c>
      <c r="AO174" s="177">
        <f t="shared" si="150"/>
        <v>6831</v>
      </c>
      <c r="AP174" s="177">
        <f t="shared" si="151"/>
        <v>7574</v>
      </c>
      <c r="AQ174" s="177">
        <f t="shared" si="152"/>
        <v>8346</v>
      </c>
    </row>
    <row r="175" spans="1:43" x14ac:dyDescent="0.2">
      <c r="A175" s="413" t="s">
        <v>631</v>
      </c>
      <c r="C175" s="177">
        <f t="shared" ref="C175:N175" si="154">C22-C117</f>
        <v>-4888</v>
      </c>
      <c r="D175" s="177">
        <f t="shared" si="154"/>
        <v>-4666</v>
      </c>
      <c r="E175" s="177">
        <f t="shared" si="154"/>
        <v>-1896</v>
      </c>
      <c r="F175" s="177">
        <f t="shared" si="154"/>
        <v>10663</v>
      </c>
      <c r="G175" s="177">
        <f t="shared" si="154"/>
        <v>-327</v>
      </c>
      <c r="H175" s="177">
        <f t="shared" si="154"/>
        <v>372</v>
      </c>
      <c r="I175" s="177">
        <f t="shared" si="154"/>
        <v>1196</v>
      </c>
      <c r="J175" s="177">
        <f t="shared" si="154"/>
        <v>506</v>
      </c>
      <c r="K175" s="177">
        <f t="shared" si="154"/>
        <v>-2952</v>
      </c>
      <c r="L175" s="177">
        <f t="shared" si="154"/>
        <v>-2747</v>
      </c>
      <c r="M175" s="177">
        <f t="shared" si="154"/>
        <v>-2825</v>
      </c>
      <c r="N175" s="177">
        <f t="shared" si="154"/>
        <v>-2576</v>
      </c>
      <c r="O175" s="177">
        <f t="shared" si="133"/>
        <v>-10140</v>
      </c>
      <c r="P175" s="178">
        <f t="shared" si="134"/>
        <v>960</v>
      </c>
      <c r="Q175" s="177">
        <f t="shared" si="135"/>
        <v>-11100</v>
      </c>
      <c r="R175" s="570"/>
      <c r="S175" s="170"/>
      <c r="T175" s="605" t="str">
        <f t="shared" si="130"/>
        <v xml:space="preserve">   Fuel Used in Operations</v>
      </c>
      <c r="U175" s="811"/>
      <c r="V175" s="588">
        <f t="shared" si="136"/>
        <v>-11450</v>
      </c>
      <c r="W175" s="588">
        <f t="shared" si="137"/>
        <v>10708</v>
      </c>
      <c r="X175" s="588">
        <f t="shared" si="138"/>
        <v>-1250</v>
      </c>
      <c r="Y175" s="588">
        <f t="shared" si="139"/>
        <v>-8148</v>
      </c>
      <c r="Z175" s="588"/>
      <c r="AA175" s="588">
        <f t="shared" si="140"/>
        <v>-10140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-4888</v>
      </c>
      <c r="AG175" s="177">
        <f t="shared" si="142"/>
        <v>-9554</v>
      </c>
      <c r="AH175" s="177">
        <f t="shared" si="143"/>
        <v>-11450</v>
      </c>
      <c r="AI175" s="177">
        <f t="shared" si="144"/>
        <v>-787</v>
      </c>
      <c r="AJ175" s="177">
        <f t="shared" si="145"/>
        <v>-1114</v>
      </c>
      <c r="AK175" s="177">
        <f t="shared" si="146"/>
        <v>-742</v>
      </c>
      <c r="AL175" s="177">
        <f t="shared" si="147"/>
        <v>454</v>
      </c>
      <c r="AM175" s="177">
        <f t="shared" si="148"/>
        <v>960</v>
      </c>
      <c r="AN175" s="177">
        <f t="shared" si="149"/>
        <v>-1992</v>
      </c>
      <c r="AO175" s="177">
        <f t="shared" si="150"/>
        <v>-4739</v>
      </c>
      <c r="AP175" s="177">
        <f t="shared" si="151"/>
        <v>-7564</v>
      </c>
      <c r="AQ175" s="177">
        <f t="shared" si="152"/>
        <v>-10140</v>
      </c>
    </row>
    <row r="176" spans="1:43" x14ac:dyDescent="0.2">
      <c r="A176" s="414" t="s">
        <v>632</v>
      </c>
      <c r="B176" s="809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70"/>
      <c r="S176" s="170"/>
      <c r="T176" s="605" t="str">
        <f t="shared" si="130"/>
        <v xml:space="preserve">   Transmission, Compression &amp; Storage</v>
      </c>
      <c r="U176" s="814"/>
      <c r="V176" s="588">
        <f t="shared" si="136"/>
        <v>0</v>
      </c>
      <c r="W176" s="588">
        <f t="shared" si="137"/>
        <v>0</v>
      </c>
      <c r="X176" s="588">
        <f t="shared" si="138"/>
        <v>0</v>
      </c>
      <c r="Y176" s="588">
        <f t="shared" si="139"/>
        <v>0</v>
      </c>
      <c r="Z176" s="588"/>
      <c r="AA176" s="588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">
      <c r="A177" s="411" t="s">
        <v>633</v>
      </c>
      <c r="C177" s="177">
        <f t="shared" ref="C177:N177" si="156">C24-C119</f>
        <v>1121</v>
      </c>
      <c r="D177" s="177">
        <f t="shared" si="156"/>
        <v>1087</v>
      </c>
      <c r="E177" s="177">
        <f t="shared" si="156"/>
        <v>1131</v>
      </c>
      <c r="F177" s="177">
        <f t="shared" si="156"/>
        <v>1143</v>
      </c>
      <c r="G177" s="177">
        <f t="shared" si="156"/>
        <v>1100</v>
      </c>
      <c r="H177" s="177">
        <f t="shared" si="156"/>
        <v>1210</v>
      </c>
      <c r="I177" s="177">
        <f t="shared" si="156"/>
        <v>1148</v>
      </c>
      <c r="J177" s="177">
        <f t="shared" si="156"/>
        <v>1150</v>
      </c>
      <c r="K177" s="177">
        <f t="shared" si="156"/>
        <v>1200</v>
      </c>
      <c r="L177" s="177">
        <f t="shared" si="156"/>
        <v>1300</v>
      </c>
      <c r="M177" s="177">
        <f t="shared" si="156"/>
        <v>1400</v>
      </c>
      <c r="N177" s="177">
        <f t="shared" si="156"/>
        <v>1450</v>
      </c>
      <c r="O177" s="177">
        <f t="shared" si="133"/>
        <v>14440</v>
      </c>
      <c r="P177" s="178">
        <f t="shared" si="134"/>
        <v>9090</v>
      </c>
      <c r="Q177" s="177">
        <f t="shared" si="135"/>
        <v>5350</v>
      </c>
      <c r="R177" s="570"/>
      <c r="S177" s="170"/>
      <c r="T177" s="605" t="str">
        <f t="shared" si="130"/>
        <v xml:space="preserve">   Depreciation &amp; Amortization</v>
      </c>
      <c r="U177" s="811"/>
      <c r="V177" s="588">
        <f t="shared" si="136"/>
        <v>3339</v>
      </c>
      <c r="W177" s="588">
        <f t="shared" si="137"/>
        <v>3453</v>
      </c>
      <c r="X177" s="588">
        <f t="shared" si="138"/>
        <v>3498</v>
      </c>
      <c r="Y177" s="588">
        <f t="shared" si="139"/>
        <v>4150</v>
      </c>
      <c r="Z177" s="588"/>
      <c r="AA177" s="588">
        <f t="shared" si="140"/>
        <v>14440</v>
      </c>
      <c r="AB177" s="170"/>
      <c r="AC177" s="170"/>
      <c r="AD177" s="165" t="str">
        <f t="shared" si="131"/>
        <v xml:space="preserve">   Depreciation &amp; Amortization</v>
      </c>
      <c r="AE177" s="809"/>
      <c r="AF177" s="177">
        <f t="shared" si="141"/>
        <v>1121</v>
      </c>
      <c r="AG177" s="177">
        <f t="shared" si="142"/>
        <v>2208</v>
      </c>
      <c r="AH177" s="177">
        <f t="shared" si="143"/>
        <v>3339</v>
      </c>
      <c r="AI177" s="177">
        <f t="shared" si="144"/>
        <v>4482</v>
      </c>
      <c r="AJ177" s="177">
        <f t="shared" si="145"/>
        <v>5582</v>
      </c>
      <c r="AK177" s="177">
        <f t="shared" si="146"/>
        <v>6792</v>
      </c>
      <c r="AL177" s="177">
        <f t="shared" si="147"/>
        <v>7940</v>
      </c>
      <c r="AM177" s="177">
        <f t="shared" si="148"/>
        <v>9090</v>
      </c>
      <c r="AN177" s="177">
        <f t="shared" si="149"/>
        <v>10290</v>
      </c>
      <c r="AO177" s="177">
        <f t="shared" si="150"/>
        <v>11590</v>
      </c>
      <c r="AP177" s="177">
        <f t="shared" si="151"/>
        <v>12990</v>
      </c>
      <c r="AQ177" s="177">
        <f t="shared" si="152"/>
        <v>14440</v>
      </c>
    </row>
    <row r="178" spans="1:43" x14ac:dyDescent="0.2">
      <c r="A178" s="411" t="s">
        <v>634</v>
      </c>
      <c r="C178" s="180">
        <f t="shared" ref="C178:N178" si="157">C25-C120</f>
        <v>956</v>
      </c>
      <c r="D178" s="180">
        <f t="shared" si="157"/>
        <v>1007</v>
      </c>
      <c r="E178" s="180">
        <f t="shared" si="157"/>
        <v>914</v>
      </c>
      <c r="F178" s="180">
        <f t="shared" si="157"/>
        <v>909</v>
      </c>
      <c r="G178" s="180">
        <f t="shared" si="157"/>
        <v>913</v>
      </c>
      <c r="H178" s="180">
        <f t="shared" si="157"/>
        <v>917</v>
      </c>
      <c r="I178" s="180">
        <f t="shared" si="157"/>
        <v>905</v>
      </c>
      <c r="J178" s="180">
        <f t="shared" si="157"/>
        <v>901</v>
      </c>
      <c r="K178" s="180">
        <f t="shared" si="157"/>
        <v>919</v>
      </c>
      <c r="L178" s="180">
        <f t="shared" si="157"/>
        <v>917</v>
      </c>
      <c r="M178" s="180">
        <f t="shared" si="157"/>
        <v>917</v>
      </c>
      <c r="N178" s="180">
        <f t="shared" si="157"/>
        <v>917</v>
      </c>
      <c r="O178" s="180">
        <f t="shared" si="133"/>
        <v>11092</v>
      </c>
      <c r="P178" s="263">
        <f t="shared" si="134"/>
        <v>7422</v>
      </c>
      <c r="Q178" s="180">
        <f t="shared" si="135"/>
        <v>3670</v>
      </c>
      <c r="R178" s="571"/>
      <c r="S178" s="170"/>
      <c r="T178" s="605" t="str">
        <f t="shared" si="130"/>
        <v xml:space="preserve">   Taxes Other Than Income</v>
      </c>
      <c r="U178" s="811"/>
      <c r="V178" s="590">
        <f t="shared" si="136"/>
        <v>2877</v>
      </c>
      <c r="W178" s="590">
        <f t="shared" si="137"/>
        <v>2739</v>
      </c>
      <c r="X178" s="590">
        <f t="shared" si="138"/>
        <v>2725</v>
      </c>
      <c r="Y178" s="590">
        <f t="shared" si="139"/>
        <v>2751</v>
      </c>
      <c r="Z178" s="590"/>
      <c r="AA178" s="590">
        <f t="shared" si="140"/>
        <v>11092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956</v>
      </c>
      <c r="AG178" s="180">
        <f t="shared" si="142"/>
        <v>1963</v>
      </c>
      <c r="AH178" s="180">
        <f t="shared" si="143"/>
        <v>2877</v>
      </c>
      <c r="AI178" s="180">
        <f t="shared" si="144"/>
        <v>3786</v>
      </c>
      <c r="AJ178" s="180">
        <f t="shared" si="145"/>
        <v>4699</v>
      </c>
      <c r="AK178" s="180">
        <f t="shared" si="146"/>
        <v>5616</v>
      </c>
      <c r="AL178" s="180">
        <f t="shared" si="147"/>
        <v>6521</v>
      </c>
      <c r="AM178" s="180">
        <f t="shared" si="148"/>
        <v>7422</v>
      </c>
      <c r="AN178" s="180">
        <f t="shared" si="149"/>
        <v>8341</v>
      </c>
      <c r="AO178" s="180">
        <f t="shared" si="150"/>
        <v>9258</v>
      </c>
      <c r="AP178" s="180">
        <f t="shared" si="151"/>
        <v>10175</v>
      </c>
      <c r="AQ178" s="180">
        <f t="shared" si="152"/>
        <v>11092</v>
      </c>
    </row>
    <row r="179" spans="1:43" ht="3.95" customHeight="1" x14ac:dyDescent="0.2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5"/>
      <c r="U179" s="811"/>
      <c r="V179" s="588"/>
      <c r="W179" s="588"/>
      <c r="X179" s="588"/>
      <c r="Y179" s="588"/>
      <c r="Z179" s="588"/>
      <c r="AA179" s="588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">
      <c r="A180" s="410" t="s">
        <v>635</v>
      </c>
      <c r="B180" s="808"/>
      <c r="C180" s="181">
        <f t="shared" ref="C180:Q180" si="158">SUM(C173:C178)</f>
        <v>1344</v>
      </c>
      <c r="D180" s="181">
        <f t="shared" si="158"/>
        <v>1826</v>
      </c>
      <c r="E180" s="181">
        <f t="shared" si="158"/>
        <v>6728</v>
      </c>
      <c r="F180" s="181">
        <f t="shared" si="158"/>
        <v>16440</v>
      </c>
      <c r="G180" s="181">
        <f t="shared" si="158"/>
        <v>6329</v>
      </c>
      <c r="H180" s="181">
        <f t="shared" si="158"/>
        <v>7252</v>
      </c>
      <c r="I180" s="181">
        <f t="shared" si="158"/>
        <v>7020</v>
      </c>
      <c r="J180" s="181">
        <f t="shared" si="158"/>
        <v>7041</v>
      </c>
      <c r="K180" s="181">
        <f t="shared" si="158"/>
        <v>2486</v>
      </c>
      <c r="L180" s="181">
        <f t="shared" si="158"/>
        <v>3579</v>
      </c>
      <c r="M180" s="181">
        <f t="shared" si="158"/>
        <v>3490</v>
      </c>
      <c r="N180" s="181">
        <f t="shared" si="158"/>
        <v>3513</v>
      </c>
      <c r="O180" s="181">
        <f t="shared" si="158"/>
        <v>67048</v>
      </c>
      <c r="P180" s="181">
        <f t="shared" si="158"/>
        <v>53980</v>
      </c>
      <c r="Q180" s="181">
        <f t="shared" si="158"/>
        <v>13068</v>
      </c>
      <c r="R180" s="546"/>
      <c r="S180" s="168"/>
      <c r="T180" s="604" t="str">
        <f>A180</f>
        <v xml:space="preserve">     Total Operating Expenses</v>
      </c>
      <c r="U180" s="599"/>
      <c r="V180" s="607">
        <f>SUM(V173:V178)</f>
        <v>9898</v>
      </c>
      <c r="W180" s="607">
        <f>SUM(W173:W178)</f>
        <v>30021</v>
      </c>
      <c r="X180" s="607">
        <f>SUM(X173:X178)</f>
        <v>16547</v>
      </c>
      <c r="Y180" s="607">
        <f>SUM(Y173:Y178)</f>
        <v>10582</v>
      </c>
      <c r="Z180" s="607"/>
      <c r="AA180" s="607">
        <f>SUM(AA173:AA178)</f>
        <v>67048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59">D180+AF180</f>
        <v>3170</v>
      </c>
      <c r="AH180" s="181">
        <f t="shared" si="159"/>
        <v>9898</v>
      </c>
      <c r="AI180" s="181">
        <f t="shared" si="159"/>
        <v>26338</v>
      </c>
      <c r="AJ180" s="181">
        <f t="shared" si="159"/>
        <v>32667</v>
      </c>
      <c r="AK180" s="181">
        <f t="shared" si="159"/>
        <v>39919</v>
      </c>
      <c r="AL180" s="181">
        <f t="shared" si="159"/>
        <v>46939</v>
      </c>
      <c r="AM180" s="181">
        <f t="shared" si="159"/>
        <v>53980</v>
      </c>
      <c r="AN180" s="181">
        <f t="shared" si="159"/>
        <v>56466</v>
      </c>
      <c r="AO180" s="181">
        <f t="shared" si="159"/>
        <v>60045</v>
      </c>
      <c r="AP180" s="181">
        <f t="shared" si="159"/>
        <v>63535</v>
      </c>
      <c r="AQ180" s="181">
        <f t="shared" si="159"/>
        <v>67048</v>
      </c>
    </row>
    <row r="181" spans="1:43" x14ac:dyDescent="0.2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7"/>
      <c r="U181" s="811"/>
      <c r="V181" s="588"/>
      <c r="W181" s="588"/>
      <c r="X181" s="588"/>
      <c r="Y181" s="588"/>
      <c r="Z181" s="588"/>
      <c r="AA181" s="588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">
      <c r="A182" s="410" t="s">
        <v>636</v>
      </c>
      <c r="B182" s="807"/>
      <c r="C182" s="181">
        <f t="shared" ref="C182:Q182" si="160">C170-C180</f>
        <v>12327</v>
      </c>
      <c r="D182" s="181">
        <f t="shared" si="160"/>
        <v>15624</v>
      </c>
      <c r="E182" s="181">
        <f t="shared" si="160"/>
        <v>1861</v>
      </c>
      <c r="F182" s="181">
        <f t="shared" si="160"/>
        <v>12854</v>
      </c>
      <c r="G182" s="181">
        <f t="shared" si="160"/>
        <v>12320</v>
      </c>
      <c r="H182" s="181">
        <f t="shared" si="160"/>
        <v>10244</v>
      </c>
      <c r="I182" s="181">
        <f t="shared" si="160"/>
        <v>11048</v>
      </c>
      <c r="J182" s="181">
        <f t="shared" si="160"/>
        <v>10338</v>
      </c>
      <c r="K182" s="181">
        <f t="shared" si="160"/>
        <v>10589</v>
      </c>
      <c r="L182" s="181">
        <f t="shared" si="160"/>
        <v>9669</v>
      </c>
      <c r="M182" s="181">
        <f t="shared" si="160"/>
        <v>8830</v>
      </c>
      <c r="N182" s="181">
        <f t="shared" si="160"/>
        <v>9652</v>
      </c>
      <c r="O182" s="181">
        <f t="shared" si="160"/>
        <v>125356</v>
      </c>
      <c r="P182" s="181">
        <f t="shared" si="160"/>
        <v>86616</v>
      </c>
      <c r="Q182" s="181">
        <f t="shared" si="160"/>
        <v>38740</v>
      </c>
      <c r="R182" s="546"/>
      <c r="S182" s="168"/>
      <c r="T182" s="604" t="str">
        <f>A182</f>
        <v>OPERATING INCOME</v>
      </c>
      <c r="U182" s="599"/>
      <c r="V182" s="607">
        <f>V170-V180</f>
        <v>29812</v>
      </c>
      <c r="W182" s="607">
        <f>W170-W180</f>
        <v>35418</v>
      </c>
      <c r="X182" s="607">
        <f>X170-X180</f>
        <v>31975</v>
      </c>
      <c r="Y182" s="607">
        <f>Y170-Y180</f>
        <v>28151</v>
      </c>
      <c r="Z182" s="607"/>
      <c r="AA182" s="607">
        <f>AA170-AA180</f>
        <v>125356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1">D182+AF182</f>
        <v>27951</v>
      </c>
      <c r="AH182" s="181">
        <f t="shared" si="161"/>
        <v>29812</v>
      </c>
      <c r="AI182" s="181">
        <f t="shared" si="161"/>
        <v>42666</v>
      </c>
      <c r="AJ182" s="181">
        <f t="shared" si="161"/>
        <v>54986</v>
      </c>
      <c r="AK182" s="181">
        <f t="shared" si="161"/>
        <v>65230</v>
      </c>
      <c r="AL182" s="181">
        <f t="shared" si="161"/>
        <v>76278</v>
      </c>
      <c r="AM182" s="181">
        <f t="shared" si="161"/>
        <v>86616</v>
      </c>
      <c r="AN182" s="181">
        <f t="shared" si="161"/>
        <v>97205</v>
      </c>
      <c r="AO182" s="181">
        <f t="shared" si="161"/>
        <v>106874</v>
      </c>
      <c r="AP182" s="181">
        <f t="shared" si="161"/>
        <v>115704</v>
      </c>
      <c r="AQ182" s="181">
        <f t="shared" si="161"/>
        <v>125356</v>
      </c>
    </row>
    <row r="183" spans="1:43" x14ac:dyDescent="0.2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7"/>
      <c r="U183" s="811"/>
      <c r="V183" s="588"/>
      <c r="W183" s="588"/>
      <c r="X183" s="588"/>
      <c r="Y183" s="588"/>
      <c r="Z183" s="588"/>
      <c r="AA183" s="588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">
      <c r="A184" s="398" t="s">
        <v>637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4" t="str">
        <f>A184</f>
        <v>OTHER INCOME</v>
      </c>
      <c r="U184" s="811"/>
      <c r="V184" s="588"/>
      <c r="W184" s="588"/>
      <c r="X184" s="588"/>
      <c r="Y184" s="588"/>
      <c r="Z184" s="588"/>
      <c r="AA184" s="588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">
      <c r="A185" s="413" t="s">
        <v>638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SUM(C185:J185)</f>
        <v>0</v>
      </c>
      <c r="Q185" s="177">
        <f>O185-P185</f>
        <v>0</v>
      </c>
      <c r="R185" s="570"/>
      <c r="S185" s="170"/>
      <c r="T185" s="605" t="str">
        <f>A185</f>
        <v xml:space="preserve">   Partnership Income</v>
      </c>
      <c r="U185" s="811"/>
      <c r="V185" s="588">
        <f>C185+D185+E185</f>
        <v>0</v>
      </c>
      <c r="W185" s="588">
        <f>F185+G185+H185</f>
        <v>0</v>
      </c>
      <c r="X185" s="588">
        <f>I185+J185+K185</f>
        <v>0</v>
      </c>
      <c r="Y185" s="588">
        <f>L185+M185+N185</f>
        <v>0</v>
      </c>
      <c r="Z185" s="588"/>
      <c r="AA185" s="588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">
      <c r="A186" s="413" t="s">
        <v>639</v>
      </c>
      <c r="C186" s="177">
        <f t="shared" ref="C186:N186" si="164">C33-C128</f>
        <v>0</v>
      </c>
      <c r="D186" s="177">
        <f t="shared" si="164"/>
        <v>1</v>
      </c>
      <c r="E186" s="177">
        <f t="shared" si="164"/>
        <v>2</v>
      </c>
      <c r="F186" s="177">
        <f t="shared" si="164"/>
        <v>1</v>
      </c>
      <c r="G186" s="177">
        <f t="shared" si="164"/>
        <v>0</v>
      </c>
      <c r="H186" s="177">
        <f t="shared" si="164"/>
        <v>0</v>
      </c>
      <c r="I186" s="177">
        <f t="shared" si="164"/>
        <v>1</v>
      </c>
      <c r="J186" s="177">
        <f t="shared" si="164"/>
        <v>5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10</v>
      </c>
      <c r="P186" s="178">
        <f>SUM(C186:J186)</f>
        <v>10</v>
      </c>
      <c r="Q186" s="177">
        <f>O186-P186</f>
        <v>0</v>
      </c>
      <c r="R186" s="570"/>
      <c r="T186" s="605" t="str">
        <f>A186</f>
        <v xml:space="preserve">   Interest Income</v>
      </c>
      <c r="U186" s="811"/>
      <c r="V186" s="588">
        <f>C186+D186+E186</f>
        <v>3</v>
      </c>
      <c r="W186" s="588">
        <f>F186+G186+H186</f>
        <v>1</v>
      </c>
      <c r="X186" s="588">
        <f>I186+J186+K186</f>
        <v>6</v>
      </c>
      <c r="Y186" s="588">
        <f>L186+M186+N186</f>
        <v>0</v>
      </c>
      <c r="Z186" s="588"/>
      <c r="AA186" s="588">
        <f>SUM(V186:Y186)</f>
        <v>10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1</v>
      </c>
      <c r="AH186" s="177">
        <f t="shared" si="163"/>
        <v>3</v>
      </c>
      <c r="AI186" s="177">
        <f t="shared" si="163"/>
        <v>4</v>
      </c>
      <c r="AJ186" s="177">
        <f t="shared" si="163"/>
        <v>4</v>
      </c>
      <c r="AK186" s="177">
        <f t="shared" si="163"/>
        <v>4</v>
      </c>
      <c r="AL186" s="177">
        <f t="shared" si="163"/>
        <v>5</v>
      </c>
      <c r="AM186" s="177">
        <f t="shared" si="163"/>
        <v>10</v>
      </c>
      <c r="AN186" s="177">
        <f t="shared" si="163"/>
        <v>10</v>
      </c>
      <c r="AO186" s="177">
        <f t="shared" si="163"/>
        <v>10</v>
      </c>
      <c r="AP186" s="177">
        <f t="shared" si="163"/>
        <v>10</v>
      </c>
      <c r="AQ186" s="177">
        <f t="shared" si="163"/>
        <v>10</v>
      </c>
    </row>
    <row r="187" spans="1:43" x14ac:dyDescent="0.2">
      <c r="A187" s="413" t="s">
        <v>640</v>
      </c>
      <c r="C187" s="180">
        <f t="shared" ref="C187:N187" si="165">C34-C129</f>
        <v>132</v>
      </c>
      <c r="D187" s="180">
        <f t="shared" si="165"/>
        <v>-91</v>
      </c>
      <c r="E187" s="180">
        <f t="shared" si="165"/>
        <v>-25</v>
      </c>
      <c r="F187" s="180">
        <f t="shared" si="165"/>
        <v>4</v>
      </c>
      <c r="G187" s="180">
        <f t="shared" si="165"/>
        <v>-25</v>
      </c>
      <c r="H187" s="180">
        <f t="shared" si="165"/>
        <v>-4</v>
      </c>
      <c r="I187" s="180">
        <f t="shared" si="165"/>
        <v>54</v>
      </c>
      <c r="J187" s="180">
        <f t="shared" si="165"/>
        <v>2</v>
      </c>
      <c r="K187" s="180">
        <f t="shared" si="165"/>
        <v>-2</v>
      </c>
      <c r="L187" s="180">
        <f t="shared" si="165"/>
        <v>-5</v>
      </c>
      <c r="M187" s="180">
        <f t="shared" si="165"/>
        <v>-2</v>
      </c>
      <c r="N187" s="180">
        <f t="shared" si="165"/>
        <v>-2</v>
      </c>
      <c r="O187" s="180">
        <f>SUM(C187:N187)</f>
        <v>36</v>
      </c>
      <c r="P187" s="263">
        <f>SUM(C187:J187)</f>
        <v>47</v>
      </c>
      <c r="Q187" s="180">
        <f>O187-P187</f>
        <v>-11</v>
      </c>
      <c r="R187" s="571"/>
      <c r="S187" s="170"/>
      <c r="T187" s="605" t="str">
        <f>A187</f>
        <v xml:space="preserve">   Other Income / (Deductions)</v>
      </c>
      <c r="U187" s="811"/>
      <c r="V187" s="590">
        <f>C187+D187+E187</f>
        <v>16</v>
      </c>
      <c r="W187" s="590">
        <f>F187+G187+H187</f>
        <v>-25</v>
      </c>
      <c r="X187" s="590">
        <f>I187+J187+K187</f>
        <v>54</v>
      </c>
      <c r="Y187" s="590">
        <f>L187+M187+N187</f>
        <v>-9</v>
      </c>
      <c r="Z187" s="590"/>
      <c r="AA187" s="590">
        <f>SUM(V187:Y187)</f>
        <v>36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3"/>
        <v>41</v>
      </c>
      <c r="AH187" s="180">
        <f t="shared" si="163"/>
        <v>16</v>
      </c>
      <c r="AI187" s="180">
        <f t="shared" si="163"/>
        <v>20</v>
      </c>
      <c r="AJ187" s="180">
        <f t="shared" si="163"/>
        <v>-5</v>
      </c>
      <c r="AK187" s="180">
        <f t="shared" si="163"/>
        <v>-9</v>
      </c>
      <c r="AL187" s="180">
        <f t="shared" si="163"/>
        <v>45</v>
      </c>
      <c r="AM187" s="180">
        <f t="shared" si="163"/>
        <v>47</v>
      </c>
      <c r="AN187" s="180">
        <f t="shared" si="163"/>
        <v>45</v>
      </c>
      <c r="AO187" s="180">
        <f t="shared" si="163"/>
        <v>40</v>
      </c>
      <c r="AP187" s="180">
        <f t="shared" si="163"/>
        <v>38</v>
      </c>
      <c r="AQ187" s="180">
        <f t="shared" si="163"/>
        <v>36</v>
      </c>
    </row>
    <row r="188" spans="1:43" ht="3.95" customHeight="1" x14ac:dyDescent="0.2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3"/>
      <c r="U188" s="811"/>
      <c r="V188" s="588"/>
      <c r="W188" s="588"/>
      <c r="X188" s="588"/>
      <c r="Y188" s="588"/>
      <c r="Z188" s="588"/>
      <c r="AA188" s="588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">
      <c r="A189" s="410" t="s">
        <v>641</v>
      </c>
      <c r="B189" s="807"/>
      <c r="C189" s="181">
        <f t="shared" ref="C189:Q189" si="166">SUM(C185:C187)</f>
        <v>132</v>
      </c>
      <c r="D189" s="181">
        <f t="shared" si="166"/>
        <v>-90</v>
      </c>
      <c r="E189" s="181">
        <f t="shared" si="166"/>
        <v>-23</v>
      </c>
      <c r="F189" s="181">
        <f t="shared" si="166"/>
        <v>5</v>
      </c>
      <c r="G189" s="181">
        <f t="shared" si="166"/>
        <v>-25</v>
      </c>
      <c r="H189" s="181">
        <f t="shared" si="166"/>
        <v>-4</v>
      </c>
      <c r="I189" s="181">
        <f t="shared" si="166"/>
        <v>55</v>
      </c>
      <c r="J189" s="181">
        <f t="shared" si="166"/>
        <v>7</v>
      </c>
      <c r="K189" s="181">
        <f t="shared" si="166"/>
        <v>-2</v>
      </c>
      <c r="L189" s="181">
        <f t="shared" si="166"/>
        <v>-5</v>
      </c>
      <c r="M189" s="181">
        <f t="shared" si="166"/>
        <v>-2</v>
      </c>
      <c r="N189" s="181">
        <f t="shared" si="166"/>
        <v>-2</v>
      </c>
      <c r="O189" s="181">
        <f t="shared" si="166"/>
        <v>46</v>
      </c>
      <c r="P189" s="181">
        <f t="shared" si="166"/>
        <v>57</v>
      </c>
      <c r="Q189" s="181">
        <f t="shared" si="166"/>
        <v>-11</v>
      </c>
      <c r="R189" s="546"/>
      <c r="S189" s="168"/>
      <c r="T189" s="604" t="str">
        <f>A189</f>
        <v xml:space="preserve">     Total Other Income &amp; Other Deductions</v>
      </c>
      <c r="U189" s="599"/>
      <c r="V189" s="607">
        <f>V185+V186+V187</f>
        <v>19</v>
      </c>
      <c r="W189" s="607">
        <f>W185+W186+W187</f>
        <v>-24</v>
      </c>
      <c r="X189" s="607">
        <f>X185+X186+X187</f>
        <v>60</v>
      </c>
      <c r="Y189" s="607">
        <f>Y185+Y186+Y187</f>
        <v>-9</v>
      </c>
      <c r="Z189" s="607"/>
      <c r="AA189" s="607">
        <f>AA185+AA186+AA187</f>
        <v>46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67">D189+AF189</f>
        <v>42</v>
      </c>
      <c r="AH189" s="181">
        <f t="shared" si="167"/>
        <v>19</v>
      </c>
      <c r="AI189" s="181">
        <f t="shared" si="167"/>
        <v>24</v>
      </c>
      <c r="AJ189" s="181">
        <f t="shared" si="167"/>
        <v>-1</v>
      </c>
      <c r="AK189" s="181">
        <f t="shared" si="167"/>
        <v>-5</v>
      </c>
      <c r="AL189" s="181">
        <f t="shared" si="167"/>
        <v>50</v>
      </c>
      <c r="AM189" s="181">
        <f t="shared" si="167"/>
        <v>57</v>
      </c>
      <c r="AN189" s="181">
        <f t="shared" si="167"/>
        <v>55</v>
      </c>
      <c r="AO189" s="181">
        <f t="shared" si="167"/>
        <v>50</v>
      </c>
      <c r="AP189" s="181">
        <f t="shared" si="167"/>
        <v>48</v>
      </c>
      <c r="AQ189" s="181">
        <f t="shared" si="167"/>
        <v>46</v>
      </c>
    </row>
    <row r="190" spans="1:43" x14ac:dyDescent="0.2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7"/>
      <c r="U190" s="811"/>
      <c r="V190" s="588"/>
      <c r="W190" s="588"/>
      <c r="X190" s="588"/>
      <c r="Y190" s="588"/>
      <c r="Z190" s="588"/>
      <c r="AA190" s="588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">
      <c r="A191" s="399" t="s">
        <v>645</v>
      </c>
      <c r="B191" s="810"/>
      <c r="C191" s="181">
        <f t="shared" ref="C191:Q191" si="168">C182+C189</f>
        <v>12459</v>
      </c>
      <c r="D191" s="181">
        <f t="shared" si="168"/>
        <v>15534</v>
      </c>
      <c r="E191" s="181">
        <f t="shared" si="168"/>
        <v>1838</v>
      </c>
      <c r="F191" s="181">
        <f t="shared" si="168"/>
        <v>12859</v>
      </c>
      <c r="G191" s="181">
        <f t="shared" si="168"/>
        <v>12295</v>
      </c>
      <c r="H191" s="181">
        <f t="shared" si="168"/>
        <v>10240</v>
      </c>
      <c r="I191" s="181">
        <f t="shared" si="168"/>
        <v>11103</v>
      </c>
      <c r="J191" s="181">
        <f t="shared" si="168"/>
        <v>10345</v>
      </c>
      <c r="K191" s="181">
        <f t="shared" si="168"/>
        <v>10587</v>
      </c>
      <c r="L191" s="181">
        <f t="shared" si="168"/>
        <v>9664</v>
      </c>
      <c r="M191" s="181">
        <f t="shared" si="168"/>
        <v>8828</v>
      </c>
      <c r="N191" s="181">
        <f t="shared" si="168"/>
        <v>9650</v>
      </c>
      <c r="O191" s="181">
        <f t="shared" si="168"/>
        <v>125402</v>
      </c>
      <c r="P191" s="181">
        <f t="shared" si="168"/>
        <v>86673</v>
      </c>
      <c r="Q191" s="181">
        <f t="shared" si="168"/>
        <v>38729</v>
      </c>
      <c r="R191" s="546"/>
      <c r="S191" s="168"/>
      <c r="T191" s="604" t="str">
        <f>A191</f>
        <v>INCOME BEFORE INTEREST &amp; TAXES</v>
      </c>
      <c r="U191" s="813"/>
      <c r="V191" s="607">
        <f>C191+D191+E191</f>
        <v>29831</v>
      </c>
      <c r="W191" s="607">
        <f>F191+G191+H191</f>
        <v>35394</v>
      </c>
      <c r="X191" s="607">
        <f>I191+J191+K191</f>
        <v>32035</v>
      </c>
      <c r="Y191" s="607">
        <f>L191+M191+N191</f>
        <v>28142</v>
      </c>
      <c r="Z191" s="607"/>
      <c r="AA191" s="607">
        <f>SUM(V191:Y191)</f>
        <v>125402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69">D191+AF191</f>
        <v>27993</v>
      </c>
      <c r="AH191" s="181">
        <f t="shared" si="169"/>
        <v>29831</v>
      </c>
      <c r="AI191" s="181">
        <f t="shared" si="169"/>
        <v>42690</v>
      </c>
      <c r="AJ191" s="181">
        <f t="shared" si="169"/>
        <v>54985</v>
      </c>
      <c r="AK191" s="181">
        <f t="shared" si="169"/>
        <v>65225</v>
      </c>
      <c r="AL191" s="181">
        <f t="shared" si="169"/>
        <v>76328</v>
      </c>
      <c r="AM191" s="181">
        <f t="shared" si="169"/>
        <v>86673</v>
      </c>
      <c r="AN191" s="181">
        <f t="shared" si="169"/>
        <v>97260</v>
      </c>
      <c r="AO191" s="181">
        <f t="shared" si="169"/>
        <v>106924</v>
      </c>
      <c r="AP191" s="181">
        <f t="shared" si="169"/>
        <v>115752</v>
      </c>
      <c r="AQ191" s="181">
        <f t="shared" si="169"/>
        <v>125402</v>
      </c>
    </row>
    <row r="192" spans="1:43" x14ac:dyDescent="0.2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7"/>
      <c r="U192" s="811"/>
      <c r="V192" s="588"/>
      <c r="W192" s="588"/>
      <c r="X192" s="588"/>
      <c r="Y192" s="588"/>
      <c r="Z192" s="588"/>
      <c r="AA192" s="588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">
      <c r="A193" s="410" t="s">
        <v>332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4" t="str">
        <f t="shared" ref="T193:T198" si="170">A193</f>
        <v xml:space="preserve">INTEREST AND OTHER </v>
      </c>
      <c r="U193" s="811"/>
      <c r="V193" s="588"/>
      <c r="W193" s="608"/>
      <c r="X193" s="588"/>
      <c r="Y193" s="588"/>
      <c r="Z193" s="588"/>
      <c r="AA193" s="588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">
      <c r="A194" s="411" t="s">
        <v>642</v>
      </c>
      <c r="C194" s="177">
        <f t="shared" ref="C194:N194" si="172">C41-C136</f>
        <v>-1</v>
      </c>
      <c r="D194" s="177">
        <f t="shared" si="172"/>
        <v>-2</v>
      </c>
      <c r="E194" s="177">
        <f t="shared" si="172"/>
        <v>-1</v>
      </c>
      <c r="F194" s="177">
        <f t="shared" si="172"/>
        <v>-2</v>
      </c>
      <c r="G194" s="177">
        <f t="shared" si="172"/>
        <v>-1</v>
      </c>
      <c r="H194" s="177">
        <f t="shared" si="172"/>
        <v>-1</v>
      </c>
      <c r="I194" s="177">
        <f t="shared" si="172"/>
        <v>-5</v>
      </c>
      <c r="J194" s="177">
        <f t="shared" si="172"/>
        <v>-4</v>
      </c>
      <c r="K194" s="177">
        <f t="shared" si="172"/>
        <v>-3</v>
      </c>
      <c r="L194" s="177">
        <f t="shared" si="172"/>
        <v>-2</v>
      </c>
      <c r="M194" s="177">
        <f t="shared" si="172"/>
        <v>-3</v>
      </c>
      <c r="N194" s="177">
        <f t="shared" si="172"/>
        <v>-3</v>
      </c>
      <c r="O194" s="177">
        <f>SUM(C194:N194)</f>
        <v>-28</v>
      </c>
      <c r="P194" s="178">
        <f>SUM(C194:J194)</f>
        <v>-17</v>
      </c>
      <c r="Q194" s="177">
        <f>O194-P194</f>
        <v>-11</v>
      </c>
      <c r="R194" s="570"/>
      <c r="S194" s="170"/>
      <c r="T194" s="605" t="str">
        <f t="shared" si="170"/>
        <v xml:space="preserve">   Direct Interest</v>
      </c>
      <c r="U194" s="811"/>
      <c r="V194" s="588">
        <f>C194+D194+E194</f>
        <v>-4</v>
      </c>
      <c r="W194" s="588">
        <f>F194+G194+H194</f>
        <v>-4</v>
      </c>
      <c r="X194" s="588">
        <f>I194+J194+K194</f>
        <v>-12</v>
      </c>
      <c r="Y194" s="588">
        <f>L194+M194+N194</f>
        <v>-8</v>
      </c>
      <c r="Z194" s="588"/>
      <c r="AA194" s="588">
        <f>SUM(V194:Y194)</f>
        <v>-28</v>
      </c>
      <c r="AB194" s="170"/>
      <c r="AC194" s="170"/>
      <c r="AD194" s="165" t="str">
        <f t="shared" si="171"/>
        <v xml:space="preserve">   Direct Interest</v>
      </c>
      <c r="AF194" s="177">
        <f>C194</f>
        <v>-1</v>
      </c>
      <c r="AG194" s="177">
        <f t="shared" ref="AG194:AQ198" si="173">D194+AF194</f>
        <v>-3</v>
      </c>
      <c r="AH194" s="177">
        <f t="shared" si="173"/>
        <v>-4</v>
      </c>
      <c r="AI194" s="177">
        <f t="shared" si="173"/>
        <v>-6</v>
      </c>
      <c r="AJ194" s="177">
        <f t="shared" si="173"/>
        <v>-7</v>
      </c>
      <c r="AK194" s="177">
        <f t="shared" si="173"/>
        <v>-8</v>
      </c>
      <c r="AL194" s="177">
        <f t="shared" si="173"/>
        <v>-13</v>
      </c>
      <c r="AM194" s="177">
        <f t="shared" si="173"/>
        <v>-17</v>
      </c>
      <c r="AN194" s="177">
        <f t="shared" si="173"/>
        <v>-20</v>
      </c>
      <c r="AO194" s="177">
        <f t="shared" si="173"/>
        <v>-22</v>
      </c>
      <c r="AP194" s="177">
        <f t="shared" si="173"/>
        <v>-25</v>
      </c>
      <c r="AQ194" s="177">
        <f t="shared" si="173"/>
        <v>-28</v>
      </c>
    </row>
    <row r="195" spans="1:43" x14ac:dyDescent="0.2">
      <c r="A195" s="411" t="s">
        <v>329</v>
      </c>
      <c r="C195" s="177">
        <f t="shared" ref="C195:N195" si="174">C42-C137</f>
        <v>119</v>
      </c>
      <c r="D195" s="177">
        <f t="shared" si="174"/>
        <v>119</v>
      </c>
      <c r="E195" s="177">
        <f t="shared" si="174"/>
        <v>120</v>
      </c>
      <c r="F195" s="177">
        <f t="shared" si="174"/>
        <v>119</v>
      </c>
      <c r="G195" s="177">
        <f t="shared" si="174"/>
        <v>119</v>
      </c>
      <c r="H195" s="177">
        <f t="shared" si="174"/>
        <v>119</v>
      </c>
      <c r="I195" s="177">
        <f t="shared" si="174"/>
        <v>119</v>
      </c>
      <c r="J195" s="177">
        <f t="shared" si="174"/>
        <v>119</v>
      </c>
      <c r="K195" s="177">
        <f t="shared" si="174"/>
        <v>120</v>
      </c>
      <c r="L195" s="177">
        <f t="shared" si="174"/>
        <v>119</v>
      </c>
      <c r="M195" s="177">
        <f t="shared" si="174"/>
        <v>90</v>
      </c>
      <c r="N195" s="177">
        <f t="shared" si="174"/>
        <v>90</v>
      </c>
      <c r="O195" s="177">
        <f>SUM(C195:N195)</f>
        <v>1372</v>
      </c>
      <c r="P195" s="178">
        <f>SUM(C195:J195)</f>
        <v>953</v>
      </c>
      <c r="Q195" s="177">
        <f>O195-P195</f>
        <v>419</v>
      </c>
      <c r="R195" s="570"/>
      <c r="S195" s="170"/>
      <c r="T195" s="605" t="str">
        <f t="shared" si="170"/>
        <v xml:space="preserve">   Interest on Long Term Debt (Pre 1/1/98 - Third Party)</v>
      </c>
      <c r="U195" s="811"/>
      <c r="V195" s="588">
        <f>C195+D195+E195</f>
        <v>358</v>
      </c>
      <c r="W195" s="588">
        <f>F195+G195+H195</f>
        <v>357</v>
      </c>
      <c r="X195" s="588">
        <f>I195+J195+K195</f>
        <v>358</v>
      </c>
      <c r="Y195" s="588">
        <f>L195+M195+N195</f>
        <v>299</v>
      </c>
      <c r="Z195" s="588"/>
      <c r="AA195" s="588">
        <f>SUM(V195:Y195)</f>
        <v>1372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119</v>
      </c>
      <c r="AG195" s="177">
        <f t="shared" ref="AG195:AQ196" si="175">D195+AF195</f>
        <v>238</v>
      </c>
      <c r="AH195" s="177">
        <f t="shared" si="175"/>
        <v>358</v>
      </c>
      <c r="AI195" s="177">
        <f t="shared" si="175"/>
        <v>477</v>
      </c>
      <c r="AJ195" s="177">
        <f t="shared" si="175"/>
        <v>596</v>
      </c>
      <c r="AK195" s="177">
        <f t="shared" si="175"/>
        <v>715</v>
      </c>
      <c r="AL195" s="177">
        <f t="shared" si="175"/>
        <v>834</v>
      </c>
      <c r="AM195" s="177">
        <f t="shared" si="175"/>
        <v>953</v>
      </c>
      <c r="AN195" s="177">
        <f t="shared" si="175"/>
        <v>1073</v>
      </c>
      <c r="AO195" s="177">
        <f t="shared" si="175"/>
        <v>1192</v>
      </c>
      <c r="AP195" s="177">
        <f t="shared" si="175"/>
        <v>1282</v>
      </c>
      <c r="AQ195" s="177">
        <f t="shared" si="175"/>
        <v>1372</v>
      </c>
    </row>
    <row r="196" spans="1:43" x14ac:dyDescent="0.2">
      <c r="A196" s="411" t="s">
        <v>330</v>
      </c>
      <c r="C196" s="177">
        <f t="shared" ref="C196:N196" si="176">C43-C138</f>
        <v>925</v>
      </c>
      <c r="D196" s="177">
        <f t="shared" si="176"/>
        <v>925</v>
      </c>
      <c r="E196" s="177">
        <f t="shared" si="176"/>
        <v>925</v>
      </c>
      <c r="F196" s="177">
        <f t="shared" si="176"/>
        <v>657</v>
      </c>
      <c r="G196" s="177">
        <f t="shared" si="176"/>
        <v>678</v>
      </c>
      <c r="H196" s="177">
        <f t="shared" si="176"/>
        <v>613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4723</v>
      </c>
      <c r="P196" s="178">
        <f>SUM(C196:J196)</f>
        <v>4723</v>
      </c>
      <c r="Q196" s="177">
        <f>O196-P196</f>
        <v>0</v>
      </c>
      <c r="R196" s="570"/>
      <c r="S196" s="170"/>
      <c r="T196" s="605" t="str">
        <f t="shared" si="170"/>
        <v xml:space="preserve">   Interest on Long Term Debt (Post 1/1/98 - Internal)</v>
      </c>
      <c r="U196" s="811"/>
      <c r="V196" s="588">
        <f>C196+D196+E196</f>
        <v>2775</v>
      </c>
      <c r="W196" s="588">
        <f>F196+G196+H196</f>
        <v>1948</v>
      </c>
      <c r="X196" s="588">
        <f>I196+J196+K196</f>
        <v>0</v>
      </c>
      <c r="Y196" s="588">
        <f>L196+M196+N196</f>
        <v>0</v>
      </c>
      <c r="Z196" s="588"/>
      <c r="AA196" s="588">
        <f>SUM(V196:Y196)</f>
        <v>4723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925</v>
      </c>
      <c r="AG196" s="177">
        <f t="shared" si="175"/>
        <v>1850</v>
      </c>
      <c r="AH196" s="177">
        <f t="shared" si="175"/>
        <v>2775</v>
      </c>
      <c r="AI196" s="177">
        <f t="shared" si="175"/>
        <v>3432</v>
      </c>
      <c r="AJ196" s="177">
        <f t="shared" si="175"/>
        <v>4110</v>
      </c>
      <c r="AK196" s="177">
        <f t="shared" si="175"/>
        <v>4723</v>
      </c>
      <c r="AL196" s="177">
        <f t="shared" si="175"/>
        <v>4723</v>
      </c>
      <c r="AM196" s="177">
        <f t="shared" si="175"/>
        <v>4723</v>
      </c>
      <c r="AN196" s="177">
        <f t="shared" si="175"/>
        <v>4723</v>
      </c>
      <c r="AO196" s="177">
        <f t="shared" si="175"/>
        <v>4723</v>
      </c>
      <c r="AP196" s="177">
        <f t="shared" si="175"/>
        <v>4723</v>
      </c>
      <c r="AQ196" s="177">
        <f t="shared" si="175"/>
        <v>4723</v>
      </c>
    </row>
    <row r="197" spans="1:43" x14ac:dyDescent="0.2">
      <c r="A197" s="411" t="s">
        <v>643</v>
      </c>
      <c r="C197" s="177">
        <f t="shared" ref="C197:N197" si="177">C44-C139</f>
        <v>0</v>
      </c>
      <c r="D197" s="177">
        <f t="shared" si="177"/>
        <v>0</v>
      </c>
      <c r="E197" s="177">
        <f t="shared" si="177"/>
        <v>-5198</v>
      </c>
      <c r="F197" s="177">
        <f t="shared" si="177"/>
        <v>-1785</v>
      </c>
      <c r="G197" s="177">
        <f t="shared" si="177"/>
        <v>-1429</v>
      </c>
      <c r="H197" s="177">
        <f t="shared" si="177"/>
        <v>-1319</v>
      </c>
      <c r="I197" s="177">
        <f t="shared" si="177"/>
        <v>-825</v>
      </c>
      <c r="J197" s="177">
        <f t="shared" si="177"/>
        <v>-825</v>
      </c>
      <c r="K197" s="177">
        <f t="shared" si="177"/>
        <v>-770</v>
      </c>
      <c r="L197" s="177">
        <f t="shared" si="177"/>
        <v>-788</v>
      </c>
      <c r="M197" s="177">
        <f t="shared" si="177"/>
        <v>-743</v>
      </c>
      <c r="N197" s="177">
        <f t="shared" si="177"/>
        <v>-730</v>
      </c>
      <c r="O197" s="177">
        <f>SUM(C197:N197)</f>
        <v>-14412</v>
      </c>
      <c r="P197" s="178">
        <f>SUM(C197:J197)</f>
        <v>-11381</v>
      </c>
      <c r="Q197" s="177">
        <f>O197-P197</f>
        <v>-3031</v>
      </c>
      <c r="R197" s="570"/>
      <c r="S197" s="170"/>
      <c r="T197" s="605" t="str">
        <f t="shared" si="170"/>
        <v xml:space="preserve">   Intercompany Interest Expense / (Income)</v>
      </c>
      <c r="U197" s="811"/>
      <c r="V197" s="588">
        <f>C197+D197+E197</f>
        <v>-5198</v>
      </c>
      <c r="W197" s="588">
        <f>F197+G197+H197</f>
        <v>-4533</v>
      </c>
      <c r="X197" s="588">
        <f>I197+J197+K197</f>
        <v>-2420</v>
      </c>
      <c r="Y197" s="588">
        <f>L197+M197+N197</f>
        <v>-2261</v>
      </c>
      <c r="Z197" s="588"/>
      <c r="AA197" s="588">
        <f>SUM(V197:Y197)</f>
        <v>-14412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0</v>
      </c>
      <c r="AG197" s="177">
        <f t="shared" si="173"/>
        <v>0</v>
      </c>
      <c r="AH197" s="177">
        <f t="shared" si="173"/>
        <v>-5198</v>
      </c>
      <c r="AI197" s="177">
        <f t="shared" si="173"/>
        <v>-6983</v>
      </c>
      <c r="AJ197" s="177">
        <f t="shared" si="173"/>
        <v>-8412</v>
      </c>
      <c r="AK197" s="177">
        <f t="shared" si="173"/>
        <v>-9731</v>
      </c>
      <c r="AL197" s="177">
        <f t="shared" si="173"/>
        <v>-10556</v>
      </c>
      <c r="AM197" s="177">
        <f t="shared" si="173"/>
        <v>-11381</v>
      </c>
      <c r="AN197" s="177">
        <f t="shared" si="173"/>
        <v>-12151</v>
      </c>
      <c r="AO197" s="177">
        <f t="shared" si="173"/>
        <v>-12939</v>
      </c>
      <c r="AP197" s="177">
        <f t="shared" si="173"/>
        <v>-13682</v>
      </c>
      <c r="AQ197" s="177">
        <f t="shared" si="173"/>
        <v>-14412</v>
      </c>
    </row>
    <row r="198" spans="1:43" x14ac:dyDescent="0.2">
      <c r="A198" s="176" t="s">
        <v>644</v>
      </c>
      <c r="C198" s="180">
        <f t="shared" ref="C198:N198" si="178">C45-C140</f>
        <v>-11</v>
      </c>
      <c r="D198" s="180">
        <f t="shared" si="178"/>
        <v>-10</v>
      </c>
      <c r="E198" s="180">
        <f t="shared" si="178"/>
        <v>-9</v>
      </c>
      <c r="F198" s="180">
        <f t="shared" si="178"/>
        <v>-7</v>
      </c>
      <c r="G198" s="180">
        <f t="shared" si="178"/>
        <v>-8</v>
      </c>
      <c r="H198" s="180">
        <f t="shared" si="178"/>
        <v>-11</v>
      </c>
      <c r="I198" s="180">
        <f t="shared" si="178"/>
        <v>-35</v>
      </c>
      <c r="J198" s="180">
        <f t="shared" si="178"/>
        <v>-34</v>
      </c>
      <c r="K198" s="180">
        <f t="shared" si="178"/>
        <v>-25</v>
      </c>
      <c r="L198" s="180">
        <f t="shared" si="178"/>
        <v>-15</v>
      </c>
      <c r="M198" s="180">
        <f t="shared" si="178"/>
        <v>-27</v>
      </c>
      <c r="N198" s="180">
        <f t="shared" si="178"/>
        <v>-22</v>
      </c>
      <c r="O198" s="180">
        <f>SUM(C198:N198)</f>
        <v>-214</v>
      </c>
      <c r="P198" s="263">
        <f>SUM(C198:J198)</f>
        <v>-125</v>
      </c>
      <c r="Q198" s="180">
        <f>O198-P198</f>
        <v>-89</v>
      </c>
      <c r="R198" s="571"/>
      <c r="S198" s="659"/>
      <c r="T198" s="605" t="str">
        <f t="shared" si="170"/>
        <v xml:space="preserve">   AFUDC</v>
      </c>
      <c r="U198" s="815"/>
      <c r="V198" s="590">
        <f>C198+D198+E198</f>
        <v>-30</v>
      </c>
      <c r="W198" s="590">
        <f>F198+G198+H198</f>
        <v>-26</v>
      </c>
      <c r="X198" s="590">
        <f>I198+J198+K198</f>
        <v>-94</v>
      </c>
      <c r="Y198" s="590">
        <f>L198+M198+N198</f>
        <v>-64</v>
      </c>
      <c r="Z198" s="590"/>
      <c r="AA198" s="590">
        <f>SUM(V198:Y198)</f>
        <v>-214</v>
      </c>
      <c r="AB198" s="170"/>
      <c r="AC198" s="170"/>
      <c r="AD198" s="165" t="str">
        <f t="shared" si="171"/>
        <v xml:space="preserve">   AFUDC</v>
      </c>
      <c r="AF198" s="180">
        <f>C198</f>
        <v>-11</v>
      </c>
      <c r="AG198" s="180">
        <f t="shared" si="173"/>
        <v>-21</v>
      </c>
      <c r="AH198" s="180">
        <f t="shared" si="173"/>
        <v>-30</v>
      </c>
      <c r="AI198" s="180">
        <f t="shared" si="173"/>
        <v>-37</v>
      </c>
      <c r="AJ198" s="180">
        <f t="shared" si="173"/>
        <v>-45</v>
      </c>
      <c r="AK198" s="180">
        <f t="shared" si="173"/>
        <v>-56</v>
      </c>
      <c r="AL198" s="180">
        <f t="shared" si="173"/>
        <v>-91</v>
      </c>
      <c r="AM198" s="180">
        <f t="shared" si="173"/>
        <v>-125</v>
      </c>
      <c r="AN198" s="180">
        <f t="shared" si="173"/>
        <v>-150</v>
      </c>
      <c r="AO198" s="180">
        <f t="shared" si="173"/>
        <v>-165</v>
      </c>
      <c r="AP198" s="180">
        <f t="shared" si="173"/>
        <v>-192</v>
      </c>
      <c r="AQ198" s="180">
        <f t="shared" si="173"/>
        <v>-214</v>
      </c>
    </row>
    <row r="199" spans="1:43" ht="3.95" customHeight="1" x14ac:dyDescent="0.2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7"/>
      <c r="U199" s="811"/>
      <c r="V199" s="588"/>
      <c r="W199" s="588"/>
      <c r="X199" s="588"/>
      <c r="Y199" s="588"/>
      <c r="Z199" s="588"/>
      <c r="AA199" s="588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">
      <c r="A200" s="415" t="s">
        <v>333</v>
      </c>
      <c r="B200" s="810"/>
      <c r="C200" s="181">
        <f>SUM(C194:C198)</f>
        <v>1032</v>
      </c>
      <c r="D200" s="181">
        <f t="shared" ref="D200:Q200" si="179">SUM(D194:D198)</f>
        <v>1032</v>
      </c>
      <c r="E200" s="181">
        <f t="shared" si="179"/>
        <v>-4163</v>
      </c>
      <c r="F200" s="181">
        <f t="shared" si="179"/>
        <v>-1018</v>
      </c>
      <c r="G200" s="181">
        <f t="shared" si="179"/>
        <v>-641</v>
      </c>
      <c r="H200" s="181">
        <f t="shared" si="179"/>
        <v>-599</v>
      </c>
      <c r="I200" s="181">
        <f t="shared" si="179"/>
        <v>-746</v>
      </c>
      <c r="J200" s="181">
        <f t="shared" si="179"/>
        <v>-744</v>
      </c>
      <c r="K200" s="181">
        <f t="shared" si="179"/>
        <v>-678</v>
      </c>
      <c r="L200" s="181">
        <f t="shared" si="179"/>
        <v>-686</v>
      </c>
      <c r="M200" s="181">
        <f t="shared" si="179"/>
        <v>-683</v>
      </c>
      <c r="N200" s="181">
        <f t="shared" si="179"/>
        <v>-665</v>
      </c>
      <c r="O200" s="181">
        <f t="shared" si="179"/>
        <v>-8559</v>
      </c>
      <c r="P200" s="181">
        <f t="shared" si="179"/>
        <v>-5847</v>
      </c>
      <c r="Q200" s="181">
        <f t="shared" si="179"/>
        <v>-2712</v>
      </c>
      <c r="R200" s="546"/>
      <c r="S200" s="168"/>
      <c r="T200" s="604" t="str">
        <f>A200</f>
        <v xml:space="preserve">     Total Interest and Other</v>
      </c>
      <c r="U200" s="813"/>
      <c r="V200" s="607">
        <f>SUM(V194:V198)</f>
        <v>-2099</v>
      </c>
      <c r="W200" s="607">
        <f>SUM(W194:W198)</f>
        <v>-2258</v>
      </c>
      <c r="X200" s="607">
        <f>SUM(X194:X198)</f>
        <v>-2168</v>
      </c>
      <c r="Y200" s="607">
        <f>SUM(Y194:Y198)</f>
        <v>-2034</v>
      </c>
      <c r="Z200" s="607"/>
      <c r="AA200" s="607">
        <f>SUM(AA194:AA198)</f>
        <v>-8559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0">D200+AF200</f>
        <v>2064</v>
      </c>
      <c r="AH200" s="181">
        <f t="shared" si="180"/>
        <v>-2099</v>
      </c>
      <c r="AI200" s="181">
        <f t="shared" si="180"/>
        <v>-3117</v>
      </c>
      <c r="AJ200" s="181">
        <f t="shared" si="180"/>
        <v>-3758</v>
      </c>
      <c r="AK200" s="181">
        <f t="shared" si="180"/>
        <v>-4357</v>
      </c>
      <c r="AL200" s="181">
        <f t="shared" si="180"/>
        <v>-5103</v>
      </c>
      <c r="AM200" s="181">
        <f t="shared" si="180"/>
        <v>-5847</v>
      </c>
      <c r="AN200" s="181">
        <f t="shared" si="180"/>
        <v>-6525</v>
      </c>
      <c r="AO200" s="181">
        <f t="shared" si="180"/>
        <v>-7211</v>
      </c>
      <c r="AP200" s="181">
        <f t="shared" si="180"/>
        <v>-7894</v>
      </c>
      <c r="AQ200" s="181">
        <f t="shared" si="180"/>
        <v>-8559</v>
      </c>
    </row>
    <row r="201" spans="1:43" x14ac:dyDescent="0.2">
      <c r="A201" s="415"/>
      <c r="B201" s="810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4"/>
      <c r="U201" s="813"/>
      <c r="V201" s="607"/>
      <c r="W201" s="607"/>
      <c r="X201" s="607"/>
      <c r="Y201" s="607"/>
      <c r="Z201" s="607"/>
      <c r="AA201" s="607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">
      <c r="A202" s="399" t="s">
        <v>646</v>
      </c>
      <c r="B202" s="807"/>
      <c r="C202" s="181">
        <f t="shared" ref="C202:Q202" si="181">C182+C189-C200</f>
        <v>11427</v>
      </c>
      <c r="D202" s="181">
        <f t="shared" si="181"/>
        <v>14502</v>
      </c>
      <c r="E202" s="181">
        <f t="shared" si="181"/>
        <v>6001</v>
      </c>
      <c r="F202" s="181">
        <f t="shared" si="181"/>
        <v>13877</v>
      </c>
      <c r="G202" s="181">
        <f t="shared" si="181"/>
        <v>12936</v>
      </c>
      <c r="H202" s="181">
        <f t="shared" si="181"/>
        <v>10839</v>
      </c>
      <c r="I202" s="181">
        <f t="shared" si="181"/>
        <v>11849</v>
      </c>
      <c r="J202" s="181">
        <f t="shared" si="181"/>
        <v>11089</v>
      </c>
      <c r="K202" s="181">
        <f t="shared" si="181"/>
        <v>11265</v>
      </c>
      <c r="L202" s="181">
        <f t="shared" si="181"/>
        <v>10350</v>
      </c>
      <c r="M202" s="181">
        <f t="shared" si="181"/>
        <v>9511</v>
      </c>
      <c r="N202" s="181">
        <f t="shared" si="181"/>
        <v>10315</v>
      </c>
      <c r="O202" s="181">
        <f t="shared" si="181"/>
        <v>133961</v>
      </c>
      <c r="P202" s="181">
        <f t="shared" si="181"/>
        <v>92520</v>
      </c>
      <c r="Q202" s="181">
        <f t="shared" si="181"/>
        <v>41441</v>
      </c>
      <c r="R202" s="546"/>
      <c r="S202" s="168"/>
      <c r="T202" s="604" t="str">
        <f>A202</f>
        <v>INCOME BEFORE INCOME TAXES</v>
      </c>
      <c r="U202" s="599"/>
      <c r="V202" s="607">
        <f>V182+V189-V200</f>
        <v>31930</v>
      </c>
      <c r="W202" s="607">
        <f>W182+W189-W200</f>
        <v>37652</v>
      </c>
      <c r="X202" s="607">
        <f>X182+X189-X200</f>
        <v>34203</v>
      </c>
      <c r="Y202" s="607">
        <f>Y182+Y189-Y200</f>
        <v>30176</v>
      </c>
      <c r="Z202" s="607"/>
      <c r="AA202" s="607">
        <f>AA182+AA189-AA200</f>
        <v>133961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2">D202+AF202</f>
        <v>25929</v>
      </c>
      <c r="AH202" s="181">
        <f t="shared" si="182"/>
        <v>31930</v>
      </c>
      <c r="AI202" s="181">
        <f t="shared" si="182"/>
        <v>45807</v>
      </c>
      <c r="AJ202" s="181">
        <f t="shared" si="182"/>
        <v>58743</v>
      </c>
      <c r="AK202" s="181">
        <f t="shared" si="182"/>
        <v>69582</v>
      </c>
      <c r="AL202" s="181">
        <f t="shared" si="182"/>
        <v>81431</v>
      </c>
      <c r="AM202" s="181">
        <f t="shared" si="182"/>
        <v>92520</v>
      </c>
      <c r="AN202" s="181">
        <f t="shared" si="182"/>
        <v>103785</v>
      </c>
      <c r="AO202" s="181">
        <f t="shared" si="182"/>
        <v>114135</v>
      </c>
      <c r="AP202" s="181">
        <f t="shared" si="182"/>
        <v>123646</v>
      </c>
      <c r="AQ202" s="181">
        <f t="shared" si="182"/>
        <v>133961</v>
      </c>
    </row>
    <row r="203" spans="1:43" x14ac:dyDescent="0.2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7"/>
      <c r="U203" s="811"/>
      <c r="V203" s="588"/>
      <c r="W203" s="588"/>
      <c r="X203" s="588"/>
      <c r="Y203" s="588"/>
      <c r="Z203" s="588"/>
      <c r="AA203" s="588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">
      <c r="A204" s="176" t="s">
        <v>274</v>
      </c>
      <c r="C204" s="177">
        <f t="shared" ref="C204:N204" si="183">C51-C146</f>
        <v>4119</v>
      </c>
      <c r="D204" s="177">
        <f t="shared" si="183"/>
        <v>5370</v>
      </c>
      <c r="E204" s="177">
        <f t="shared" si="183"/>
        <v>6853</v>
      </c>
      <c r="F204" s="177">
        <f t="shared" si="183"/>
        <v>4421</v>
      </c>
      <c r="G204" s="177">
        <f t="shared" si="183"/>
        <v>4599</v>
      </c>
      <c r="H204" s="177">
        <f t="shared" si="183"/>
        <v>4037</v>
      </c>
      <c r="I204" s="177">
        <f t="shared" si="183"/>
        <v>4178</v>
      </c>
      <c r="J204" s="177">
        <f t="shared" si="183"/>
        <v>4037</v>
      </c>
      <c r="K204" s="177">
        <f t="shared" si="183"/>
        <v>3460</v>
      </c>
      <c r="L204" s="177">
        <f t="shared" si="183"/>
        <v>595</v>
      </c>
      <c r="M204" s="177">
        <f t="shared" si="183"/>
        <v>4278</v>
      </c>
      <c r="N204" s="177">
        <f t="shared" si="183"/>
        <v>3898</v>
      </c>
      <c r="O204" s="177">
        <f>SUM(C204:N204)</f>
        <v>49845</v>
      </c>
      <c r="P204" s="178">
        <f>SUM(C204:J204)</f>
        <v>37614</v>
      </c>
      <c r="Q204" s="177">
        <f>O204-P204</f>
        <v>12231</v>
      </c>
      <c r="R204" s="570"/>
      <c r="S204" s="170"/>
      <c r="T204" s="605" t="str">
        <f>A204</f>
        <v xml:space="preserve">   Payable Currently</v>
      </c>
      <c r="U204" s="811"/>
      <c r="V204" s="588">
        <f>C204+D204+E204</f>
        <v>16342</v>
      </c>
      <c r="W204" s="588">
        <f>F204+G204+H204</f>
        <v>13057</v>
      </c>
      <c r="X204" s="588">
        <f>I204+J204+K204</f>
        <v>11675</v>
      </c>
      <c r="Y204" s="588">
        <f>L204+M204+N204</f>
        <v>8771</v>
      </c>
      <c r="Z204" s="588"/>
      <c r="AA204" s="588">
        <f>SUM(V204:Y204)</f>
        <v>49845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4">D204+AF204</f>
        <v>9489</v>
      </c>
      <c r="AH204" s="177">
        <f t="shared" si="184"/>
        <v>16342</v>
      </c>
      <c r="AI204" s="177">
        <f t="shared" si="184"/>
        <v>20763</v>
      </c>
      <c r="AJ204" s="177">
        <f t="shared" si="184"/>
        <v>25362</v>
      </c>
      <c r="AK204" s="177">
        <f t="shared" si="184"/>
        <v>29399</v>
      </c>
      <c r="AL204" s="177">
        <f t="shared" si="184"/>
        <v>33577</v>
      </c>
      <c r="AM204" s="177">
        <f t="shared" si="184"/>
        <v>37614</v>
      </c>
      <c r="AN204" s="177">
        <f t="shared" si="184"/>
        <v>41074</v>
      </c>
      <c r="AO204" s="177">
        <f t="shared" si="184"/>
        <v>41669</v>
      </c>
      <c r="AP204" s="177">
        <f t="shared" si="184"/>
        <v>45947</v>
      </c>
      <c r="AQ204" s="177">
        <f t="shared" si="184"/>
        <v>49845</v>
      </c>
    </row>
    <row r="205" spans="1:43" x14ac:dyDescent="0.2">
      <c r="A205" s="413" t="s">
        <v>277</v>
      </c>
      <c r="C205" s="180">
        <f t="shared" ref="C205:N205" si="185">C52-C147</f>
        <v>325</v>
      </c>
      <c r="D205" s="180">
        <f t="shared" si="185"/>
        <v>267</v>
      </c>
      <c r="E205" s="180">
        <f t="shared" si="185"/>
        <v>-4518</v>
      </c>
      <c r="F205" s="180">
        <f t="shared" si="185"/>
        <v>977</v>
      </c>
      <c r="G205" s="180">
        <f t="shared" si="185"/>
        <v>434</v>
      </c>
      <c r="H205" s="180">
        <f t="shared" si="185"/>
        <v>181</v>
      </c>
      <c r="I205" s="180">
        <f t="shared" si="185"/>
        <v>431</v>
      </c>
      <c r="J205" s="180">
        <f t="shared" si="185"/>
        <v>275</v>
      </c>
      <c r="K205" s="180">
        <f t="shared" si="185"/>
        <v>922</v>
      </c>
      <c r="L205" s="180">
        <f t="shared" si="185"/>
        <v>3432</v>
      </c>
      <c r="M205" s="180">
        <f t="shared" si="185"/>
        <v>-578</v>
      </c>
      <c r="N205" s="180">
        <f t="shared" si="185"/>
        <v>115</v>
      </c>
      <c r="O205" s="180">
        <f>SUM(C205:N205)</f>
        <v>2263</v>
      </c>
      <c r="P205" s="263">
        <f>SUM(C205:J205)</f>
        <v>-1628</v>
      </c>
      <c r="Q205" s="180">
        <f>O205-P205</f>
        <v>3891</v>
      </c>
      <c r="R205" s="571"/>
      <c r="S205" s="170"/>
      <c r="T205" s="605" t="str">
        <f>A205</f>
        <v xml:space="preserve">   Deferred</v>
      </c>
      <c r="U205" s="811"/>
      <c r="V205" s="590">
        <f>C205+D205+E205</f>
        <v>-3926</v>
      </c>
      <c r="W205" s="590">
        <f>F205+G205+H205</f>
        <v>1592</v>
      </c>
      <c r="X205" s="590">
        <f>I205+J205+K205</f>
        <v>1628</v>
      </c>
      <c r="Y205" s="590">
        <f>L205+M205+N205</f>
        <v>2969</v>
      </c>
      <c r="Z205" s="590"/>
      <c r="AA205" s="590">
        <f>SUM(V205:Y205)</f>
        <v>2263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4"/>
        <v>592</v>
      </c>
      <c r="AH205" s="180">
        <f t="shared" si="184"/>
        <v>-3926</v>
      </c>
      <c r="AI205" s="180">
        <f t="shared" si="184"/>
        <v>-2949</v>
      </c>
      <c r="AJ205" s="180">
        <f t="shared" si="184"/>
        <v>-2515</v>
      </c>
      <c r="AK205" s="180">
        <f t="shared" si="184"/>
        <v>-2334</v>
      </c>
      <c r="AL205" s="180">
        <f t="shared" si="184"/>
        <v>-1903</v>
      </c>
      <c r="AM205" s="180">
        <f t="shared" si="184"/>
        <v>-1628</v>
      </c>
      <c r="AN205" s="180">
        <f t="shared" si="184"/>
        <v>-706</v>
      </c>
      <c r="AO205" s="180">
        <f t="shared" si="184"/>
        <v>2726</v>
      </c>
      <c r="AP205" s="180">
        <f t="shared" si="184"/>
        <v>2148</v>
      </c>
      <c r="AQ205" s="180">
        <f t="shared" si="184"/>
        <v>2263</v>
      </c>
    </row>
    <row r="206" spans="1:43" ht="3.95" customHeight="1" x14ac:dyDescent="0.2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3"/>
      <c r="U206" s="811"/>
      <c r="V206" s="588"/>
      <c r="W206" s="588"/>
      <c r="X206" s="588"/>
      <c r="Y206" s="588"/>
      <c r="Z206" s="588"/>
      <c r="AA206" s="588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">
      <c r="A207" s="412" t="s">
        <v>647</v>
      </c>
      <c r="B207" s="807"/>
      <c r="C207" s="181">
        <f t="shared" ref="C207:Q207" si="186">ROUND((SUM(C204:C205)),0)</f>
        <v>4444</v>
      </c>
      <c r="D207" s="181">
        <f t="shared" si="186"/>
        <v>5637</v>
      </c>
      <c r="E207" s="181">
        <f t="shared" si="186"/>
        <v>2335</v>
      </c>
      <c r="F207" s="181">
        <f t="shared" si="186"/>
        <v>5398</v>
      </c>
      <c r="G207" s="181">
        <f t="shared" si="186"/>
        <v>5033</v>
      </c>
      <c r="H207" s="181">
        <f t="shared" si="186"/>
        <v>4218</v>
      </c>
      <c r="I207" s="181">
        <f t="shared" si="186"/>
        <v>4609</v>
      </c>
      <c r="J207" s="181">
        <f t="shared" si="186"/>
        <v>4312</v>
      </c>
      <c r="K207" s="181">
        <f t="shared" si="186"/>
        <v>4382</v>
      </c>
      <c r="L207" s="181">
        <f t="shared" si="186"/>
        <v>4027</v>
      </c>
      <c r="M207" s="181">
        <f t="shared" si="186"/>
        <v>3700</v>
      </c>
      <c r="N207" s="181">
        <f t="shared" si="186"/>
        <v>4013</v>
      </c>
      <c r="O207" s="181">
        <f t="shared" si="186"/>
        <v>52108</v>
      </c>
      <c r="P207" s="181">
        <f t="shared" si="186"/>
        <v>35986</v>
      </c>
      <c r="Q207" s="181">
        <f t="shared" si="186"/>
        <v>16122</v>
      </c>
      <c r="R207" s="546"/>
      <c r="S207" s="168"/>
      <c r="T207" s="604" t="str">
        <f>A207</f>
        <v xml:space="preserve">     Total Income Taxes</v>
      </c>
      <c r="U207" s="599"/>
      <c r="V207" s="607">
        <f>V204+V205</f>
        <v>12416</v>
      </c>
      <c r="W207" s="607">
        <f>W204+W205</f>
        <v>14649</v>
      </c>
      <c r="X207" s="607">
        <f>X204+X205</f>
        <v>13303</v>
      </c>
      <c r="Y207" s="607">
        <f>Y204+Y205</f>
        <v>11740</v>
      </c>
      <c r="Z207" s="607"/>
      <c r="AA207" s="607">
        <f>AA204+AA205</f>
        <v>52108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87">D207+AF207</f>
        <v>10081</v>
      </c>
      <c r="AH207" s="181">
        <f t="shared" si="187"/>
        <v>12416</v>
      </c>
      <c r="AI207" s="181">
        <f t="shared" si="187"/>
        <v>17814</v>
      </c>
      <c r="AJ207" s="181">
        <f t="shared" si="187"/>
        <v>22847</v>
      </c>
      <c r="AK207" s="181">
        <f t="shared" si="187"/>
        <v>27065</v>
      </c>
      <c r="AL207" s="181">
        <f t="shared" si="187"/>
        <v>31674</v>
      </c>
      <c r="AM207" s="181">
        <f t="shared" si="187"/>
        <v>35986</v>
      </c>
      <c r="AN207" s="181">
        <f t="shared" si="187"/>
        <v>40368</v>
      </c>
      <c r="AO207" s="181">
        <f t="shared" si="187"/>
        <v>44395</v>
      </c>
      <c r="AP207" s="181">
        <f t="shared" si="187"/>
        <v>48095</v>
      </c>
      <c r="AQ207" s="181">
        <f t="shared" si="187"/>
        <v>52108</v>
      </c>
    </row>
    <row r="208" spans="1:43" x14ac:dyDescent="0.2">
      <c r="A208" s="401"/>
      <c r="B208" s="807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2"/>
      <c r="U208" s="599"/>
      <c r="V208" s="606"/>
      <c r="W208" s="606"/>
      <c r="X208" s="606"/>
      <c r="Y208" s="609"/>
      <c r="Z208" s="606"/>
      <c r="AA208" s="606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">
      <c r="A209" s="410" t="s">
        <v>331</v>
      </c>
      <c r="B209" s="807"/>
      <c r="C209" s="181">
        <f t="shared" ref="C209:P209" si="188">ROUND(+C202-C207,0)</f>
        <v>6983</v>
      </c>
      <c r="D209" s="181">
        <f t="shared" si="188"/>
        <v>8865</v>
      </c>
      <c r="E209" s="181">
        <f t="shared" si="188"/>
        <v>3666</v>
      </c>
      <c r="F209" s="181">
        <f t="shared" si="188"/>
        <v>8479</v>
      </c>
      <c r="G209" s="181">
        <f t="shared" si="188"/>
        <v>7903</v>
      </c>
      <c r="H209" s="181">
        <f t="shared" si="188"/>
        <v>6621</v>
      </c>
      <c r="I209" s="181">
        <f t="shared" si="188"/>
        <v>7240</v>
      </c>
      <c r="J209" s="181">
        <f t="shared" si="188"/>
        <v>6777</v>
      </c>
      <c r="K209" s="181">
        <f t="shared" si="188"/>
        <v>6883</v>
      </c>
      <c r="L209" s="181">
        <f t="shared" si="188"/>
        <v>6323</v>
      </c>
      <c r="M209" s="181">
        <f t="shared" si="188"/>
        <v>5811</v>
      </c>
      <c r="N209" s="181">
        <f t="shared" si="188"/>
        <v>6302</v>
      </c>
      <c r="O209" s="181">
        <f t="shared" si="188"/>
        <v>81853</v>
      </c>
      <c r="P209" s="181">
        <f t="shared" si="188"/>
        <v>56534</v>
      </c>
      <c r="Q209" s="181">
        <f>Q202-Q207</f>
        <v>25319</v>
      </c>
      <c r="R209" s="546"/>
      <c r="S209" s="168"/>
      <c r="T209" s="604" t="str">
        <f>A209</f>
        <v xml:space="preserve">NET INCOME </v>
      </c>
      <c r="U209" s="599"/>
      <c r="V209" s="607">
        <f>V202-V207</f>
        <v>19514</v>
      </c>
      <c r="W209" s="607">
        <f>W202-W207</f>
        <v>23003</v>
      </c>
      <c r="X209" s="607">
        <f>X202-X207</f>
        <v>20900</v>
      </c>
      <c r="Y209" s="607">
        <f>Y202-Y207</f>
        <v>18436</v>
      </c>
      <c r="Z209" s="607"/>
      <c r="AA209" s="607">
        <f>AA202-AA207</f>
        <v>81853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89">D209+AF209</f>
        <v>15848</v>
      </c>
      <c r="AH209" s="181">
        <f t="shared" si="189"/>
        <v>19514</v>
      </c>
      <c r="AI209" s="181">
        <f t="shared" si="189"/>
        <v>27993</v>
      </c>
      <c r="AJ209" s="181">
        <f t="shared" si="189"/>
        <v>35896</v>
      </c>
      <c r="AK209" s="181">
        <f t="shared" si="189"/>
        <v>42517</v>
      </c>
      <c r="AL209" s="181">
        <f t="shared" si="189"/>
        <v>49757</v>
      </c>
      <c r="AM209" s="181">
        <f t="shared" si="189"/>
        <v>56534</v>
      </c>
      <c r="AN209" s="181">
        <f t="shared" si="189"/>
        <v>63417</v>
      </c>
      <c r="AO209" s="181">
        <f t="shared" si="189"/>
        <v>69740</v>
      </c>
      <c r="AP209" s="181">
        <f t="shared" si="189"/>
        <v>75551</v>
      </c>
      <c r="AQ209" s="181">
        <f t="shared" si="189"/>
        <v>81853</v>
      </c>
    </row>
    <row r="210" spans="1:43" x14ac:dyDescent="0.2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7"/>
      <c r="U210" s="811"/>
      <c r="V210" s="608"/>
      <c r="W210" s="608"/>
      <c r="X210" s="588"/>
      <c r="Y210" s="588"/>
      <c r="Z210" s="588"/>
      <c r="AA210" s="608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">
      <c r="A211" s="676" t="s">
        <v>930</v>
      </c>
      <c r="C211" s="677">
        <f t="shared" ref="C211:Q211" si="190">C56-C151-C209</f>
        <v>0</v>
      </c>
      <c r="D211" s="677">
        <f t="shared" si="190"/>
        <v>0</v>
      </c>
      <c r="E211" s="677">
        <f t="shared" si="190"/>
        <v>0</v>
      </c>
      <c r="F211" s="677">
        <f t="shared" si="190"/>
        <v>0</v>
      </c>
      <c r="G211" s="677">
        <f t="shared" si="190"/>
        <v>0</v>
      </c>
      <c r="H211" s="677">
        <f t="shared" si="190"/>
        <v>0</v>
      </c>
      <c r="I211" s="677">
        <f t="shared" si="190"/>
        <v>0</v>
      </c>
      <c r="J211" s="677">
        <f t="shared" si="190"/>
        <v>0</v>
      </c>
      <c r="K211" s="677">
        <f t="shared" si="190"/>
        <v>0</v>
      </c>
      <c r="L211" s="677">
        <f t="shared" si="190"/>
        <v>0</v>
      </c>
      <c r="M211" s="677">
        <f t="shared" si="190"/>
        <v>0</v>
      </c>
      <c r="N211" s="677">
        <f t="shared" si="190"/>
        <v>0</v>
      </c>
      <c r="O211" s="677">
        <f t="shared" si="190"/>
        <v>0</v>
      </c>
      <c r="P211" s="677">
        <f t="shared" si="190"/>
        <v>0</v>
      </c>
      <c r="Q211" s="677">
        <f t="shared" si="190"/>
        <v>0</v>
      </c>
      <c r="T211" s="676" t="s">
        <v>930</v>
      </c>
      <c r="V211" s="677">
        <f>V56-V151-V209</f>
        <v>0</v>
      </c>
      <c r="W211" s="677">
        <f>W56-W151-W209</f>
        <v>0</v>
      </c>
      <c r="X211" s="677">
        <f>X56-X151-X209</f>
        <v>0</v>
      </c>
      <c r="Y211" s="677">
        <f>Y56-Y151-Y209</f>
        <v>0</v>
      </c>
      <c r="AA211" s="677">
        <f>AA56-AA151-AA209</f>
        <v>0</v>
      </c>
      <c r="AD211" s="676" t="s">
        <v>930</v>
      </c>
      <c r="AF211" s="677">
        <f t="shared" ref="AF211:AQ211" si="191">AF56-AF151-AF209</f>
        <v>0</v>
      </c>
      <c r="AG211" s="677">
        <f t="shared" si="191"/>
        <v>0</v>
      </c>
      <c r="AH211" s="677">
        <f t="shared" si="191"/>
        <v>0</v>
      </c>
      <c r="AI211" s="677">
        <f t="shared" si="191"/>
        <v>0</v>
      </c>
      <c r="AJ211" s="677">
        <f t="shared" si="191"/>
        <v>0</v>
      </c>
      <c r="AK211" s="677">
        <f t="shared" si="191"/>
        <v>0</v>
      </c>
      <c r="AL211" s="677">
        <f t="shared" si="191"/>
        <v>0</v>
      </c>
      <c r="AM211" s="677">
        <f t="shared" si="191"/>
        <v>0</v>
      </c>
      <c r="AN211" s="677">
        <f t="shared" si="191"/>
        <v>0</v>
      </c>
      <c r="AO211" s="677">
        <f t="shared" si="191"/>
        <v>0</v>
      </c>
      <c r="AP211" s="677">
        <f t="shared" si="191"/>
        <v>0</v>
      </c>
      <c r="AQ211" s="677">
        <f t="shared" si="191"/>
        <v>0</v>
      </c>
    </row>
    <row r="212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J8" activePane="bottomRight" state="frozen"/>
      <selection activeCell="A6" sqref="A6"/>
      <selection pane="topRight" activeCell="D6" sqref="D6"/>
      <selection pane="bottomLeft" activeCell="A8" sqref="A8"/>
      <selection pane="bottomRight" activeCell="K9" sqref="K9"/>
    </sheetView>
  </sheetViews>
  <sheetFormatPr defaultColWidth="10.7109375" defaultRowHeight="12.75" x14ac:dyDescent="0.2"/>
  <cols>
    <col min="1" max="1" width="12.7109375" style="240" customWidth="1"/>
    <col min="2" max="2" width="45.7109375" style="240" customWidth="1"/>
    <col min="3" max="3" width="11.7109375" style="240" customWidth="1"/>
    <col min="4" max="18" width="10.7109375" style="240" customWidth="1"/>
    <col min="19" max="19" width="3.7109375" style="240" customWidth="1"/>
    <col min="20" max="20" width="10.7109375" style="240" customWidth="1"/>
    <col min="21" max="16384" width="10.7109375" style="240"/>
  </cols>
  <sheetData>
    <row r="1" spans="1:40" x14ac:dyDescent="0.2">
      <c r="A1" s="549" t="str">
        <f ca="1">CELL("FILENAME")</f>
        <v>P:\Finance\2001CE\[TW3rdCEEM.XLS]DataBase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">
      <c r="A2" s="452" t="s">
        <v>931</v>
      </c>
      <c r="B2" s="239"/>
      <c r="G2" s="519" t="str">
        <f>IncomeState!G2</f>
        <v>2001 ACTUAL / ESTIMATE</v>
      </c>
      <c r="H2" s="655"/>
      <c r="I2" s="655"/>
      <c r="J2" s="656"/>
    </row>
    <row r="3" spans="1:40" x14ac:dyDescent="0.2">
      <c r="A3" s="453"/>
      <c r="G3" s="521" t="s">
        <v>812</v>
      </c>
      <c r="H3" s="519"/>
      <c r="I3" s="519"/>
      <c r="J3" s="520"/>
    </row>
    <row r="4" spans="1:40" x14ac:dyDescent="0.2">
      <c r="A4" s="453"/>
      <c r="B4" s="666">
        <f ca="1">NOW()</f>
        <v>37154.402540162038</v>
      </c>
      <c r="G4" s="519" t="str">
        <f>IncomeState!G4</f>
        <v>(Thousands of Dollars)</v>
      </c>
      <c r="H4" s="522"/>
      <c r="I4" s="522"/>
      <c r="J4" s="520"/>
    </row>
    <row r="5" spans="1:40" x14ac:dyDescent="0.2">
      <c r="A5" s="453"/>
      <c r="B5" s="667">
        <f ca="1">NOW()</f>
        <v>37154.402540162038</v>
      </c>
      <c r="E5"/>
      <c r="F5"/>
      <c r="G5"/>
      <c r="H5" s="493"/>
      <c r="I5" s="545"/>
    </row>
    <row r="6" spans="1:40" x14ac:dyDescent="0.2">
      <c r="A6" s="453"/>
      <c r="D6" s="680" t="str">
        <f>DataBase!C2</f>
        <v>ACT.</v>
      </c>
      <c r="E6" s="680" t="str">
        <f>DataBase!D2</f>
        <v>ACT.</v>
      </c>
      <c r="F6" s="680" t="str">
        <f>DataBase!E2</f>
        <v>ACT.</v>
      </c>
      <c r="G6" s="680" t="str">
        <f>DataBase!F2</f>
        <v>ACT.</v>
      </c>
      <c r="H6" s="680" t="str">
        <f>DataBase!G2</f>
        <v>ACT.</v>
      </c>
      <c r="I6" s="680" t="str">
        <f>DataBase!H2</f>
        <v>ACT.</v>
      </c>
      <c r="J6" s="680" t="str">
        <f>DataBase!I2</f>
        <v>ACT.</v>
      </c>
      <c r="K6" s="680" t="str">
        <f>DataBase!J2</f>
        <v>ACT.</v>
      </c>
      <c r="L6" s="680" t="str">
        <f>DataBase!K2</f>
        <v>3rd CE</v>
      </c>
      <c r="M6" s="680" t="str">
        <f>DataBase!L2</f>
        <v>3rd CE</v>
      </c>
      <c r="N6" s="680" t="str">
        <f>DataBase!M2</f>
        <v>3rd CE</v>
      </c>
      <c r="O6" s="680" t="str">
        <f>DataBase!N2</f>
        <v>3rd CE</v>
      </c>
      <c r="P6" s="680" t="str">
        <f>DataBase!O2</f>
        <v>TOTAL</v>
      </c>
      <c r="Q6" s="680" t="str">
        <f>IncomeState!P6</f>
        <v>AUGUST</v>
      </c>
      <c r="R6" s="680" t="str">
        <f>IncomeState!Q6</f>
        <v>ESTIMATE</v>
      </c>
      <c r="S6" s="242"/>
      <c r="T6" s="455" t="s">
        <v>813</v>
      </c>
    </row>
    <row r="7" spans="1:40" x14ac:dyDescent="0.2">
      <c r="A7" s="454" t="s">
        <v>814</v>
      </c>
      <c r="B7" s="243"/>
      <c r="C7" s="243"/>
      <c r="D7" s="454" t="s">
        <v>906</v>
      </c>
      <c r="E7" s="454" t="s">
        <v>907</v>
      </c>
      <c r="F7" s="454" t="s">
        <v>908</v>
      </c>
      <c r="G7" s="454" t="s">
        <v>909</v>
      </c>
      <c r="H7" s="454" t="s">
        <v>910</v>
      </c>
      <c r="I7" s="454" t="s">
        <v>911</v>
      </c>
      <c r="J7" s="454" t="s">
        <v>912</v>
      </c>
      <c r="K7" s="454" t="s">
        <v>913</v>
      </c>
      <c r="L7" s="454" t="s">
        <v>914</v>
      </c>
      <c r="M7" s="454" t="s">
        <v>915</v>
      </c>
      <c r="N7" s="454" t="s">
        <v>916</v>
      </c>
      <c r="O7" s="454" t="s">
        <v>917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42"/>
      <c r="T7" s="244" t="s">
        <v>930</v>
      </c>
    </row>
    <row r="8" spans="1:40" x14ac:dyDescent="0.2">
      <c r="A8" s="457" t="s">
        <v>815</v>
      </c>
      <c r="B8" s="245" t="s">
        <v>816</v>
      </c>
      <c r="C8" s="502" t="s">
        <v>817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SUM(D8:K8)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">
      <c r="A9" s="457" t="s">
        <v>169</v>
      </c>
      <c r="B9" s="252" t="s">
        <v>818</v>
      </c>
      <c r="D9" s="246">
        <f>-'Fuel-Depr-OtherTax'!C14</f>
        <v>4888</v>
      </c>
      <c r="E9" s="246">
        <f>-'Fuel-Depr-OtherTax'!D14</f>
        <v>4666</v>
      </c>
      <c r="F9" s="246">
        <f>-'Fuel-Depr-OtherTax'!E14</f>
        <v>1896</v>
      </c>
      <c r="G9" s="246">
        <f>-'Fuel-Depr-OtherTax'!F14</f>
        <v>-10663</v>
      </c>
      <c r="H9" s="246">
        <f>-'Fuel-Depr-OtherTax'!G14</f>
        <v>327</v>
      </c>
      <c r="I9" s="246">
        <f>-'Fuel-Depr-OtherTax'!H14</f>
        <v>-372</v>
      </c>
      <c r="J9" s="246">
        <f>-'Fuel-Depr-OtherTax'!I14</f>
        <v>-1196</v>
      </c>
      <c r="K9" s="246">
        <f>-'Fuel-Depr-OtherTax'!J14</f>
        <v>-506</v>
      </c>
      <c r="L9" s="246">
        <f>-'Fuel-Depr-OtherTax'!K14</f>
        <v>2952</v>
      </c>
      <c r="M9" s="246">
        <f>-'Fuel-Depr-OtherTax'!L14</f>
        <v>2747</v>
      </c>
      <c r="N9" s="246">
        <f>-'Fuel-Depr-OtherTax'!M14</f>
        <v>2825</v>
      </c>
      <c r="O9" s="246">
        <f>-'Fuel-Depr-OtherTax'!N14</f>
        <v>2576</v>
      </c>
      <c r="P9" s="246">
        <f t="shared" si="0"/>
        <v>10140</v>
      </c>
      <c r="Q9" s="247">
        <f t="shared" ref="Q9:Q71" si="3">SUM(D9:K9)</f>
        <v>-960</v>
      </c>
      <c r="R9" s="246">
        <f t="shared" si="1"/>
        <v>11100</v>
      </c>
      <c r="S9" s="247"/>
      <c r="T9" s="531">
        <f t="shared" si="2"/>
        <v>10140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">
      <c r="A10" s="457" t="s">
        <v>815</v>
      </c>
      <c r="B10" s="252" t="s">
        <v>819</v>
      </c>
      <c r="D10" s="691">
        <f>'Transport-OtherRev'!C20+(-D8-D11)+(D8+D11)</f>
        <v>13915</v>
      </c>
      <c r="E10" s="691">
        <f>'Transport-OtherRev'!D20+(-E8-E11)+(E8+E11)</f>
        <v>18344</v>
      </c>
      <c r="F10" s="691">
        <f>'Transport-OtherRev'!E20+(-F8-F11)+(F8+F11)</f>
        <v>18106</v>
      </c>
      <c r="G10" s="691">
        <f>'Transport-OtherRev'!F20+(-G8-G11)+(G8+G11)</f>
        <v>14923</v>
      </c>
      <c r="H10" s="691">
        <f>'Transport-OtherRev'!G20+(-H8-H11)+(H8+H11)</f>
        <v>16340</v>
      </c>
      <c r="I10" s="691">
        <f>'Transport-OtherRev'!H20+(-I8-I11)+(I8+I11)</f>
        <v>14618</v>
      </c>
      <c r="J10" s="691">
        <f>'Transport-OtherRev'!I20+(-J8-J11)+(J8+J11)</f>
        <v>14274</v>
      </c>
      <c r="K10" s="691">
        <f>'Transport-OtherRev'!J20+(-K8-K11)+(K8+K11)</f>
        <v>13605</v>
      </c>
      <c r="L10" s="691">
        <f>'Transport-OtherRev'!K20+(-L8-L11)+(L8+L11)</f>
        <v>13080</v>
      </c>
      <c r="M10" s="691">
        <f>'Transport-OtherRev'!L20+(-M8-M11)+(M8+M11)</f>
        <v>13252</v>
      </c>
      <c r="N10" s="691">
        <f>'Transport-OtherRev'!M20+(-N8-N11)+(N8+N11)</f>
        <v>12325</v>
      </c>
      <c r="O10" s="691">
        <f>'Transport-OtherRev'!N20+(-O8-O11)+(O8+O11)</f>
        <v>13169</v>
      </c>
      <c r="P10" s="246">
        <f t="shared" si="0"/>
        <v>175951</v>
      </c>
      <c r="Q10" s="247">
        <f t="shared" si="3"/>
        <v>124125</v>
      </c>
      <c r="R10" s="246">
        <f t="shared" si="1"/>
        <v>51826</v>
      </c>
      <c r="S10" s="247"/>
      <c r="T10" s="531">
        <f t="shared" si="2"/>
        <v>175951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">
      <c r="A11" s="457" t="s">
        <v>815</v>
      </c>
      <c r="B11" s="252" t="s">
        <v>820</v>
      </c>
      <c r="C11" s="502" t="s">
        <v>821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">
      <c r="A12" s="457" t="s">
        <v>260</v>
      </c>
      <c r="B12" s="252" t="s">
        <v>259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">
      <c r="A14" s="458" t="s">
        <v>167</v>
      </c>
      <c r="B14" s="245" t="s">
        <v>167</v>
      </c>
      <c r="C14" s="502" t="s">
        <v>817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">
      <c r="A15" s="458" t="s">
        <v>167</v>
      </c>
      <c r="B15" s="245" t="s">
        <v>167</v>
      </c>
      <c r="C15" s="502" t="s">
        <v>817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">
      <c r="A16" s="458" t="s">
        <v>167</v>
      </c>
      <c r="B16" s="245" t="s">
        <v>167</v>
      </c>
      <c r="C16" s="502" t="s">
        <v>817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">
      <c r="A17" s="458" t="s">
        <v>822</v>
      </c>
      <c r="B17" s="245" t="s">
        <v>823</v>
      </c>
      <c r="C17" s="502"/>
      <c r="D17" s="478">
        <f>-RegAmort!C40</f>
        <v>-30</v>
      </c>
      <c r="E17" s="478">
        <f>-RegAmort!D40</f>
        <v>-30</v>
      </c>
      <c r="F17" s="478">
        <f>-RegAmort!E40</f>
        <v>-31</v>
      </c>
      <c r="G17" s="478">
        <f>-RegAmort!F40</f>
        <v>-30</v>
      </c>
      <c r="H17" s="478">
        <f>-RegAmort!G40</f>
        <v>-30</v>
      </c>
      <c r="I17" s="478">
        <f>-RegAmort!H40</f>
        <v>-30</v>
      </c>
      <c r="J17" s="478">
        <f>-RegAmort!I40</f>
        <v>-30</v>
      </c>
      <c r="K17" s="478">
        <f>-RegAmort!J40</f>
        <v>-30</v>
      </c>
      <c r="L17" s="478">
        <f>-RegAmort!K40</f>
        <v>-30</v>
      </c>
      <c r="M17" s="478">
        <f>-RegAmort!L40</f>
        <v>-30</v>
      </c>
      <c r="N17" s="478">
        <f>-RegAmort!M40</f>
        <v>-30</v>
      </c>
      <c r="O17" s="478">
        <f>-RegAmort!N40</f>
        <v>-30</v>
      </c>
      <c r="P17" s="246">
        <f t="shared" si="0"/>
        <v>-361</v>
      </c>
      <c r="Q17" s="247">
        <f t="shared" si="3"/>
        <v>-241</v>
      </c>
      <c r="R17" s="246">
        <f t="shared" si="1"/>
        <v>-120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">
      <c r="A18" s="457" t="s">
        <v>719</v>
      </c>
      <c r="B18" s="253" t="s">
        <v>824</v>
      </c>
      <c r="D18" s="478">
        <f>-RegAmort!C41</f>
        <v>-42</v>
      </c>
      <c r="E18" s="478">
        <f>-RegAmort!D41</f>
        <v>-42</v>
      </c>
      <c r="F18" s="478">
        <f>-RegAmort!E41</f>
        <v>-42</v>
      </c>
      <c r="G18" s="478">
        <f>-RegAmort!F41</f>
        <v>-42</v>
      </c>
      <c r="H18" s="478">
        <f>-RegAmort!G41</f>
        <v>-42</v>
      </c>
      <c r="I18" s="478">
        <f>-RegAmort!H41</f>
        <v>-42</v>
      </c>
      <c r="J18" s="478">
        <f>-RegAmort!I41</f>
        <v>-42</v>
      </c>
      <c r="K18" s="478">
        <f>-RegAmort!J41</f>
        <v>-43</v>
      </c>
      <c r="L18" s="478">
        <f>-RegAmort!K41</f>
        <v>-42</v>
      </c>
      <c r="M18" s="478">
        <f>-RegAmort!L41</f>
        <v>-43</v>
      </c>
      <c r="N18" s="478">
        <f>-RegAmort!M41</f>
        <v>-43</v>
      </c>
      <c r="O18" s="478">
        <f>-RegAmort!N41</f>
        <v>-43</v>
      </c>
      <c r="P18" s="246">
        <f t="shared" si="0"/>
        <v>-508</v>
      </c>
      <c r="Q18" s="247">
        <f t="shared" si="3"/>
        <v>-337</v>
      </c>
      <c r="R18" s="246">
        <f t="shared" si="1"/>
        <v>-171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">
      <c r="A19" s="457" t="s">
        <v>719</v>
      </c>
      <c r="B19" s="253" t="s">
        <v>825</v>
      </c>
      <c r="D19" s="478">
        <f>-RegAmort!C42</f>
        <v>-10</v>
      </c>
      <c r="E19" s="478">
        <f>-RegAmort!D42</f>
        <v>-10</v>
      </c>
      <c r="F19" s="478">
        <f>-RegAmort!E42</f>
        <v>-10</v>
      </c>
      <c r="G19" s="478">
        <f>-RegAmort!F42</f>
        <v>-10</v>
      </c>
      <c r="H19" s="478">
        <f>-RegAmort!G42</f>
        <v>-10</v>
      </c>
      <c r="I19" s="478">
        <f>-RegAmort!H42</f>
        <v>-10</v>
      </c>
      <c r="J19" s="478">
        <f>-RegAmort!I42</f>
        <v>-10</v>
      </c>
      <c r="K19" s="478">
        <f>-RegAmort!J42</f>
        <v>-10</v>
      </c>
      <c r="L19" s="478">
        <f>-RegAmort!K42</f>
        <v>-11</v>
      </c>
      <c r="M19" s="478">
        <f>-RegAmort!L42</f>
        <v>-10</v>
      </c>
      <c r="N19" s="478">
        <f>-RegAmort!M42</f>
        <v>-11</v>
      </c>
      <c r="O19" s="478">
        <f>-RegAmort!N42</f>
        <v>-10</v>
      </c>
      <c r="P19" s="246">
        <f t="shared" si="0"/>
        <v>-122</v>
      </c>
      <c r="Q19" s="247">
        <f t="shared" si="3"/>
        <v>-80</v>
      </c>
      <c r="R19" s="246">
        <f t="shared" si="1"/>
        <v>-42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">
      <c r="A20" s="457" t="s">
        <v>719</v>
      </c>
      <c r="B20" s="253" t="s">
        <v>829</v>
      </c>
      <c r="D20" s="478">
        <f>-RegAmort!C43</f>
        <v>-31</v>
      </c>
      <c r="E20" s="478">
        <f>-RegAmort!D43</f>
        <v>-31</v>
      </c>
      <c r="F20" s="478">
        <f>-RegAmort!E43</f>
        <v>-31</v>
      </c>
      <c r="G20" s="478">
        <f>-RegAmort!F43</f>
        <v>-31</v>
      </c>
      <c r="H20" s="478">
        <f>-RegAmort!G43</f>
        <v>-31</v>
      </c>
      <c r="I20" s="478">
        <f>-RegAmort!H43</f>
        <v>-31</v>
      </c>
      <c r="J20" s="478">
        <f>-RegAmort!I43</f>
        <v>-31</v>
      </c>
      <c r="K20" s="478">
        <f>-RegAmort!J43</f>
        <v>-32</v>
      </c>
      <c r="L20" s="478">
        <f>-RegAmort!K43</f>
        <v>-31</v>
      </c>
      <c r="M20" s="478">
        <f>-RegAmort!L43</f>
        <v>-32</v>
      </c>
      <c r="N20" s="478">
        <f>-RegAmort!M43</f>
        <v>-31</v>
      </c>
      <c r="O20" s="478">
        <f>-RegAmort!N43</f>
        <v>-32</v>
      </c>
      <c r="P20" s="246">
        <f t="shared" si="0"/>
        <v>-375</v>
      </c>
      <c r="Q20" s="247">
        <f t="shared" si="3"/>
        <v>-249</v>
      </c>
      <c r="R20" s="246">
        <f t="shared" si="1"/>
        <v>-126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">
      <c r="A21" s="457" t="s">
        <v>719</v>
      </c>
      <c r="B21" s="253" t="s">
        <v>830</v>
      </c>
      <c r="D21" s="478">
        <f>-RegAmort!C44</f>
        <v>-45</v>
      </c>
      <c r="E21" s="478">
        <f>-RegAmort!D44</f>
        <v>-45</v>
      </c>
      <c r="F21" s="478">
        <f>-RegAmort!E44</f>
        <v>-45</v>
      </c>
      <c r="G21" s="478">
        <f>-RegAmort!F44</f>
        <v>-45</v>
      </c>
      <c r="H21" s="478">
        <f>-RegAmort!G44</f>
        <v>-45</v>
      </c>
      <c r="I21" s="478">
        <f>-RegAmort!H44</f>
        <v>-45</v>
      </c>
      <c r="J21" s="478">
        <f>-RegAmort!I44</f>
        <v>-45</v>
      </c>
      <c r="K21" s="478">
        <f>-RegAmort!J44</f>
        <v>-45</v>
      </c>
      <c r="L21" s="478">
        <f>-RegAmort!K44</f>
        <v>-45</v>
      </c>
      <c r="M21" s="478">
        <f>-RegAmort!L44</f>
        <v>-45</v>
      </c>
      <c r="N21" s="478">
        <f>-RegAmort!M44</f>
        <v>-44</v>
      </c>
      <c r="O21" s="478">
        <f>-RegAmort!N44</f>
        <v>-45</v>
      </c>
      <c r="P21" s="246">
        <f t="shared" si="0"/>
        <v>-539</v>
      </c>
      <c r="Q21" s="247">
        <f t="shared" si="3"/>
        <v>-360</v>
      </c>
      <c r="R21" s="246">
        <f t="shared" si="1"/>
        <v>-179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">
      <c r="A22" s="457" t="s">
        <v>719</v>
      </c>
      <c r="B22" s="253" t="s">
        <v>831</v>
      </c>
      <c r="D22" s="478">
        <f>-RegAmort!C45</f>
        <v>-53</v>
      </c>
      <c r="E22" s="478">
        <f>-RegAmort!D45</f>
        <v>-53</v>
      </c>
      <c r="F22" s="478">
        <f>-RegAmort!E45</f>
        <v>-53</v>
      </c>
      <c r="G22" s="478">
        <f>-RegAmort!F45</f>
        <v>-53</v>
      </c>
      <c r="H22" s="478">
        <f>-RegAmort!G45</f>
        <v>-53</v>
      </c>
      <c r="I22" s="478">
        <f>-RegAmort!H45</f>
        <v>-53</v>
      </c>
      <c r="J22" s="478">
        <f>-RegAmort!I45</f>
        <v>-53</v>
      </c>
      <c r="K22" s="478">
        <f>-RegAmort!J45</f>
        <v>-52</v>
      </c>
      <c r="L22" s="478">
        <f>-RegAmort!K45</f>
        <v>-53</v>
      </c>
      <c r="M22" s="478">
        <f>-RegAmort!L45</f>
        <v>-53</v>
      </c>
      <c r="N22" s="478">
        <f>-RegAmort!M45</f>
        <v>-52</v>
      </c>
      <c r="O22" s="478">
        <f>-RegAmort!N45</f>
        <v>-53</v>
      </c>
      <c r="P22" s="246">
        <f t="shared" si="0"/>
        <v>-634</v>
      </c>
      <c r="Q22" s="247">
        <f t="shared" si="3"/>
        <v>-423</v>
      </c>
      <c r="R22" s="246">
        <f t="shared" si="1"/>
        <v>-211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">
      <c r="A23" s="457" t="s">
        <v>719</v>
      </c>
      <c r="B23" s="253" t="s">
        <v>832</v>
      </c>
      <c r="D23" s="478">
        <f>-RegAmort!C46</f>
        <v>-11</v>
      </c>
      <c r="E23" s="478">
        <f>-RegAmort!D46</f>
        <v>-11</v>
      </c>
      <c r="F23" s="478">
        <f>-RegAmort!E46</f>
        <v>-11</v>
      </c>
      <c r="G23" s="478">
        <f>-RegAmort!F46</f>
        <v>-11</v>
      </c>
      <c r="H23" s="478">
        <f>-RegAmort!G46</f>
        <v>-11</v>
      </c>
      <c r="I23" s="478">
        <f>-RegAmort!H46</f>
        <v>-11</v>
      </c>
      <c r="J23" s="478">
        <f>-RegAmort!I46</f>
        <v>-11</v>
      </c>
      <c r="K23" s="478">
        <f>-RegAmort!J46</f>
        <v>-11</v>
      </c>
      <c r="L23" s="478">
        <f>-RegAmort!K46</f>
        <v>-10</v>
      </c>
      <c r="M23" s="478">
        <f>-RegAmort!L46</f>
        <v>-11</v>
      </c>
      <c r="N23" s="478">
        <f>-RegAmort!M46</f>
        <v>-11</v>
      </c>
      <c r="O23" s="478">
        <f>-RegAmort!N46</f>
        <v>-10</v>
      </c>
      <c r="P23" s="246">
        <f t="shared" si="0"/>
        <v>-130</v>
      </c>
      <c r="Q23" s="247">
        <f t="shared" si="3"/>
        <v>-88</v>
      </c>
      <c r="R23" s="246">
        <f t="shared" si="1"/>
        <v>-42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">
      <c r="A24" s="457" t="s">
        <v>719</v>
      </c>
      <c r="B24" s="253" t="s">
        <v>833</v>
      </c>
      <c r="D24" s="478">
        <f>-RegAmort!C47</f>
        <v>-7</v>
      </c>
      <c r="E24" s="478">
        <f>-RegAmort!D47</f>
        <v>-7</v>
      </c>
      <c r="F24" s="478">
        <f>-RegAmort!E47</f>
        <v>-7</v>
      </c>
      <c r="G24" s="478">
        <f>-RegAmort!F47</f>
        <v>-7</v>
      </c>
      <c r="H24" s="478">
        <f>-RegAmort!G47</f>
        <v>-7</v>
      </c>
      <c r="I24" s="478">
        <f>-RegAmort!H47</f>
        <v>-7</v>
      </c>
      <c r="J24" s="478">
        <f>-RegAmort!I47</f>
        <v>-7</v>
      </c>
      <c r="K24" s="478">
        <f>-RegAmort!J47</f>
        <v>-7</v>
      </c>
      <c r="L24" s="478">
        <f>-RegAmort!K47</f>
        <v>-7</v>
      </c>
      <c r="M24" s="478">
        <f>-RegAmort!L47</f>
        <v>-7</v>
      </c>
      <c r="N24" s="478">
        <f>-RegAmort!M47</f>
        <v>-7</v>
      </c>
      <c r="O24" s="478">
        <f>-RegAmort!N47</f>
        <v>-7</v>
      </c>
      <c r="P24" s="246">
        <f t="shared" si="0"/>
        <v>-84</v>
      </c>
      <c r="Q24" s="247">
        <f t="shared" si="3"/>
        <v>-56</v>
      </c>
      <c r="R24" s="246">
        <f t="shared" si="1"/>
        <v>-28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">
      <c r="A25" s="458" t="s">
        <v>822</v>
      </c>
      <c r="B25" s="252" t="s">
        <v>834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-80</v>
      </c>
      <c r="R25" s="246">
        <f t="shared" si="1"/>
        <v>-40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">
      <c r="A26" s="457" t="s">
        <v>719</v>
      </c>
      <c r="B26" s="252" t="s">
        <v>835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-109</v>
      </c>
      <c r="N26" s="246">
        <f>-RegAmort!M33</f>
        <v>-109</v>
      </c>
      <c r="O26" s="246">
        <f>-RegAmort!N33</f>
        <v>-109</v>
      </c>
      <c r="P26" s="246">
        <f>SUM(D26:O26)</f>
        <v>-1199</v>
      </c>
      <c r="Q26" s="247">
        <f t="shared" si="3"/>
        <v>-872</v>
      </c>
      <c r="R26" s="246">
        <f>P26-Q26</f>
        <v>-327</v>
      </c>
      <c r="S26" s="247"/>
      <c r="T26" s="531">
        <f t="shared" si="2"/>
        <v>-1199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">
      <c r="A27" s="457" t="s">
        <v>262</v>
      </c>
      <c r="B27" s="252" t="s">
        <v>845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1308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1308</v>
      </c>
      <c r="Q27" s="247">
        <f t="shared" si="3"/>
        <v>0</v>
      </c>
      <c r="R27" s="246">
        <f>P27-Q27</f>
        <v>1308</v>
      </c>
      <c r="S27" s="247"/>
      <c r="T27" s="531">
        <f t="shared" si="2"/>
        <v>1308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">
      <c r="A28" s="458" t="s">
        <v>822</v>
      </c>
      <c r="B28" s="500" t="s">
        <v>846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-857</v>
      </c>
      <c r="R28" s="246">
        <f t="shared" si="1"/>
        <v>-428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">
      <c r="A29" s="458" t="s">
        <v>167</v>
      </c>
      <c r="B29" s="245" t="s">
        <v>167</v>
      </c>
      <c r="C29" s="502" t="s">
        <v>817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">
      <c r="A30" s="458" t="s">
        <v>822</v>
      </c>
      <c r="B30" s="500" t="s">
        <v>859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-32</v>
      </c>
      <c r="R30" s="246">
        <f t="shared" ref="R30:R41" si="5">P30-Q30</f>
        <v>-16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">
      <c r="A31" s="457" t="s">
        <v>169</v>
      </c>
      <c r="B31" s="500" t="s">
        <v>860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-400</v>
      </c>
      <c r="R31" s="246">
        <f t="shared" si="5"/>
        <v>-200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">
      <c r="A32" s="457" t="s">
        <v>169</v>
      </c>
      <c r="B32" s="245" t="s">
        <v>861</v>
      </c>
      <c r="D32" s="246">
        <f>-'Fuel-Depr-OtherTax'!C20</f>
        <v>-17</v>
      </c>
      <c r="E32" s="246">
        <f>-'Fuel-Depr-OtherTax'!D20</f>
        <v>17</v>
      </c>
      <c r="F32" s="246">
        <f>-'Fuel-Depr-OtherTax'!E20</f>
        <v>-52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-18</v>
      </c>
      <c r="J32" s="246">
        <f>-'Fuel-Depr-OtherTax'!I20</f>
        <v>-17</v>
      </c>
      <c r="K32" s="246">
        <f>-'Fuel-Depr-OtherTax'!J20</f>
        <v>-18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-18</v>
      </c>
      <c r="O32" s="246">
        <f>-'Fuel-Depr-OtherTax'!N20</f>
        <v>-18</v>
      </c>
      <c r="P32" s="246">
        <f t="shared" si="4"/>
        <v>-209</v>
      </c>
      <c r="Q32" s="247">
        <f t="shared" si="3"/>
        <v>-139</v>
      </c>
      <c r="R32" s="246">
        <f t="shared" si="5"/>
        <v>-70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">
      <c r="A33" s="458" t="s">
        <v>822</v>
      </c>
      <c r="B33" s="445" t="s">
        <v>862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-57</v>
      </c>
      <c r="R33" s="246">
        <f t="shared" si="5"/>
        <v>-30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">
      <c r="A34" s="457" t="s">
        <v>719</v>
      </c>
      <c r="B34" s="547" t="s">
        <v>863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-304</v>
      </c>
      <c r="R34" s="246">
        <f t="shared" si="5"/>
        <v>-151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">
      <c r="A35" s="458" t="s">
        <v>167</v>
      </c>
      <c r="B35" s="245" t="s">
        <v>167</v>
      </c>
      <c r="C35" s="502" t="s">
        <v>817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">
      <c r="A37" s="457" t="s">
        <v>169</v>
      </c>
      <c r="B37" s="252" t="s">
        <v>864</v>
      </c>
      <c r="D37" s="246">
        <f>SUM('Fuel-Depr-OtherTax'!C17:C22)</f>
        <v>1027</v>
      </c>
      <c r="E37" s="246">
        <f>SUM('Fuel-Depr-OtherTax'!D17:D22)</f>
        <v>993</v>
      </c>
      <c r="F37" s="246">
        <f>SUM('Fuel-Depr-OtherTax'!E17:E22)</f>
        <v>1037</v>
      </c>
      <c r="G37" s="246">
        <f>SUM('Fuel-Depr-OtherTax'!F17:F22)</f>
        <v>1049</v>
      </c>
      <c r="H37" s="246">
        <f>SUM('Fuel-Depr-OtherTax'!G17:G22)</f>
        <v>1006</v>
      </c>
      <c r="I37" s="246">
        <f>SUM('Fuel-Depr-OtherTax'!H17:H22)</f>
        <v>1116</v>
      </c>
      <c r="J37" s="246">
        <f>SUM('Fuel-Depr-OtherTax'!I17:I22)</f>
        <v>1054</v>
      </c>
      <c r="K37" s="246">
        <f>SUM('Fuel-Depr-OtherTax'!J17:J22)</f>
        <v>1056</v>
      </c>
      <c r="L37" s="246">
        <f>SUM('Fuel-Depr-OtherTax'!K17:K22)</f>
        <v>1106</v>
      </c>
      <c r="M37" s="246">
        <f>SUM('Fuel-Depr-OtherTax'!L17:L22)</f>
        <v>1206</v>
      </c>
      <c r="N37" s="246">
        <f>SUM('Fuel-Depr-OtherTax'!M17:M22)</f>
        <v>1306</v>
      </c>
      <c r="O37" s="246">
        <f>SUM('Fuel-Depr-OtherTax'!N17:N22)</f>
        <v>1356</v>
      </c>
      <c r="P37" s="246">
        <f t="shared" si="4"/>
        <v>13312</v>
      </c>
      <c r="Q37" s="247">
        <f t="shared" si="3"/>
        <v>8338</v>
      </c>
      <c r="R37" s="246">
        <f t="shared" si="5"/>
        <v>4974</v>
      </c>
      <c r="S37" s="247"/>
      <c r="T37" s="531">
        <f t="shared" si="6"/>
        <v>13312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">
      <c r="A38" s="457" t="s">
        <v>169</v>
      </c>
      <c r="B38" s="252" t="s">
        <v>865</v>
      </c>
      <c r="D38" s="246">
        <f>-SUM('Fuel-Depr-OtherTax'!C23:C27)</f>
        <v>-594</v>
      </c>
      <c r="E38" s="246">
        <f>-SUM('Fuel-Depr-OtherTax'!D23:D27)</f>
        <v>-594</v>
      </c>
      <c r="F38" s="246">
        <f>-SUM('Fuel-Depr-OtherTax'!E23:E27)</f>
        <v>-594</v>
      </c>
      <c r="G38" s="246">
        <f>-SUM('Fuel-Depr-OtherTax'!F23:F27)</f>
        <v>-594</v>
      </c>
      <c r="H38" s="246">
        <f>-SUM('Fuel-Depr-OtherTax'!G23:G27)</f>
        <v>-594</v>
      </c>
      <c r="I38" s="246">
        <f>-SUM('Fuel-Depr-OtherTax'!H23:H27)</f>
        <v>-594</v>
      </c>
      <c r="J38" s="246">
        <f>-SUM('Fuel-Depr-OtherTax'!I23:I27)</f>
        <v>-594</v>
      </c>
      <c r="K38" s="246">
        <f>-SUM('Fuel-Depr-OtherTax'!J23:J27)</f>
        <v>-594</v>
      </c>
      <c r="L38" s="246">
        <f>-SUM('Fuel-Depr-OtherTax'!K23:K27)</f>
        <v>-594</v>
      </c>
      <c r="M38" s="246">
        <f>-SUM('Fuel-Depr-OtherTax'!L23:L27)</f>
        <v>-594</v>
      </c>
      <c r="N38" s="246">
        <f>-SUM('Fuel-Depr-OtherTax'!M23:M27)</f>
        <v>-594</v>
      </c>
      <c r="O38" s="246">
        <f>-SUM('Fuel-Depr-OtherTax'!N23:N27)</f>
        <v>-594</v>
      </c>
      <c r="P38" s="246">
        <f t="shared" si="4"/>
        <v>-7128</v>
      </c>
      <c r="Q38" s="247">
        <f t="shared" si="3"/>
        <v>-4752</v>
      </c>
      <c r="R38" s="246">
        <f t="shared" si="5"/>
        <v>-2376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">
      <c r="A39" s="457" t="s">
        <v>169</v>
      </c>
      <c r="B39" s="252" t="s">
        <v>866</v>
      </c>
      <c r="D39" s="246">
        <f>'Fuel-Depr-OtherTax'!C29</f>
        <v>1621</v>
      </c>
      <c r="E39" s="246">
        <f>'Fuel-Depr-OtherTax'!D29</f>
        <v>1587</v>
      </c>
      <c r="F39" s="246">
        <f>'Fuel-Depr-OtherTax'!E29</f>
        <v>1631</v>
      </c>
      <c r="G39" s="246">
        <f>'Fuel-Depr-OtherTax'!F29</f>
        <v>1643</v>
      </c>
      <c r="H39" s="246">
        <f>'Fuel-Depr-OtherTax'!G29</f>
        <v>1600</v>
      </c>
      <c r="I39" s="246">
        <f>'Fuel-Depr-OtherTax'!H29</f>
        <v>1710</v>
      </c>
      <c r="J39" s="246">
        <f>'Fuel-Depr-OtherTax'!I29</f>
        <v>1648</v>
      </c>
      <c r="K39" s="246">
        <f>'Fuel-Depr-OtherTax'!J29</f>
        <v>1650</v>
      </c>
      <c r="L39" s="246">
        <f>'Fuel-Depr-OtherTax'!K29</f>
        <v>1700</v>
      </c>
      <c r="M39" s="246">
        <f>'Fuel-Depr-OtherTax'!L29</f>
        <v>1800</v>
      </c>
      <c r="N39" s="246">
        <f>'Fuel-Depr-OtherTax'!M29</f>
        <v>1900</v>
      </c>
      <c r="O39" s="246">
        <f>'Fuel-Depr-OtherTax'!N29</f>
        <v>1950</v>
      </c>
      <c r="P39" s="246">
        <f t="shared" si="4"/>
        <v>20440</v>
      </c>
      <c r="Q39" s="247">
        <f t="shared" si="3"/>
        <v>13090</v>
      </c>
      <c r="R39" s="246">
        <f t="shared" si="5"/>
        <v>7350</v>
      </c>
      <c r="S39" s="247"/>
      <c r="T39" s="531">
        <f t="shared" si="6"/>
        <v>20440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">
      <c r="A40" s="457" t="s">
        <v>169</v>
      </c>
      <c r="B40" s="252" t="s">
        <v>867</v>
      </c>
      <c r="D40" s="246">
        <f>-SUM('Fuel-Depr-OtherTax'!C37:C46)</f>
        <v>-130</v>
      </c>
      <c r="E40" s="246">
        <f>-SUM('Fuel-Depr-OtherTax'!D37:D46)</f>
        <v>-178</v>
      </c>
      <c r="F40" s="246">
        <f>-SUM('Fuel-Depr-OtherTax'!E37:E46)</f>
        <v>-90</v>
      </c>
      <c r="G40" s="246">
        <f>-SUM('Fuel-Depr-OtherTax'!F37:F46)</f>
        <v>-84</v>
      </c>
      <c r="H40" s="246">
        <f>-SUM('Fuel-Depr-OtherTax'!G37:G46)</f>
        <v>-89</v>
      </c>
      <c r="I40" s="246">
        <f>-SUM('Fuel-Depr-OtherTax'!H37:H46)</f>
        <v>-88</v>
      </c>
      <c r="J40" s="246">
        <f>-SUM('Fuel-Depr-OtherTax'!I37:I46)</f>
        <v>-80</v>
      </c>
      <c r="K40" s="246">
        <f>-SUM('Fuel-Depr-OtherTax'!J37:J46)</f>
        <v>-76</v>
      </c>
      <c r="L40" s="246">
        <f>-SUM('Fuel-Depr-OtherTax'!K37:K46)</f>
        <v>-94</v>
      </c>
      <c r="M40" s="246">
        <f>-SUM('Fuel-Depr-OtherTax'!L37:L46)</f>
        <v>-92</v>
      </c>
      <c r="N40" s="246">
        <f>-SUM('Fuel-Depr-OtherTax'!M37:M46)</f>
        <v>-92</v>
      </c>
      <c r="O40" s="246">
        <f>-SUM('Fuel-Depr-OtherTax'!N37:N46)</f>
        <v>-92</v>
      </c>
      <c r="P40" s="246">
        <f t="shared" si="4"/>
        <v>-1185</v>
      </c>
      <c r="Q40" s="247">
        <f t="shared" si="3"/>
        <v>-815</v>
      </c>
      <c r="R40" s="246">
        <f t="shared" si="5"/>
        <v>-370</v>
      </c>
      <c r="S40" s="247"/>
      <c r="T40" s="531">
        <f t="shared" si="6"/>
        <v>-1185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">
      <c r="A41" s="457" t="s">
        <v>169</v>
      </c>
      <c r="B41" s="252" t="s">
        <v>868</v>
      </c>
      <c r="D41" s="246">
        <f>'Fuel-Depr-OtherTax'!C51</f>
        <v>956</v>
      </c>
      <c r="E41" s="246">
        <f>'Fuel-Depr-OtherTax'!D51</f>
        <v>1007</v>
      </c>
      <c r="F41" s="246">
        <f>'Fuel-Depr-OtherTax'!E51</f>
        <v>914</v>
      </c>
      <c r="G41" s="246">
        <f>'Fuel-Depr-OtherTax'!F51</f>
        <v>909</v>
      </c>
      <c r="H41" s="246">
        <f>'Fuel-Depr-OtherTax'!G51</f>
        <v>913</v>
      </c>
      <c r="I41" s="246">
        <f>'Fuel-Depr-OtherTax'!H51</f>
        <v>917</v>
      </c>
      <c r="J41" s="246">
        <f>'Fuel-Depr-OtherTax'!I51</f>
        <v>905</v>
      </c>
      <c r="K41" s="246">
        <f>'Fuel-Depr-OtherTax'!J51</f>
        <v>901</v>
      </c>
      <c r="L41" s="246">
        <f>'Fuel-Depr-OtherTax'!K51</f>
        <v>919</v>
      </c>
      <c r="M41" s="246">
        <f>'Fuel-Depr-OtherTax'!L51</f>
        <v>917</v>
      </c>
      <c r="N41" s="246">
        <f>'Fuel-Depr-OtherTax'!M51</f>
        <v>917</v>
      </c>
      <c r="O41" s="246">
        <f>'Fuel-Depr-OtherTax'!N51</f>
        <v>917</v>
      </c>
      <c r="P41" s="246">
        <f t="shared" si="4"/>
        <v>11092</v>
      </c>
      <c r="Q41" s="247">
        <f t="shared" si="3"/>
        <v>7422</v>
      </c>
      <c r="R41" s="246">
        <f t="shared" si="5"/>
        <v>3670</v>
      </c>
      <c r="S41" s="247"/>
      <c r="T41" s="531">
        <f t="shared" si="6"/>
        <v>11092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">
      <c r="A43" s="457" t="s">
        <v>869</v>
      </c>
      <c r="B43" s="252" t="s">
        <v>870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">
      <c r="A44" s="458" t="s">
        <v>262</v>
      </c>
      <c r="B44" s="453" t="s">
        <v>871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">
      <c r="A45" s="458" t="s">
        <v>262</v>
      </c>
      <c r="B45" s="460" t="s">
        <v>872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">
      <c r="A46" s="458" t="s">
        <v>262</v>
      </c>
      <c r="B46" s="252" t="s">
        <v>279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8</v>
      </c>
      <c r="K46" s="246">
        <f>-DeferredTax!Y125-DeferredTax!Y128</f>
        <v>244</v>
      </c>
      <c r="L46" s="246">
        <f>-DeferredTax!Z125-DeferredTax!Z128</f>
        <v>-244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161</v>
      </c>
      <c r="P46" s="246">
        <f t="shared" si="7"/>
        <v>12449</v>
      </c>
      <c r="Q46" s="247">
        <f t="shared" si="3"/>
        <v>12532</v>
      </c>
      <c r="R46" s="246">
        <f t="shared" si="8"/>
        <v>-83</v>
      </c>
      <c r="S46" s="247"/>
      <c r="T46" s="531">
        <f>SUM(D46:O46)</f>
        <v>12449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">
      <c r="A47" s="457" t="s">
        <v>873</v>
      </c>
      <c r="B47" s="252" t="s">
        <v>874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">
      <c r="A48" s="457" t="s">
        <v>873</v>
      </c>
      <c r="B48" s="252" t="s">
        <v>875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">
      <c r="A49" s="457" t="s">
        <v>873</v>
      </c>
      <c r="B49" s="252" t="s">
        <v>187</v>
      </c>
      <c r="C49" s="502" t="s">
        <v>817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">
      <c r="A51" s="458" t="s">
        <v>262</v>
      </c>
      <c r="B51" s="252" t="s">
        <v>876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-4002</v>
      </c>
      <c r="K51" s="246">
        <f>-IncomeState!J51-SUM(DeferredTax!Y71:Y73)-DeferredTax!Y79</f>
        <v>-3862</v>
      </c>
      <c r="L51" s="246">
        <f>-IncomeState!K51-SUM(DeferredTax!Z71:Z73)-DeferredTax!Z79</f>
        <v>-3285</v>
      </c>
      <c r="M51" s="246">
        <f>-IncomeState!L51-SUM(DeferredTax!AA71:AA73)-DeferredTax!AA79</f>
        <v>-420</v>
      </c>
      <c r="N51" s="246">
        <f>-IncomeState!M51-SUM(DeferredTax!AB71:AB73)-DeferredTax!AB79</f>
        <v>-4103</v>
      </c>
      <c r="O51" s="246">
        <f>-IncomeState!N51-SUM(DeferredTax!AC71:AC73)-DeferredTax!AC79</f>
        <v>-3723</v>
      </c>
      <c r="P51" s="246">
        <f t="shared" si="7"/>
        <v>-47745</v>
      </c>
      <c r="Q51" s="247">
        <f t="shared" si="3"/>
        <v>-36214</v>
      </c>
      <c r="R51" s="246">
        <f t="shared" si="8"/>
        <v>-11531</v>
      </c>
      <c r="S51" s="247"/>
      <c r="T51" s="531">
        <f t="shared" ref="T51:T63" si="9">SUM(D51:O51)</f>
        <v>-47745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">
      <c r="A52" s="457" t="s">
        <v>836</v>
      </c>
      <c r="B52" s="252" t="s">
        <v>877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">
      <c r="A53" s="457" t="s">
        <v>836</v>
      </c>
      <c r="B53" s="252" t="s">
        <v>888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256</v>
      </c>
      <c r="K53" s="246">
        <f>DeferredTax!Y84</f>
        <v>100</v>
      </c>
      <c r="L53" s="246">
        <f>DeferredTax!Z84</f>
        <v>747</v>
      </c>
      <c r="M53" s="246">
        <f>DeferredTax!AA84</f>
        <v>3257</v>
      </c>
      <c r="N53" s="246">
        <f>DeferredTax!AB84</f>
        <v>-753</v>
      </c>
      <c r="O53" s="246">
        <f>DeferredTax!AC84</f>
        <v>-60</v>
      </c>
      <c r="P53" s="246">
        <f t="shared" si="7"/>
        <v>163</v>
      </c>
      <c r="Q53" s="247">
        <f t="shared" si="3"/>
        <v>-3028</v>
      </c>
      <c r="R53" s="246">
        <f t="shared" si="8"/>
        <v>3191</v>
      </c>
      <c r="S53" s="247"/>
      <c r="T53" s="531">
        <f t="shared" si="9"/>
        <v>163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">
      <c r="A54" s="457" t="s">
        <v>836</v>
      </c>
      <c r="B54" s="252" t="s">
        <v>889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256</v>
      </c>
      <c r="K54" s="246">
        <f>DeferredTax!Y81</f>
        <v>100</v>
      </c>
      <c r="L54" s="246">
        <f>DeferredTax!Z81</f>
        <v>747</v>
      </c>
      <c r="M54" s="246">
        <f>DeferredTax!AA81</f>
        <v>3257</v>
      </c>
      <c r="N54" s="246">
        <f>DeferredTax!AB81</f>
        <v>-753</v>
      </c>
      <c r="O54" s="246">
        <f>DeferredTax!AC81</f>
        <v>-60</v>
      </c>
      <c r="P54" s="246">
        <f t="shared" si="7"/>
        <v>163</v>
      </c>
      <c r="Q54" s="247">
        <f t="shared" si="3"/>
        <v>-3028</v>
      </c>
      <c r="R54" s="246">
        <f t="shared" si="8"/>
        <v>3191</v>
      </c>
      <c r="S54" s="247"/>
      <c r="T54" s="531">
        <f t="shared" si="9"/>
        <v>163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">
      <c r="A55" s="458" t="s">
        <v>264</v>
      </c>
      <c r="B55" s="252" t="s">
        <v>890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4434</v>
      </c>
      <c r="K55" s="246">
        <f>IncomeState!J54</f>
        <v>4137</v>
      </c>
      <c r="L55" s="246">
        <f>IncomeState!K54</f>
        <v>4207</v>
      </c>
      <c r="M55" s="246">
        <f>IncomeState!L54</f>
        <v>3852</v>
      </c>
      <c r="N55" s="246">
        <f>IncomeState!M54</f>
        <v>3525</v>
      </c>
      <c r="O55" s="246">
        <f>IncomeState!N54</f>
        <v>3838</v>
      </c>
      <c r="P55" s="246">
        <f t="shared" si="7"/>
        <v>50008</v>
      </c>
      <c r="Q55" s="247">
        <f t="shared" si="3"/>
        <v>34586</v>
      </c>
      <c r="R55" s="246">
        <f t="shared" si="8"/>
        <v>15422</v>
      </c>
      <c r="S55" s="247"/>
      <c r="T55" s="531">
        <f t="shared" si="9"/>
        <v>50008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">
      <c r="A56" s="458" t="s">
        <v>264</v>
      </c>
      <c r="B56" s="252" t="s">
        <v>891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6915</v>
      </c>
      <c r="K56" s="246">
        <f>IncomeState!J56</f>
        <v>6452</v>
      </c>
      <c r="L56" s="246">
        <f>IncomeState!K56</f>
        <v>6558</v>
      </c>
      <c r="M56" s="246">
        <f>IncomeState!L56</f>
        <v>5998</v>
      </c>
      <c r="N56" s="246">
        <f>IncomeState!M56</f>
        <v>5486</v>
      </c>
      <c r="O56" s="246">
        <f>IncomeState!N56</f>
        <v>5977</v>
      </c>
      <c r="P56" s="246">
        <f t="shared" si="7"/>
        <v>77953</v>
      </c>
      <c r="Q56" s="247">
        <f t="shared" si="3"/>
        <v>53934</v>
      </c>
      <c r="R56" s="246">
        <f t="shared" si="8"/>
        <v>24019</v>
      </c>
      <c r="S56" s="247"/>
      <c r="T56" s="531">
        <f t="shared" si="9"/>
        <v>77953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">
      <c r="A58" s="457" t="s">
        <v>869</v>
      </c>
      <c r="B58" s="147" t="s">
        <v>280</v>
      </c>
      <c r="C58" s="502"/>
      <c r="D58" s="478">
        <f>OtherInc!C28</f>
        <v>7</v>
      </c>
      <c r="E58" s="478">
        <f>OtherInc!D28</f>
        <v>7</v>
      </c>
      <c r="F58" s="478">
        <f>OtherInc!E28</f>
        <v>5</v>
      </c>
      <c r="G58" s="478">
        <f>OtherInc!F28</f>
        <v>5</v>
      </c>
      <c r="H58" s="478">
        <f>OtherInc!G28</f>
        <v>4</v>
      </c>
      <c r="I58" s="478">
        <f>OtherInc!H28</f>
        <v>7</v>
      </c>
      <c r="J58" s="478">
        <f>OtherInc!I28</f>
        <v>23</v>
      </c>
      <c r="K58" s="478">
        <f>OtherInc!J28</f>
        <v>21</v>
      </c>
      <c r="L58" s="478">
        <f>OtherInc!K28</f>
        <v>8</v>
      </c>
      <c r="M58" s="478">
        <f>OtherInc!L28</f>
        <v>5</v>
      </c>
      <c r="N58" s="478">
        <f>OtherInc!M28</f>
        <v>8</v>
      </c>
      <c r="O58" s="478">
        <f>OtherInc!N28</f>
        <v>8</v>
      </c>
      <c r="P58" s="246">
        <f t="shared" ref="P58:P70" si="10">SUM(D58:O58)</f>
        <v>108</v>
      </c>
      <c r="Q58" s="247">
        <f t="shared" si="3"/>
        <v>79</v>
      </c>
      <c r="R58" s="246">
        <f t="shared" ref="R58:R70" si="11">P58-Q58</f>
        <v>29</v>
      </c>
      <c r="S58" s="246"/>
      <c r="T58" s="531">
        <f t="shared" si="9"/>
        <v>108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">
      <c r="A59" s="457" t="s">
        <v>869</v>
      </c>
      <c r="B59" s="147" t="s">
        <v>281</v>
      </c>
      <c r="C59" s="502"/>
      <c r="D59" s="478">
        <f>OtherInc!C29</f>
        <v>-7</v>
      </c>
      <c r="E59" s="478">
        <f>OtherInc!D29</f>
        <v>-7</v>
      </c>
      <c r="F59" s="478">
        <f>OtherInc!E29</f>
        <v>-7</v>
      </c>
      <c r="G59" s="478">
        <f>OtherInc!F29</f>
        <v>-8</v>
      </c>
      <c r="H59" s="478">
        <f>OtherInc!G29</f>
        <v>-7</v>
      </c>
      <c r="I59" s="478">
        <f>OtherInc!H29</f>
        <v>-7</v>
      </c>
      <c r="J59" s="478">
        <f>OtherInc!I29</f>
        <v>-7</v>
      </c>
      <c r="K59" s="478">
        <f>OtherInc!J29</f>
        <v>-7</v>
      </c>
      <c r="L59" s="478">
        <f>OtherInc!K29</f>
        <v>-7</v>
      </c>
      <c r="M59" s="478">
        <f>OtherInc!L29</f>
        <v>-7</v>
      </c>
      <c r="N59" s="478">
        <f>OtherInc!M29</f>
        <v>-7</v>
      </c>
      <c r="O59" s="478">
        <f>OtherInc!N29</f>
        <v>-7</v>
      </c>
      <c r="P59" s="246">
        <f t="shared" si="10"/>
        <v>-85</v>
      </c>
      <c r="Q59" s="247">
        <f t="shared" si="3"/>
        <v>-57</v>
      </c>
      <c r="R59" s="246">
        <f t="shared" si="11"/>
        <v>-28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">
      <c r="A60" s="457" t="s">
        <v>869</v>
      </c>
      <c r="B60" s="147" t="s">
        <v>303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-4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124</v>
      </c>
      <c r="Q60" s="247">
        <f t="shared" si="3"/>
        <v>124</v>
      </c>
      <c r="R60" s="246">
        <f t="shared" si="11"/>
        <v>0</v>
      </c>
      <c r="S60" s="246"/>
      <c r="T60" s="531">
        <f t="shared" si="9"/>
        <v>124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">
      <c r="A61" s="457"/>
      <c r="B61" s="453" t="s">
        <v>118</v>
      </c>
      <c r="C61" s="502" t="s">
        <v>817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">
      <c r="A62" s="457"/>
      <c r="B62" s="453" t="s">
        <v>118</v>
      </c>
      <c r="C62" s="502" t="s">
        <v>817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">
      <c r="A63" s="458"/>
      <c r="B63" s="453" t="s">
        <v>118</v>
      </c>
      <c r="C63" s="502" t="s">
        <v>817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">
      <c r="A64" s="457"/>
      <c r="B64" s="453" t="s">
        <v>118</v>
      </c>
      <c r="C64" s="502" t="s">
        <v>817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">
      <c r="A65" s="457"/>
      <c r="B65" s="453" t="s">
        <v>118</v>
      </c>
      <c r="C65" s="502" t="s">
        <v>817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">
      <c r="A66" s="457"/>
      <c r="B66" s="453" t="s">
        <v>118</v>
      </c>
      <c r="C66" s="502" t="s">
        <v>817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">
      <c r="A67" s="458"/>
      <c r="B67" s="453" t="s">
        <v>118</v>
      </c>
      <c r="C67" s="502" t="s">
        <v>817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">
      <c r="A68" s="458"/>
      <c r="B68" s="453" t="s">
        <v>118</v>
      </c>
      <c r="C68" s="502" t="s">
        <v>817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">
      <c r="A69" s="457"/>
      <c r="B69" s="453" t="s">
        <v>118</v>
      </c>
      <c r="C69" s="502" t="s">
        <v>817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">
      <c r="A70" s="457"/>
      <c r="B70" s="453" t="s">
        <v>118</v>
      </c>
      <c r="C70" s="502" t="s">
        <v>817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">
      <c r="A71" s="457"/>
      <c r="B71" s="453" t="s">
        <v>118</v>
      </c>
      <c r="C71" s="502" t="s">
        <v>817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5" customHeight="1" x14ac:dyDescent="0.2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">
      <c r="A73" s="457"/>
      <c r="B73" s="462" t="s">
        <v>892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23428</v>
      </c>
      <c r="K73" s="461">
        <f t="shared" si="13"/>
        <v>22756</v>
      </c>
      <c r="L73" s="461">
        <f t="shared" si="13"/>
        <v>28646</v>
      </c>
      <c r="M73" s="461">
        <f t="shared" si="13"/>
        <v>34604</v>
      </c>
      <c r="N73" s="461">
        <f t="shared" si="13"/>
        <v>21418</v>
      </c>
      <c r="O73" s="461">
        <f t="shared" si="13"/>
        <v>24843</v>
      </c>
      <c r="P73" s="461">
        <f t="shared" si="13"/>
        <v>310312</v>
      </c>
      <c r="Q73" s="461">
        <f t="shared" si="13"/>
        <v>200801</v>
      </c>
      <c r="R73" s="461">
        <f t="shared" si="13"/>
        <v>109511</v>
      </c>
      <c r="S73" s="251"/>
      <c r="T73" s="531">
        <f t="shared" si="12"/>
        <v>310312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5" customHeight="1" x14ac:dyDescent="0.2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310312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542925</xdr:colOff>
                    <xdr:row>2</xdr:row>
                    <xdr:rowOff>95250</xdr:rowOff>
                  </from>
                  <to>
                    <xdr:col>1</xdr:col>
                    <xdr:colOff>1647825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10.7109375" defaultRowHeight="12.75" x14ac:dyDescent="0.2"/>
  <cols>
    <col min="1" max="1" width="45.7109375" style="1" customWidth="1"/>
    <col min="2" max="2" width="8.7109375" style="726" customWidth="1"/>
    <col min="3" max="14" width="8.7109375" style="1" customWidth="1"/>
    <col min="15" max="17" width="9.7109375" style="1" customWidth="1"/>
    <col min="18" max="20" width="10.7109375" style="1"/>
    <col min="21" max="21" width="35.7109375" style="1" customWidth="1"/>
    <col min="22" max="16384" width="10.7109375" style="1"/>
  </cols>
  <sheetData>
    <row r="1" spans="1:19" x14ac:dyDescent="0.2">
      <c r="A1" s="551" t="str">
        <f ca="1">CELL("FILENAME")</f>
        <v>P:\Finance\2001CE\[TW3rdCEEM.XLS]DataBase</v>
      </c>
      <c r="B1" s="718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x14ac:dyDescent="0.2">
      <c r="A2" s="271" t="s">
        <v>904</v>
      </c>
      <c r="B2" s="718"/>
      <c r="C2" s="475"/>
      <c r="D2" s="272" t="s">
        <v>905</v>
      </c>
      <c r="E2" s="272" t="s">
        <v>905</v>
      </c>
      <c r="F2" s="272" t="s">
        <v>905</v>
      </c>
      <c r="G2" s="485"/>
      <c r="H2" s="272" t="s">
        <v>905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x14ac:dyDescent="0.2">
      <c r="A3" s="550" t="str">
        <f>IncomeState!A3</f>
        <v>2001 CURRENT ESTIMATE</v>
      </c>
      <c r="B3" s="719">
        <f ca="1">NOW()</f>
        <v>37154.402540162038</v>
      </c>
      <c r="C3" s="552" t="str">
        <f>DataBase!C2</f>
        <v>ACT.</v>
      </c>
      <c r="D3" s="552" t="str">
        <f>DataBase!D2</f>
        <v>ACT.</v>
      </c>
      <c r="E3" s="552" t="str">
        <f>DataBase!E2</f>
        <v>ACT.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 t="str">
        <f>DataBase!J2</f>
        <v>ACT.</v>
      </c>
      <c r="K3" s="552" t="str">
        <f>DataBase!K2</f>
        <v>3rd CE</v>
      </c>
      <c r="L3" s="552" t="str">
        <f>DataBase!L2</f>
        <v>3rd CE</v>
      </c>
      <c r="M3" s="552" t="str">
        <f>DataBase!M2</f>
        <v>3rd CE</v>
      </c>
      <c r="N3" s="552" t="str">
        <f>DataBase!N2</f>
        <v>3rd CE</v>
      </c>
      <c r="O3" s="552" t="str">
        <f>DataBase!O2</f>
        <v>TOTAL</v>
      </c>
      <c r="P3" s="686" t="str">
        <f>IncomeState!P6</f>
        <v>AUGUST</v>
      </c>
      <c r="Q3" s="552" t="str">
        <f>IncomeState!Q6</f>
        <v>ESTIMATE</v>
      </c>
      <c r="S3" s="3"/>
    </row>
    <row r="4" spans="1:19" x14ac:dyDescent="0.2">
      <c r="A4" s="274"/>
      <c r="B4" s="720">
        <f ca="1">NOW()</f>
        <v>37154.402540162038</v>
      </c>
      <c r="C4" s="286" t="s">
        <v>906</v>
      </c>
      <c r="D4" s="286" t="s">
        <v>907</v>
      </c>
      <c r="E4" s="286" t="s">
        <v>908</v>
      </c>
      <c r="F4" s="286" t="s">
        <v>909</v>
      </c>
      <c r="G4" s="286" t="s">
        <v>910</v>
      </c>
      <c r="H4" s="286" t="s">
        <v>911</v>
      </c>
      <c r="I4" s="286" t="s">
        <v>912</v>
      </c>
      <c r="J4" s="286" t="s">
        <v>913</v>
      </c>
      <c r="K4" s="286" t="s">
        <v>914</v>
      </c>
      <c r="L4" s="286" t="s">
        <v>915</v>
      </c>
      <c r="M4" s="286" t="s">
        <v>916</v>
      </c>
      <c r="N4" s="286" t="s">
        <v>917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  <c r="S4" s="3"/>
    </row>
    <row r="5" spans="1:19" ht="3.95" customHeight="1" x14ac:dyDescent="0.2">
      <c r="A5" s="269"/>
      <c r="B5" s="718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x14ac:dyDescent="0.2">
      <c r="A6" s="456" t="s">
        <v>197</v>
      </c>
      <c r="B6" s="718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x14ac:dyDescent="0.2">
      <c r="A7" s="280" t="s">
        <v>198</v>
      </c>
      <c r="B7" s="718"/>
      <c r="C7" s="997">
        <f>DataBase!C7+DataBase!C107</f>
        <v>7173</v>
      </c>
      <c r="D7" s="997">
        <f>DataBase!D7+DataBase!D107</f>
        <v>5582</v>
      </c>
      <c r="E7" s="997">
        <f>DataBase!E7+DataBase!E107</f>
        <v>4818</v>
      </c>
      <c r="F7" s="997">
        <f>DataBase!F7+DataBase!F107</f>
        <v>3688</v>
      </c>
      <c r="G7" s="997">
        <f>DataBase!G7+DataBase!G107</f>
        <v>2258</v>
      </c>
      <c r="H7" s="997">
        <f>DataBase!H7+DataBase!H107</f>
        <v>3206</v>
      </c>
      <c r="I7" s="997">
        <f>DataBase!I7+DataBase!I107</f>
        <v>3949</v>
      </c>
      <c r="J7" s="997">
        <f>DataBase!J7+DataBase!J107</f>
        <v>3777</v>
      </c>
      <c r="K7" s="997">
        <f>DataBase!K7+DataBase!K107</f>
        <v>0</v>
      </c>
      <c r="L7" s="997">
        <f>DataBase!L7+DataBase!L107</f>
        <v>0</v>
      </c>
      <c r="M7" s="997">
        <f>DataBase!M7+DataBase!M107</f>
        <v>0</v>
      </c>
      <c r="N7" s="997">
        <f>DataBase!N7+DataBase!N107</f>
        <v>0</v>
      </c>
      <c r="O7" s="279">
        <f>SUM(C7:N7)</f>
        <v>34451</v>
      </c>
      <c r="P7" s="277">
        <f>SUM(C7:J7)</f>
        <v>34451</v>
      </c>
      <c r="Q7" s="279">
        <f>O7-P7</f>
        <v>0</v>
      </c>
      <c r="R7" s="43"/>
      <c r="S7" s="6"/>
    </row>
    <row r="8" spans="1:19" x14ac:dyDescent="0.2">
      <c r="A8" s="996" t="s">
        <v>219</v>
      </c>
      <c r="B8" s="718"/>
      <c r="C8" s="997">
        <f>DataBase!C8+DataBase!C108</f>
        <v>0</v>
      </c>
      <c r="D8" s="997">
        <f>DataBase!D8+DataBase!D108</f>
        <v>0</v>
      </c>
      <c r="E8" s="997">
        <f>DataBase!E8+DataBase!E108</f>
        <v>0</v>
      </c>
      <c r="F8" s="997">
        <f>DataBase!F8+DataBase!F108</f>
        <v>-7815</v>
      </c>
      <c r="G8" s="997">
        <f>DataBase!G8+DataBase!G108</f>
        <v>0</v>
      </c>
      <c r="H8" s="997">
        <f>DataBase!H8+DataBase!H108</f>
        <v>0</v>
      </c>
      <c r="I8" s="997">
        <f>DataBase!I8+DataBase!I108</f>
        <v>0</v>
      </c>
      <c r="J8" s="997">
        <f>DataBase!J8+DataBase!J108</f>
        <v>0</v>
      </c>
      <c r="K8" s="997">
        <f>DataBase!K8+DataBase!K108</f>
        <v>0</v>
      </c>
      <c r="L8" s="997">
        <f>DataBase!L8+DataBase!L108</f>
        <v>0</v>
      </c>
      <c r="M8" s="997">
        <f>DataBase!M8+DataBase!M108</f>
        <v>0</v>
      </c>
      <c r="N8" s="997">
        <f>DataBase!N8+DataBase!N108</f>
        <v>0</v>
      </c>
      <c r="O8" s="279">
        <f>SUM(C8:N8)</f>
        <v>-7815</v>
      </c>
      <c r="P8" s="277">
        <f>SUM(C8:J8)</f>
        <v>-7815</v>
      </c>
      <c r="Q8" s="279">
        <f>O8-P8</f>
        <v>0</v>
      </c>
      <c r="R8" s="43"/>
      <c r="S8" s="6"/>
    </row>
    <row r="9" spans="1:19" x14ac:dyDescent="0.2">
      <c r="A9" s="280" t="s">
        <v>208</v>
      </c>
      <c r="B9" s="718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SUM(C9:J9)</f>
        <v>0</v>
      </c>
      <c r="Q9" s="279">
        <f>O9-P9</f>
        <v>0</v>
      </c>
      <c r="R9" s="43"/>
      <c r="S9" s="6"/>
    </row>
    <row r="10" spans="1:19" x14ac:dyDescent="0.2">
      <c r="A10" s="640" t="s">
        <v>919</v>
      </c>
      <c r="B10" s="718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SUM(C10:J10)</f>
        <v>0</v>
      </c>
      <c r="Q10" s="281">
        <f>O10-P10</f>
        <v>0</v>
      </c>
      <c r="R10" s="43"/>
      <c r="S10" s="6"/>
    </row>
    <row r="11" spans="1:19" ht="6" customHeight="1" x14ac:dyDescent="0.2">
      <c r="A11" s="275"/>
      <c r="B11" s="718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x14ac:dyDescent="0.2">
      <c r="A12" s="456" t="s">
        <v>847</v>
      </c>
      <c r="B12" s="721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3949</v>
      </c>
      <c r="J12" s="282">
        <f t="shared" si="0"/>
        <v>3777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26636</v>
      </c>
      <c r="P12" s="282">
        <f t="shared" si="0"/>
        <v>26636</v>
      </c>
      <c r="Q12" s="282">
        <f t="shared" si="0"/>
        <v>0</v>
      </c>
      <c r="R12" s="43"/>
      <c r="S12" s="6"/>
    </row>
    <row r="13" spans="1:19" x14ac:dyDescent="0.2">
      <c r="A13" s="285"/>
      <c r="B13" s="718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x14ac:dyDescent="0.2">
      <c r="A14" s="658" t="s">
        <v>199</v>
      </c>
      <c r="B14" s="722"/>
      <c r="C14" s="611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x14ac:dyDescent="0.2">
      <c r="A15" s="639" t="s">
        <v>195</v>
      </c>
      <c r="B15" s="722"/>
      <c r="C15" s="612">
        <v>0</v>
      </c>
      <c r="D15" s="612">
        <v>0</v>
      </c>
      <c r="E15" s="861">
        <f>200-200</f>
        <v>0</v>
      </c>
      <c r="F15" s="612">
        <v>0</v>
      </c>
      <c r="G15" s="612">
        <v>0</v>
      </c>
      <c r="H15" s="612">
        <v>0</v>
      </c>
      <c r="I15" s="612">
        <v>0</v>
      </c>
      <c r="J15" s="612">
        <v>0</v>
      </c>
      <c r="K15" s="612">
        <v>0</v>
      </c>
      <c r="L15" s="612">
        <v>0</v>
      </c>
      <c r="M15" s="612">
        <v>0</v>
      </c>
      <c r="N15" s="612">
        <v>0</v>
      </c>
      <c r="O15" s="611">
        <f>SUM(C15:N15)</f>
        <v>0</v>
      </c>
      <c r="P15" s="277">
        <f>SUM(C15:J15)</f>
        <v>0</v>
      </c>
      <c r="Q15" s="611">
        <f>O15-P15</f>
        <v>0</v>
      </c>
      <c r="R15" s="43"/>
    </row>
    <row r="16" spans="1:19" x14ac:dyDescent="0.2">
      <c r="A16" s="639" t="s">
        <v>920</v>
      </c>
      <c r="B16" s="722"/>
      <c r="C16" s="612">
        <f>0</f>
        <v>0</v>
      </c>
      <c r="D16" s="612">
        <f>0</f>
        <v>0</v>
      </c>
      <c r="E16" s="612">
        <f>0</f>
        <v>0</v>
      </c>
      <c r="F16" s="612">
        <f>0</f>
        <v>0</v>
      </c>
      <c r="G16" s="612">
        <f>0</f>
        <v>0</v>
      </c>
      <c r="H16" s="612">
        <f>0</f>
        <v>0</v>
      </c>
      <c r="I16" s="612">
        <f>0</f>
        <v>0</v>
      </c>
      <c r="J16" s="612">
        <f>0</f>
        <v>0</v>
      </c>
      <c r="K16" s="612">
        <f>0</f>
        <v>0</v>
      </c>
      <c r="L16" s="612">
        <f>0</f>
        <v>0</v>
      </c>
      <c r="M16" s="612">
        <f>0</f>
        <v>0</v>
      </c>
      <c r="N16" s="612">
        <f>0</f>
        <v>0</v>
      </c>
      <c r="O16" s="611">
        <f>SUM(C16:N16)</f>
        <v>0</v>
      </c>
      <c r="P16" s="277">
        <f>SUM(C16:J16)</f>
        <v>0</v>
      </c>
      <c r="Q16" s="611">
        <f>O16-P16</f>
        <v>0</v>
      </c>
      <c r="R16" s="43"/>
    </row>
    <row r="17" spans="1:21" x14ac:dyDescent="0.2">
      <c r="A17" s="639" t="s">
        <v>920</v>
      </c>
      <c r="B17" s="722"/>
      <c r="C17" s="610">
        <v>0</v>
      </c>
      <c r="D17" s="610">
        <v>0</v>
      </c>
      <c r="E17" s="610">
        <v>0</v>
      </c>
      <c r="F17" s="610">
        <v>0</v>
      </c>
      <c r="G17" s="610">
        <v>0</v>
      </c>
      <c r="H17" s="610">
        <v>0</v>
      </c>
      <c r="I17" s="610">
        <v>0</v>
      </c>
      <c r="J17" s="610">
        <v>0</v>
      </c>
      <c r="K17" s="610">
        <v>0</v>
      </c>
      <c r="L17" s="610">
        <v>0</v>
      </c>
      <c r="M17" s="610">
        <v>0</v>
      </c>
      <c r="N17" s="610">
        <v>0</v>
      </c>
      <c r="O17" s="611">
        <f>SUM(C17:N17)</f>
        <v>0</v>
      </c>
      <c r="P17" s="277">
        <f>SUM(C17:J17)</f>
        <v>0</v>
      </c>
      <c r="Q17" s="611">
        <f>O17-P17</f>
        <v>0</v>
      </c>
      <c r="R17" s="43"/>
    </row>
    <row r="18" spans="1:21" x14ac:dyDescent="0.2">
      <c r="A18" s="640" t="s">
        <v>919</v>
      </c>
      <c r="B18" s="722"/>
      <c r="C18" s="613">
        <v>0</v>
      </c>
      <c r="D18" s="613">
        <v>0</v>
      </c>
      <c r="E18" s="613">
        <v>0</v>
      </c>
      <c r="F18" s="613">
        <v>0</v>
      </c>
      <c r="G18" s="613">
        <v>0</v>
      </c>
      <c r="H18" s="613">
        <v>0</v>
      </c>
      <c r="I18" s="613">
        <v>0</v>
      </c>
      <c r="J18" s="613">
        <v>0</v>
      </c>
      <c r="K18" s="613">
        <v>0</v>
      </c>
      <c r="L18" s="613">
        <v>0</v>
      </c>
      <c r="M18" s="613">
        <v>0</v>
      </c>
      <c r="N18" s="613">
        <v>0</v>
      </c>
      <c r="O18" s="614">
        <f>SUM(C18:N18)</f>
        <v>0</v>
      </c>
      <c r="P18" s="284">
        <f>SUM(C18:J18)</f>
        <v>0</v>
      </c>
      <c r="Q18" s="614">
        <f>O18-P18</f>
        <v>0</v>
      </c>
      <c r="R18" s="43"/>
    </row>
    <row r="19" spans="1:21" ht="6" customHeight="1" x14ac:dyDescent="0.2">
      <c r="A19" s="641"/>
      <c r="B19" s="722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6"/>
      <c r="P19" s="612"/>
      <c r="Q19" s="616"/>
      <c r="R19" s="43"/>
    </row>
    <row r="20" spans="1:21" x14ac:dyDescent="0.2">
      <c r="A20" s="456" t="s">
        <v>848</v>
      </c>
      <c r="B20" s="723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x14ac:dyDescent="0.2">
      <c r="A21" s="642"/>
      <c r="B21" s="723"/>
      <c r="C21" s="617"/>
      <c r="D21" s="617"/>
      <c r="E21" s="617"/>
      <c r="F21" s="617"/>
      <c r="G21" s="617"/>
      <c r="H21" s="617"/>
      <c r="I21" s="617"/>
      <c r="J21" s="617"/>
      <c r="K21" s="617"/>
      <c r="L21" s="617"/>
      <c r="M21" s="617"/>
      <c r="N21" s="617"/>
      <c r="O21" s="617"/>
      <c r="P21" s="617"/>
      <c r="Q21" s="617"/>
      <c r="R21" s="43"/>
    </row>
    <row r="22" spans="1:21" x14ac:dyDescent="0.2">
      <c r="A22" s="456" t="s">
        <v>200</v>
      </c>
      <c r="B22" s="718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x14ac:dyDescent="0.2">
      <c r="A23" s="278" t="s">
        <v>923</v>
      </c>
      <c r="B23" s="718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SUM(C23:J23)</f>
        <v>0</v>
      </c>
      <c r="Q23" s="279">
        <f>O23-P23</f>
        <v>0</v>
      </c>
      <c r="R23" s="43"/>
    </row>
    <row r="24" spans="1:21" x14ac:dyDescent="0.2">
      <c r="A24" s="278" t="s">
        <v>922</v>
      </c>
      <c r="B24" s="718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SUM(C24:J24)</f>
        <v>0</v>
      </c>
      <c r="Q24" s="279">
        <f>O24-P24</f>
        <v>0</v>
      </c>
      <c r="R24" s="43"/>
    </row>
    <row r="25" spans="1:21" x14ac:dyDescent="0.2">
      <c r="A25" s="278" t="s">
        <v>920</v>
      </c>
      <c r="B25" s="718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SUM(C25:J25)</f>
        <v>0</v>
      </c>
      <c r="Q25" s="279">
        <f>O25-P25</f>
        <v>0</v>
      </c>
      <c r="R25" s="43"/>
    </row>
    <row r="26" spans="1:21" x14ac:dyDescent="0.2">
      <c r="A26" s="278" t="s">
        <v>920</v>
      </c>
      <c r="B26" s="718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SUM(C26:J26)</f>
        <v>0</v>
      </c>
      <c r="Q26" s="279">
        <f>O26-P26</f>
        <v>0</v>
      </c>
      <c r="R26" s="43"/>
    </row>
    <row r="27" spans="1:21" x14ac:dyDescent="0.2">
      <c r="A27" s="280" t="s">
        <v>919</v>
      </c>
      <c r="B27" s="718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SUM(C27:J27)</f>
        <v>0</v>
      </c>
      <c r="Q27" s="281">
        <f>O27-P27</f>
        <v>0</v>
      </c>
      <c r="R27" s="45"/>
      <c r="S27" s="7"/>
    </row>
    <row r="28" spans="1:21" ht="6" customHeight="1" x14ac:dyDescent="0.2">
      <c r="A28" s="269"/>
      <c r="B28" s="718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x14ac:dyDescent="0.2">
      <c r="A29" s="456" t="s">
        <v>249</v>
      </c>
      <c r="B29" s="721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">
      <c r="A30" s="285"/>
      <c r="B30" s="718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x14ac:dyDescent="0.2">
      <c r="A31" s="456" t="s">
        <v>981</v>
      </c>
      <c r="B31" s="721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3949</v>
      </c>
      <c r="J31" s="283">
        <f t="shared" si="3"/>
        <v>3777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26636</v>
      </c>
      <c r="P31" s="283">
        <f t="shared" si="3"/>
        <v>26636</v>
      </c>
      <c r="Q31" s="283">
        <f t="shared" si="3"/>
        <v>0</v>
      </c>
      <c r="R31" s="46"/>
      <c r="S31" s="2"/>
    </row>
    <row r="32" spans="1:21" x14ac:dyDescent="0.2">
      <c r="A32" s="275"/>
      <c r="B32" s="718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x14ac:dyDescent="0.2">
      <c r="A33" s="49"/>
      <c r="B33" s="72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x14ac:dyDescent="0.2">
      <c r="A34" s="687" t="s">
        <v>849</v>
      </c>
      <c r="B34" s="72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x14ac:dyDescent="0.2">
      <c r="A35" s="54" t="s">
        <v>209</v>
      </c>
      <c r="B35" s="725"/>
      <c r="C35" s="998">
        <f>-DataBase!C9-DataBase!C109</f>
        <v>7411</v>
      </c>
      <c r="D35" s="998">
        <f>-DataBase!D9-DataBase!D109</f>
        <v>6470</v>
      </c>
      <c r="E35" s="998">
        <f>-DataBase!E9-DataBase!E109</f>
        <v>4990</v>
      </c>
      <c r="F35" s="998">
        <f>-DataBase!F9-DataBase!F109</f>
        <v>-18871</v>
      </c>
      <c r="G35" s="998">
        <f>-DataBase!G9-DataBase!G109</f>
        <v>0</v>
      </c>
      <c r="H35" s="998">
        <f>-DataBase!H9-DataBase!H109</f>
        <v>0</v>
      </c>
      <c r="I35" s="998">
        <f>-DataBase!I9-DataBase!I109</f>
        <v>0</v>
      </c>
      <c r="J35" s="998">
        <f>-DataBase!J9-DataBase!J109</f>
        <v>0</v>
      </c>
      <c r="K35" s="998">
        <f>-DataBase!K9-DataBase!K109</f>
        <v>0</v>
      </c>
      <c r="L35" s="998">
        <f>-DataBase!L9-DataBase!L109</f>
        <v>0</v>
      </c>
      <c r="M35" s="998">
        <f>-DataBase!M9-DataBase!M109</f>
        <v>0</v>
      </c>
      <c r="N35" s="998">
        <f>-DataBase!N9-DataBase!N109</f>
        <v>0</v>
      </c>
      <c r="O35" s="53">
        <f>SUM(C35:N35)</f>
        <v>0</v>
      </c>
      <c r="P35" s="277">
        <f>SUM(C35:J35)</f>
        <v>0</v>
      </c>
      <c r="Q35" s="53">
        <f>O35-P35</f>
        <v>0</v>
      </c>
    </row>
    <row r="36" spans="1:17" x14ac:dyDescent="0.2">
      <c r="A36" s="54" t="s">
        <v>210</v>
      </c>
      <c r="B36" s="725"/>
      <c r="C36" s="998">
        <f>-DataBase!C10-DataBase!C110</f>
        <v>0</v>
      </c>
      <c r="D36" s="998">
        <f>-DataBase!D10-DataBase!D110</f>
        <v>0</v>
      </c>
      <c r="E36" s="998">
        <f>-DataBase!E10-DataBase!E110</f>
        <v>0</v>
      </c>
      <c r="F36" s="998">
        <f>-DataBase!F10-DataBase!F110</f>
        <v>0</v>
      </c>
      <c r="G36" s="998">
        <f>-DataBase!G10-DataBase!G110</f>
        <v>0</v>
      </c>
      <c r="H36" s="998">
        <f>-DataBase!H10-DataBase!H110</f>
        <v>0</v>
      </c>
      <c r="I36" s="998">
        <f>-DataBase!I10-DataBase!I110</f>
        <v>0</v>
      </c>
      <c r="J36" s="998">
        <f>-DataBase!J10-DataBase!J110</f>
        <v>0</v>
      </c>
      <c r="K36" s="998">
        <f>-DataBase!K10-DataBase!K110</f>
        <v>0</v>
      </c>
      <c r="L36" s="998">
        <f>-DataBase!L10-DataBase!L110</f>
        <v>0</v>
      </c>
      <c r="M36" s="998">
        <f>-DataBase!M10-DataBase!M110</f>
        <v>0</v>
      </c>
      <c r="N36" s="998">
        <f>-DataBase!N10-DataBase!N110</f>
        <v>0</v>
      </c>
      <c r="O36" s="53">
        <f>SUM(C36:N36)</f>
        <v>0</v>
      </c>
      <c r="P36" s="277">
        <f>SUM(C36:J36)</f>
        <v>0</v>
      </c>
      <c r="Q36" s="53">
        <f>O36-P36</f>
        <v>0</v>
      </c>
    </row>
    <row r="37" spans="1:17" x14ac:dyDescent="0.2">
      <c r="A37" s="51" t="s">
        <v>920</v>
      </c>
      <c r="B37" s="725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SUM(C37:J37)</f>
        <v>0</v>
      </c>
      <c r="Q37" s="53">
        <f>O37-P37</f>
        <v>0</v>
      </c>
    </row>
    <row r="38" spans="1:17" x14ac:dyDescent="0.2">
      <c r="A38" s="51" t="s">
        <v>920</v>
      </c>
      <c r="B38" s="725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SUM(C38:J38)</f>
        <v>0</v>
      </c>
      <c r="Q38" s="53">
        <f>O38-P38</f>
        <v>0</v>
      </c>
    </row>
    <row r="39" spans="1:17" x14ac:dyDescent="0.2">
      <c r="A39" s="640" t="s">
        <v>919</v>
      </c>
      <c r="B39" s="725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SUM(C39:J39)</f>
        <v>0</v>
      </c>
      <c r="Q39" s="55">
        <f>O39-P39</f>
        <v>0</v>
      </c>
    </row>
    <row r="40" spans="1:17" ht="6" customHeight="1" x14ac:dyDescent="0.2">
      <c r="A40" s="48"/>
      <c r="B40" s="72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x14ac:dyDescent="0.2">
      <c r="A41" s="688" t="s">
        <v>850</v>
      </c>
      <c r="B41" s="725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1314450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J7" sqref="J7"/>
    </sheetView>
  </sheetViews>
  <sheetFormatPr defaultColWidth="10.7109375" defaultRowHeight="12.75" x14ac:dyDescent="0.2"/>
  <cols>
    <col min="1" max="1" width="45.7109375" style="8" customWidth="1"/>
    <col min="2" max="2" width="8.7109375" style="746" customWidth="1"/>
    <col min="3" max="14" width="8.7109375" style="8" customWidth="1"/>
    <col min="15" max="17" width="9.7109375" style="8" customWidth="1"/>
    <col min="18" max="16384" width="10.7109375" style="8"/>
  </cols>
  <sheetData>
    <row r="1" spans="1:22" x14ac:dyDescent="0.2">
      <c r="A1" s="551" t="str">
        <f ca="1">CELL("FILENAME")</f>
        <v>P:\Finance\2001CE\[TW3rdCEEM.XLS]DataBase</v>
      </c>
      <c r="B1" s="72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x14ac:dyDescent="0.2">
      <c r="A2" s="299" t="s">
        <v>926</v>
      </c>
      <c r="B2" s="727"/>
      <c r="C2" s="476"/>
      <c r="D2" s="288" t="s">
        <v>905</v>
      </c>
      <c r="E2" s="288" t="s">
        <v>905</v>
      </c>
      <c r="F2" s="288" t="s">
        <v>905</v>
      </c>
      <c r="G2" s="486"/>
      <c r="H2" s="288" t="s">
        <v>905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x14ac:dyDescent="0.2">
      <c r="A3" s="554" t="str">
        <f>IncomeState!A3</f>
        <v>2001 CURRENT ESTIMATE</v>
      </c>
      <c r="B3" s="728">
        <f ca="1">NOW()</f>
        <v>37154.402540162038</v>
      </c>
      <c r="C3" s="552" t="str">
        <f>DataBase!C2</f>
        <v>ACT.</v>
      </c>
      <c r="D3" s="552" t="str">
        <f>DataBase!D2</f>
        <v>ACT.</v>
      </c>
      <c r="E3" s="552" t="s">
        <v>302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 t="str">
        <f>DataBase!J2</f>
        <v>ACT.</v>
      </c>
      <c r="K3" s="552" t="str">
        <f>DataBase!K2</f>
        <v>3rd CE</v>
      </c>
      <c r="L3" s="552" t="str">
        <f>DataBase!L2</f>
        <v>3rd CE</v>
      </c>
      <c r="M3" s="552" t="str">
        <f>DataBase!M2</f>
        <v>3rd CE</v>
      </c>
      <c r="N3" s="552" t="str">
        <f>DataBase!N2</f>
        <v>3rd CE</v>
      </c>
      <c r="O3" s="552" t="str">
        <f>DataBase!O2</f>
        <v>TOTAL</v>
      </c>
      <c r="P3" s="552" t="str">
        <f>IncomeState!P6</f>
        <v>AUGUST</v>
      </c>
      <c r="Q3" s="552" t="str">
        <f>IncomeState!Q6</f>
        <v>ESTIMATE</v>
      </c>
    </row>
    <row r="4" spans="1:22" x14ac:dyDescent="0.2">
      <c r="A4" s="290"/>
      <c r="B4" s="729">
        <f ca="1">NOW()</f>
        <v>37154.402540162038</v>
      </c>
      <c r="C4" s="300" t="s">
        <v>906</v>
      </c>
      <c r="D4" s="300" t="s">
        <v>907</v>
      </c>
      <c r="E4" s="300" t="s">
        <v>908</v>
      </c>
      <c r="F4" s="300" t="s">
        <v>909</v>
      </c>
      <c r="G4" s="300" t="s">
        <v>910</v>
      </c>
      <c r="H4" s="300" t="s">
        <v>911</v>
      </c>
      <c r="I4" s="300" t="s">
        <v>912</v>
      </c>
      <c r="J4" s="300" t="s">
        <v>913</v>
      </c>
      <c r="K4" s="300" t="s">
        <v>914</v>
      </c>
      <c r="L4" s="300" t="s">
        <v>915</v>
      </c>
      <c r="M4" s="300" t="s">
        <v>916</v>
      </c>
      <c r="N4" s="300" t="s">
        <v>917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</row>
    <row r="5" spans="1:22" ht="3.95" customHeight="1" x14ac:dyDescent="0.2">
      <c r="A5" s="287"/>
      <c r="B5" s="72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">
      <c r="A6" s="835" t="s">
        <v>250</v>
      </c>
      <c r="B6" s="72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x14ac:dyDescent="0.2">
      <c r="A7" s="303" t="s">
        <v>852</v>
      </c>
      <c r="B7" s="730"/>
      <c r="C7" s="535">
        <f>DataBase!C12</f>
        <v>12612</v>
      </c>
      <c r="D7" s="535">
        <f>DataBase!D12</f>
        <v>17085</v>
      </c>
      <c r="E7" s="535">
        <f>DataBase!E12</f>
        <v>16820</v>
      </c>
      <c r="F7" s="535">
        <f>DataBase!F12</f>
        <v>12196</v>
      </c>
      <c r="G7" s="535">
        <f>DataBase!G12</f>
        <v>12651</v>
      </c>
      <c r="H7" s="535">
        <f>DataBase!H12</f>
        <v>12455</v>
      </c>
      <c r="I7" s="535">
        <f>DataBase!I12</f>
        <v>12812</v>
      </c>
      <c r="J7" s="535">
        <f>DataBase!J12</f>
        <v>12471</v>
      </c>
      <c r="K7" s="535">
        <f>DataBase!K12</f>
        <v>12054</v>
      </c>
      <c r="L7" s="535">
        <f>DataBase!L12</f>
        <v>12202</v>
      </c>
      <c r="M7" s="535">
        <f>DataBase!M12</f>
        <v>11290</v>
      </c>
      <c r="N7" s="535">
        <f>DataBase!N12</f>
        <v>12066</v>
      </c>
      <c r="O7" s="535">
        <f>SUM(C7:N7)</f>
        <v>156714</v>
      </c>
      <c r="P7" s="293">
        <f>SUM(C7:J7)</f>
        <v>109102</v>
      </c>
      <c r="Q7" s="292">
        <f>O7-P7</f>
        <v>47612</v>
      </c>
      <c r="R7" s="10"/>
    </row>
    <row r="8" spans="1:22" x14ac:dyDescent="0.2">
      <c r="A8" s="897" t="s">
        <v>351</v>
      </c>
      <c r="B8" s="731"/>
      <c r="C8" s="535">
        <f>DataBase!C13</f>
        <v>0</v>
      </c>
      <c r="D8" s="535">
        <f>DataBase!D13</f>
        <v>0</v>
      </c>
      <c r="E8" s="535">
        <f>DataBase!E13</f>
        <v>0</v>
      </c>
      <c r="F8" s="535">
        <f>DataBase!F13</f>
        <v>0</v>
      </c>
      <c r="G8" s="535">
        <f>DataBase!G13</f>
        <v>0</v>
      </c>
      <c r="H8" s="535">
        <f>DataBase!H13</f>
        <v>0</v>
      </c>
      <c r="I8" s="535">
        <f>DataBase!I13</f>
        <v>0</v>
      </c>
      <c r="J8" s="535">
        <f>DataBase!J13</f>
        <v>0</v>
      </c>
      <c r="K8" s="535">
        <f>DataBase!K13</f>
        <v>0</v>
      </c>
      <c r="L8" s="535">
        <f>DataBase!L13</f>
        <v>0</v>
      </c>
      <c r="M8" s="535">
        <f>DataBase!M13</f>
        <v>0</v>
      </c>
      <c r="N8" s="535">
        <f>DataBase!N13</f>
        <v>0</v>
      </c>
      <c r="O8" s="535">
        <f>SUM(C8:N8)</f>
        <v>0</v>
      </c>
      <c r="P8" s="293">
        <f>SUM(C8:J8)</f>
        <v>0</v>
      </c>
      <c r="Q8" s="292">
        <f>O8-P8</f>
        <v>0</v>
      </c>
      <c r="R8" s="10"/>
    </row>
    <row r="9" spans="1:22" ht="12.75" customHeight="1" x14ac:dyDescent="0.2">
      <c r="A9" s="303" t="s">
        <v>352</v>
      </c>
      <c r="B9" s="727"/>
      <c r="C9" s="537">
        <f>DataBase!C14</f>
        <v>0</v>
      </c>
      <c r="D9" s="537">
        <f>DataBase!D14</f>
        <v>0</v>
      </c>
      <c r="E9" s="537">
        <f>DataBase!E14</f>
        <v>0</v>
      </c>
      <c r="F9" s="537">
        <f>DataBase!F14</f>
        <v>0</v>
      </c>
      <c r="G9" s="537">
        <f>DataBase!G14</f>
        <v>0</v>
      </c>
      <c r="H9" s="537">
        <f>DataBase!H14</f>
        <v>0</v>
      </c>
      <c r="I9" s="537">
        <f>DataBase!I14</f>
        <v>0</v>
      </c>
      <c r="J9" s="537">
        <f>DataBase!J14</f>
        <v>0</v>
      </c>
      <c r="K9" s="537">
        <f>DataBase!K14</f>
        <v>0</v>
      </c>
      <c r="L9" s="537">
        <f>DataBase!L14</f>
        <v>0</v>
      </c>
      <c r="M9" s="537">
        <f>DataBase!M14</f>
        <v>0</v>
      </c>
      <c r="N9" s="537">
        <f>DataBase!N14</f>
        <v>0</v>
      </c>
      <c r="O9" s="537">
        <f>SUM(C9:N9)</f>
        <v>0</v>
      </c>
      <c r="P9" s="301">
        <f>SUM(C9:J9)</f>
        <v>0</v>
      </c>
      <c r="Q9" s="294">
        <f>O9-P9</f>
        <v>0</v>
      </c>
      <c r="R9" s="10"/>
    </row>
    <row r="10" spans="1:22" ht="3.95" customHeight="1" x14ac:dyDescent="0.2">
      <c r="A10" s="297"/>
      <c r="B10" s="72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x14ac:dyDescent="0.2">
      <c r="A11" s="459" t="s">
        <v>928</v>
      </c>
      <c r="B11" s="727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12471</v>
      </c>
      <c r="K11" s="537">
        <f t="shared" si="0"/>
        <v>12054</v>
      </c>
      <c r="L11" s="537">
        <f t="shared" si="0"/>
        <v>12202</v>
      </c>
      <c r="M11" s="537">
        <f t="shared" si="0"/>
        <v>11290</v>
      </c>
      <c r="N11" s="537">
        <f t="shared" si="0"/>
        <v>12066</v>
      </c>
      <c r="O11" s="463">
        <f>SUM(O7:O9)</f>
        <v>156714</v>
      </c>
      <c r="P11" s="463">
        <f>SUM(P7:P9)</f>
        <v>109102</v>
      </c>
      <c r="Q11" s="463">
        <f>SUM(Q7:Q9)</f>
        <v>47612</v>
      </c>
      <c r="R11" s="10"/>
    </row>
    <row r="12" spans="1:22" ht="6" customHeight="1" x14ac:dyDescent="0.2">
      <c r="A12" s="287"/>
      <c r="B12" s="727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">
      <c r="A13" s="835" t="s">
        <v>251</v>
      </c>
      <c r="B13" s="727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x14ac:dyDescent="0.2">
      <c r="A14" s="303" t="s">
        <v>851</v>
      </c>
      <c r="B14" s="732"/>
      <c r="C14" s="535">
        <f>DataBase!C15</f>
        <v>1303</v>
      </c>
      <c r="D14" s="535">
        <f>DataBase!D15</f>
        <v>1259</v>
      </c>
      <c r="E14" s="535">
        <f>DataBase!E15</f>
        <v>1286</v>
      </c>
      <c r="F14" s="535">
        <f>DataBase!F15</f>
        <v>2727</v>
      </c>
      <c r="G14" s="535">
        <f>DataBase!G15</f>
        <v>3689</v>
      </c>
      <c r="H14" s="535">
        <f>DataBase!H15</f>
        <v>2163</v>
      </c>
      <c r="I14" s="535">
        <f>DataBase!I15</f>
        <v>1462</v>
      </c>
      <c r="J14" s="535">
        <f>DataBase!J15</f>
        <v>1134</v>
      </c>
      <c r="K14" s="535">
        <f>DataBase!K15</f>
        <v>1026</v>
      </c>
      <c r="L14" s="535">
        <f>DataBase!L15</f>
        <v>1050</v>
      </c>
      <c r="M14" s="535">
        <f>DataBase!M15</f>
        <v>1035</v>
      </c>
      <c r="N14" s="535">
        <f>DataBase!N15</f>
        <v>1103</v>
      </c>
      <c r="O14" s="535">
        <f>SUM(C14:N14)</f>
        <v>19237</v>
      </c>
      <c r="P14" s="293">
        <f>SUM(C14:J14)</f>
        <v>15023</v>
      </c>
      <c r="Q14" s="292">
        <f>O14-P14</f>
        <v>4214</v>
      </c>
      <c r="R14" s="10"/>
    </row>
    <row r="15" spans="1:22" x14ac:dyDescent="0.2">
      <c r="A15" s="897" t="s">
        <v>351</v>
      </c>
      <c r="B15" s="731"/>
      <c r="C15" s="535">
        <f>DataBase!C16</f>
        <v>0</v>
      </c>
      <c r="D15" s="535">
        <f>DataBase!D16</f>
        <v>0</v>
      </c>
      <c r="E15" s="535">
        <f>DataBase!E16</f>
        <v>0</v>
      </c>
      <c r="F15" s="535">
        <f>DataBase!F16</f>
        <v>0</v>
      </c>
      <c r="G15" s="535">
        <f>DataBase!G16</f>
        <v>0</v>
      </c>
      <c r="H15" s="535">
        <f>DataBase!H16</f>
        <v>0</v>
      </c>
      <c r="I15" s="535">
        <f>DataBase!I16</f>
        <v>0</v>
      </c>
      <c r="J15" s="535">
        <f>DataBase!J16</f>
        <v>0</v>
      </c>
      <c r="K15" s="535">
        <f>DataBase!K16</f>
        <v>0</v>
      </c>
      <c r="L15" s="535">
        <f>DataBase!L16</f>
        <v>0</v>
      </c>
      <c r="M15" s="535">
        <f>DataBase!M16</f>
        <v>0</v>
      </c>
      <c r="N15" s="535">
        <f>DataBase!N16</f>
        <v>0</v>
      </c>
      <c r="O15" s="535">
        <f>SUM(C15:N15)</f>
        <v>0</v>
      </c>
      <c r="P15" s="293">
        <f>SUM(C15:J15)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x14ac:dyDescent="0.2">
      <c r="A16" s="303" t="s">
        <v>352</v>
      </c>
      <c r="B16" s="732"/>
      <c r="C16" s="537">
        <f>DataBase!C17</f>
        <v>0</v>
      </c>
      <c r="D16" s="537">
        <f>DataBase!D17</f>
        <v>0</v>
      </c>
      <c r="E16" s="537">
        <f>DataBase!E17</f>
        <v>0</v>
      </c>
      <c r="F16" s="537">
        <f>DataBase!F17</f>
        <v>0</v>
      </c>
      <c r="G16" s="537">
        <f>DataBase!G17</f>
        <v>0</v>
      </c>
      <c r="H16" s="537">
        <f>DataBase!H17</f>
        <v>0</v>
      </c>
      <c r="I16" s="537">
        <f>DataBase!I17</f>
        <v>0</v>
      </c>
      <c r="J16" s="537">
        <f>DataBase!J17</f>
        <v>0</v>
      </c>
      <c r="K16" s="537">
        <f>DataBase!K17</f>
        <v>0</v>
      </c>
      <c r="L16" s="537">
        <f>DataBase!L17</f>
        <v>0</v>
      </c>
      <c r="M16" s="537">
        <f>DataBase!M17</f>
        <v>0</v>
      </c>
      <c r="N16" s="537">
        <f>DataBase!N17</f>
        <v>0</v>
      </c>
      <c r="O16" s="537">
        <f>SUM(C16:N16)</f>
        <v>0</v>
      </c>
      <c r="P16" s="301">
        <f>SUM(C16:J16)</f>
        <v>0</v>
      </c>
      <c r="Q16" s="463">
        <v>0</v>
      </c>
      <c r="R16" s="11"/>
      <c r="S16" s="12"/>
      <c r="T16" s="12"/>
      <c r="U16" s="12"/>
      <c r="V16" s="12"/>
    </row>
    <row r="17" spans="1:22" ht="3.95" customHeight="1" x14ac:dyDescent="0.2">
      <c r="A17" s="297"/>
      <c r="B17" s="732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x14ac:dyDescent="0.2">
      <c r="A18" s="459" t="s">
        <v>929</v>
      </c>
      <c r="B18" s="732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1462</v>
      </c>
      <c r="J18" s="537">
        <f t="shared" si="1"/>
        <v>1134</v>
      </c>
      <c r="K18" s="537">
        <f t="shared" si="1"/>
        <v>1026</v>
      </c>
      <c r="L18" s="537">
        <f t="shared" si="1"/>
        <v>1050</v>
      </c>
      <c r="M18" s="537">
        <f t="shared" si="1"/>
        <v>1035</v>
      </c>
      <c r="N18" s="537">
        <f t="shared" si="1"/>
        <v>1103</v>
      </c>
      <c r="O18" s="463">
        <f>SUM(O14:O16)</f>
        <v>19237</v>
      </c>
      <c r="P18" s="463">
        <f>SUM(P14:P16)</f>
        <v>15023</v>
      </c>
      <c r="Q18" s="463">
        <f>SUM(Q14:Q16)</f>
        <v>4214</v>
      </c>
      <c r="R18" s="11"/>
      <c r="S18" s="12"/>
      <c r="T18" s="12"/>
      <c r="U18" s="12"/>
      <c r="V18" s="12"/>
    </row>
    <row r="19" spans="1:22" ht="6" customHeight="1" x14ac:dyDescent="0.2">
      <c r="A19" s="287"/>
      <c r="B19" s="727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x14ac:dyDescent="0.2">
      <c r="A20" s="459" t="s">
        <v>853</v>
      </c>
      <c r="B20" s="733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14274</v>
      </c>
      <c r="J20" s="540">
        <f t="shared" si="2"/>
        <v>13605</v>
      </c>
      <c r="K20" s="540">
        <f t="shared" si="2"/>
        <v>13080</v>
      </c>
      <c r="L20" s="540">
        <f t="shared" si="2"/>
        <v>13252</v>
      </c>
      <c r="M20" s="540">
        <f t="shared" si="2"/>
        <v>12325</v>
      </c>
      <c r="N20" s="540">
        <f t="shared" si="2"/>
        <v>13169</v>
      </c>
      <c r="O20" s="296">
        <f t="shared" si="2"/>
        <v>175951</v>
      </c>
      <c r="P20" s="296">
        <f t="shared" si="2"/>
        <v>124125</v>
      </c>
      <c r="Q20" s="296">
        <f t="shared" si="2"/>
        <v>51826</v>
      </c>
      <c r="R20" s="9"/>
    </row>
    <row r="21" spans="1:22" ht="3.95" customHeight="1" x14ac:dyDescent="0.2">
      <c r="A21" s="287"/>
      <c r="B21" s="727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">
      <c r="A22" s="302"/>
      <c r="B22" s="732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x14ac:dyDescent="0.2">
      <c r="A23" s="483" t="s">
        <v>253</v>
      </c>
      <c r="B23" s="727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25">
      <c r="A24" s="668" t="s">
        <v>925</v>
      </c>
      <c r="B24" s="847" t="s">
        <v>261</v>
      </c>
      <c r="C24" s="1000">
        <f>DataBase!C24</f>
        <v>-12</v>
      </c>
      <c r="D24" s="1000">
        <f>DataBase!D24</f>
        <v>-13</v>
      </c>
      <c r="E24" s="1000">
        <f>DataBase!E24</f>
        <v>-12</v>
      </c>
      <c r="F24" s="1000">
        <f>DataBase!F24</f>
        <v>-13</v>
      </c>
      <c r="G24" s="1000">
        <f>DataBase!G24</f>
        <v>-12</v>
      </c>
      <c r="H24" s="1000">
        <f>DataBase!H24</f>
        <v>-13</v>
      </c>
      <c r="I24" s="1000">
        <f>DataBase!I24</f>
        <v>-13</v>
      </c>
      <c r="J24" s="1000">
        <f>DataBase!J24</f>
        <v>-12</v>
      </c>
      <c r="K24" s="1000">
        <f>DataBase!K24</f>
        <v>-13</v>
      </c>
      <c r="L24" s="1000">
        <f>DataBase!L24</f>
        <v>-12</v>
      </c>
      <c r="M24" s="1000">
        <f>DataBase!M24</f>
        <v>-13</v>
      </c>
      <c r="N24" s="1000">
        <f>DataBase!N24</f>
        <v>-12</v>
      </c>
      <c r="O24" s="690">
        <f t="shared" ref="O24:O35" si="3">SUM(C24:N24)</f>
        <v>-150</v>
      </c>
      <c r="P24" s="293">
        <f t="shared" ref="P24:P35" si="4">SUM(C24:J24)</f>
        <v>-100</v>
      </c>
      <c r="Q24" s="690">
        <f t="shared" ref="Q24:Q35" si="5">O24-P24</f>
        <v>-50</v>
      </c>
      <c r="R24" s="15"/>
      <c r="S24" s="14"/>
      <c r="T24" s="14"/>
    </row>
    <row r="25" spans="1:22" ht="12" customHeight="1" x14ac:dyDescent="0.2">
      <c r="A25" s="297" t="s">
        <v>841</v>
      </c>
      <c r="B25" s="731"/>
      <c r="C25" s="1000">
        <f>DataBase!C25</f>
        <v>-17</v>
      </c>
      <c r="D25" s="1000">
        <f>DataBase!D25</f>
        <v>-17</v>
      </c>
      <c r="E25" s="1000">
        <f>DataBase!E25</f>
        <v>-16</v>
      </c>
      <c r="F25" s="1000">
        <f>DataBase!F25</f>
        <v>-16</v>
      </c>
      <c r="G25" s="1000">
        <f>DataBase!G25</f>
        <v>-15</v>
      </c>
      <c r="H25" s="1000">
        <f>DataBase!H25</f>
        <v>-14</v>
      </c>
      <c r="I25" s="1000">
        <f>DataBase!I25</f>
        <v>-15</v>
      </c>
      <c r="J25" s="1000">
        <f>DataBase!J25</f>
        <v>-15</v>
      </c>
      <c r="K25" s="1000">
        <f>DataBase!K25</f>
        <v>-15</v>
      </c>
      <c r="L25" s="1000">
        <f>DataBase!L25</f>
        <v>-15</v>
      </c>
      <c r="M25" s="1000">
        <f>DataBase!M25</f>
        <v>-15</v>
      </c>
      <c r="N25" s="1000">
        <f>DataBase!N25</f>
        <v>-15</v>
      </c>
      <c r="O25" s="292">
        <f t="shared" si="3"/>
        <v>-185</v>
      </c>
      <c r="P25" s="293">
        <f t="shared" si="4"/>
        <v>-125</v>
      </c>
      <c r="Q25" s="292">
        <f t="shared" si="5"/>
        <v>-60</v>
      </c>
      <c r="R25" s="9"/>
    </row>
    <row r="26" spans="1:22" ht="12" customHeight="1" x14ac:dyDescent="0.2">
      <c r="A26" s="297" t="s">
        <v>854</v>
      </c>
      <c r="B26" s="731"/>
      <c r="C26" s="1000">
        <f>DataBase!C26</f>
        <v>0</v>
      </c>
      <c r="D26" s="1000">
        <f>DataBase!D26</f>
        <v>0</v>
      </c>
      <c r="E26" s="1000">
        <f>DataBase!E26</f>
        <v>0</v>
      </c>
      <c r="F26" s="1000">
        <f>DataBase!F26</f>
        <v>0</v>
      </c>
      <c r="G26" s="1000">
        <f>DataBase!G26</f>
        <v>0</v>
      </c>
      <c r="H26" s="1000">
        <f>DataBase!H26</f>
        <v>0</v>
      </c>
      <c r="I26" s="1000">
        <f>DataBase!I26</f>
        <v>-142</v>
      </c>
      <c r="J26" s="1000">
        <f>DataBase!J26</f>
        <v>0</v>
      </c>
      <c r="K26" s="1000">
        <f>DataBase!K26</f>
        <v>0</v>
      </c>
      <c r="L26" s="1000">
        <f>DataBase!L26</f>
        <v>0</v>
      </c>
      <c r="M26" s="1000">
        <f>DataBase!M26</f>
        <v>0</v>
      </c>
      <c r="N26" s="1000">
        <f>DataBase!N26</f>
        <v>0</v>
      </c>
      <c r="O26" s="292">
        <f t="shared" si="3"/>
        <v>-142</v>
      </c>
      <c r="P26" s="293">
        <f t="shared" si="4"/>
        <v>-142</v>
      </c>
      <c r="Q26" s="292">
        <f t="shared" si="5"/>
        <v>0</v>
      </c>
      <c r="R26" s="9"/>
    </row>
    <row r="27" spans="1:22" ht="12" customHeight="1" x14ac:dyDescent="0.2">
      <c r="A27" s="897" t="s">
        <v>213</v>
      </c>
      <c r="B27" s="731"/>
      <c r="C27" s="999">
        <f>DataBase!C21</f>
        <v>0</v>
      </c>
      <c r="D27" s="999">
        <f>DataBase!D21</f>
        <v>0</v>
      </c>
      <c r="E27" s="999">
        <f>DataBase!E21</f>
        <v>0</v>
      </c>
      <c r="F27" s="999">
        <f>DataBase!F21</f>
        <v>0</v>
      </c>
      <c r="G27" s="999">
        <f>DataBase!G21</f>
        <v>0</v>
      </c>
      <c r="H27" s="999">
        <f>DataBase!H21</f>
        <v>0</v>
      </c>
      <c r="I27" s="999">
        <f>DataBase!I21</f>
        <v>0</v>
      </c>
      <c r="J27" s="999">
        <f>DataBase!J21</f>
        <v>0</v>
      </c>
      <c r="K27" s="999">
        <f>DataBase!K21</f>
        <v>0</v>
      </c>
      <c r="L27" s="999">
        <f>DataBase!L21</f>
        <v>0</v>
      </c>
      <c r="M27" s="999">
        <f>DataBase!M21</f>
        <v>0</v>
      </c>
      <c r="N27" s="999">
        <f>DataBase!N21</f>
        <v>0</v>
      </c>
      <c r="O27" s="292">
        <f>SUM(C27:N27)</f>
        <v>0</v>
      </c>
      <c r="P27" s="293">
        <f t="shared" si="4"/>
        <v>0</v>
      </c>
      <c r="Q27" s="292">
        <f>O27-P27</f>
        <v>0</v>
      </c>
      <c r="R27" s="9"/>
    </row>
    <row r="28" spans="1:22" ht="12" customHeight="1" x14ac:dyDescent="0.2">
      <c r="A28" s="897" t="s">
        <v>214</v>
      </c>
      <c r="B28" s="731"/>
      <c r="C28" s="999">
        <f>DataBase!C22</f>
        <v>0</v>
      </c>
      <c r="D28" s="999">
        <f>DataBase!D22</f>
        <v>0</v>
      </c>
      <c r="E28" s="999">
        <f>DataBase!E22</f>
        <v>0</v>
      </c>
      <c r="F28" s="999">
        <f>DataBase!F22</f>
        <v>0</v>
      </c>
      <c r="G28" s="999">
        <f>DataBase!G22</f>
        <v>0</v>
      </c>
      <c r="H28" s="999">
        <f>DataBase!H22</f>
        <v>0</v>
      </c>
      <c r="I28" s="999">
        <f>DataBase!I22</f>
        <v>0</v>
      </c>
      <c r="J28" s="999">
        <f>DataBase!J22</f>
        <v>0</v>
      </c>
      <c r="K28" s="999">
        <f>DataBase!K22</f>
        <v>0</v>
      </c>
      <c r="L28" s="999">
        <f>DataBase!L22</f>
        <v>0</v>
      </c>
      <c r="M28" s="999">
        <f>DataBase!M22</f>
        <v>0</v>
      </c>
      <c r="N28" s="999">
        <f>DataBase!N22</f>
        <v>0</v>
      </c>
      <c r="O28" s="292">
        <f>SUM(C28:N28)</f>
        <v>0</v>
      </c>
      <c r="P28" s="293">
        <f t="shared" si="4"/>
        <v>0</v>
      </c>
      <c r="Q28" s="292">
        <f>O28-P28</f>
        <v>0</v>
      </c>
      <c r="R28" s="9"/>
    </row>
    <row r="29" spans="1:22" ht="12" customHeight="1" x14ac:dyDescent="0.2">
      <c r="A29" s="897" t="s">
        <v>215</v>
      </c>
      <c r="B29" s="731"/>
      <c r="C29" s="999">
        <f>DataBase!C23</f>
        <v>0</v>
      </c>
      <c r="D29" s="999">
        <f>DataBase!D23</f>
        <v>0</v>
      </c>
      <c r="E29" s="999">
        <f>DataBase!E23</f>
        <v>0</v>
      </c>
      <c r="F29" s="999">
        <f>DataBase!F23</f>
        <v>0</v>
      </c>
      <c r="G29" s="999">
        <f>DataBase!G23</f>
        <v>0</v>
      </c>
      <c r="H29" s="999">
        <f>DataBase!H23</f>
        <v>0</v>
      </c>
      <c r="I29" s="999">
        <f>DataBase!I23</f>
        <v>0</v>
      </c>
      <c r="J29" s="999">
        <f>DataBase!J23</f>
        <v>0</v>
      </c>
      <c r="K29" s="999">
        <f>DataBase!K23</f>
        <v>0</v>
      </c>
      <c r="L29" s="999">
        <f>DataBase!L23</f>
        <v>0</v>
      </c>
      <c r="M29" s="999">
        <f>DataBase!M23</f>
        <v>0</v>
      </c>
      <c r="N29" s="999">
        <f>DataBase!N23</f>
        <v>0</v>
      </c>
      <c r="O29" s="292">
        <f>SUM(C29:N29)</f>
        <v>0</v>
      </c>
      <c r="P29" s="293">
        <f t="shared" si="4"/>
        <v>0</v>
      </c>
      <c r="Q29" s="292">
        <f>O29-P29</f>
        <v>0</v>
      </c>
      <c r="R29" s="9"/>
    </row>
    <row r="30" spans="1:22" x14ac:dyDescent="0.2">
      <c r="A30" s="297" t="s">
        <v>211</v>
      </c>
      <c r="B30" s="845" t="s">
        <v>261</v>
      </c>
      <c r="C30" s="999">
        <f>DataBase!C18</f>
        <v>0</v>
      </c>
      <c r="D30" s="999">
        <f>DataBase!D18</f>
        <v>0</v>
      </c>
      <c r="E30" s="999">
        <f>DataBase!E18</f>
        <v>0</v>
      </c>
      <c r="F30" s="999">
        <f>DataBase!F18</f>
        <v>0</v>
      </c>
      <c r="G30" s="999">
        <f>DataBase!G18</f>
        <v>0</v>
      </c>
      <c r="H30" s="999">
        <f>DataBase!H18</f>
        <v>0</v>
      </c>
      <c r="I30" s="999">
        <f>DataBase!I18</f>
        <v>0</v>
      </c>
      <c r="J30" s="999">
        <f>DataBase!J18</f>
        <v>0</v>
      </c>
      <c r="K30" s="999">
        <f>DataBase!K18</f>
        <v>0</v>
      </c>
      <c r="L30" s="999">
        <f>DataBase!L18</f>
        <v>0</v>
      </c>
      <c r="M30" s="999">
        <f>DataBase!M18</f>
        <v>0</v>
      </c>
      <c r="N30" s="999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x14ac:dyDescent="0.2">
      <c r="A31" s="869" t="s">
        <v>320</v>
      </c>
      <c r="B31" s="845" t="s">
        <v>261</v>
      </c>
      <c r="C31" s="999">
        <f>DataBase!C19</f>
        <v>0</v>
      </c>
      <c r="D31" s="999">
        <f>DataBase!D19</f>
        <v>0</v>
      </c>
      <c r="E31" s="999">
        <f>DataBase!E19</f>
        <v>-9342</v>
      </c>
      <c r="F31" s="999">
        <f>DataBase!F19</f>
        <v>-367</v>
      </c>
      <c r="G31" s="999">
        <f>DataBase!G19</f>
        <v>0</v>
      </c>
      <c r="H31" s="999">
        <f>DataBase!H19</f>
        <v>-325</v>
      </c>
      <c r="I31" s="999">
        <f>DataBase!I19</f>
        <v>-8</v>
      </c>
      <c r="J31" s="999">
        <f>DataBase!J19</f>
        <v>0</v>
      </c>
      <c r="K31" s="999">
        <f>DataBase!K19</f>
        <v>0</v>
      </c>
      <c r="L31" s="999">
        <f>DataBase!L19</f>
        <v>0</v>
      </c>
      <c r="M31" s="999">
        <f>DataBase!M19</f>
        <v>0</v>
      </c>
      <c r="N31" s="999">
        <f>DataBase!N19</f>
        <v>0</v>
      </c>
      <c r="O31" s="292">
        <f>SUM(C31:N31)</f>
        <v>-10042</v>
      </c>
      <c r="P31" s="293">
        <f t="shared" si="4"/>
        <v>-10042</v>
      </c>
      <c r="Q31" s="292">
        <f>O31-P31</f>
        <v>0</v>
      </c>
      <c r="R31" s="47"/>
    </row>
    <row r="32" spans="1:22" x14ac:dyDescent="0.2">
      <c r="A32" s="869" t="s">
        <v>321</v>
      </c>
      <c r="B32" s="845" t="s">
        <v>261</v>
      </c>
      <c r="C32" s="999">
        <f>DataBase!C20</f>
        <v>0</v>
      </c>
      <c r="D32" s="999">
        <f>DataBase!D20</f>
        <v>0</v>
      </c>
      <c r="E32" s="999">
        <f>DataBase!E20</f>
        <v>-2198</v>
      </c>
      <c r="F32" s="999">
        <f>DataBase!F20</f>
        <v>-48</v>
      </c>
      <c r="G32" s="999">
        <f>DataBase!G20</f>
        <v>0</v>
      </c>
      <c r="H32" s="999">
        <f>DataBase!H20</f>
        <v>0</v>
      </c>
      <c r="I32" s="999">
        <f>DataBase!I20</f>
        <v>0</v>
      </c>
      <c r="J32" s="999">
        <f>DataBase!J20</f>
        <v>-244</v>
      </c>
      <c r="K32" s="999">
        <f>DataBase!K20</f>
        <v>244</v>
      </c>
      <c r="L32" s="999">
        <f>DataBase!L20</f>
        <v>0</v>
      </c>
      <c r="M32" s="999">
        <f>DataBase!M20</f>
        <v>0</v>
      </c>
      <c r="N32" s="999">
        <f>DataBase!N20</f>
        <v>-161</v>
      </c>
      <c r="O32" s="292">
        <f>SUM(C32:N32)</f>
        <v>-2407</v>
      </c>
      <c r="P32" s="293">
        <f t="shared" si="4"/>
        <v>-2490</v>
      </c>
      <c r="Q32" s="292">
        <f>O32-P32</f>
        <v>83</v>
      </c>
      <c r="R32" s="47"/>
    </row>
    <row r="33" spans="1:19" ht="12" customHeight="1" x14ac:dyDescent="0.2">
      <c r="A33" s="869" t="s">
        <v>457</v>
      </c>
      <c r="B33" s="727"/>
      <c r="C33" s="999">
        <f>DataBase!C27</f>
        <v>0</v>
      </c>
      <c r="D33" s="999">
        <f>DataBase!D27</f>
        <v>0</v>
      </c>
      <c r="E33" s="999">
        <f>DataBase!E27</f>
        <v>2198</v>
      </c>
      <c r="F33" s="999">
        <f>DataBase!F27</f>
        <v>48</v>
      </c>
      <c r="G33" s="999">
        <f>DataBase!G27</f>
        <v>0</v>
      </c>
      <c r="H33" s="999">
        <f>DataBase!H27</f>
        <v>0</v>
      </c>
      <c r="I33" s="999">
        <f>DataBase!I27</f>
        <v>0</v>
      </c>
      <c r="J33" s="999">
        <f>DataBase!J27</f>
        <v>244</v>
      </c>
      <c r="K33" s="999">
        <f>DataBase!K27</f>
        <v>-244</v>
      </c>
      <c r="L33" s="999">
        <f>DataBase!L27</f>
        <v>0</v>
      </c>
      <c r="M33" s="999">
        <f>DataBase!M27</f>
        <v>0</v>
      </c>
      <c r="N33" s="999">
        <f>DataBase!N27</f>
        <v>161</v>
      </c>
      <c r="O33" s="292">
        <f t="shared" si="3"/>
        <v>2407</v>
      </c>
      <c r="P33" s="293">
        <f t="shared" si="4"/>
        <v>2490</v>
      </c>
      <c r="Q33" s="292">
        <f t="shared" si="5"/>
        <v>-83</v>
      </c>
      <c r="R33" s="9"/>
    </row>
    <row r="34" spans="1:19" ht="12" customHeight="1" x14ac:dyDescent="0.2">
      <c r="A34" s="897" t="s">
        <v>216</v>
      </c>
      <c r="B34" s="727"/>
      <c r="C34" s="999">
        <f>DataBase!C28</f>
        <v>0</v>
      </c>
      <c r="D34" s="999">
        <f>DataBase!D28</f>
        <v>0</v>
      </c>
      <c r="E34" s="999">
        <f>DataBase!E28</f>
        <v>0</v>
      </c>
      <c r="F34" s="999">
        <f>DataBase!F28</f>
        <v>0</v>
      </c>
      <c r="G34" s="999">
        <f>DataBase!G28</f>
        <v>0</v>
      </c>
      <c r="H34" s="999">
        <f>DataBase!H28</f>
        <v>0</v>
      </c>
      <c r="I34" s="999">
        <f>DataBase!I28</f>
        <v>0</v>
      </c>
      <c r="J34" s="999">
        <f>DataBase!J28</f>
        <v>0</v>
      </c>
      <c r="K34" s="999">
        <f>DataBase!K28</f>
        <v>0</v>
      </c>
      <c r="L34" s="999">
        <f>DataBase!L28</f>
        <v>0</v>
      </c>
      <c r="M34" s="999">
        <f>DataBase!M28</f>
        <v>0</v>
      </c>
      <c r="N34" s="999">
        <f>DataBase!N28</f>
        <v>0</v>
      </c>
      <c r="O34" s="292">
        <f>SUM(C34:N34)</f>
        <v>0</v>
      </c>
      <c r="P34" s="293">
        <f t="shared" si="4"/>
        <v>0</v>
      </c>
      <c r="Q34" s="292">
        <f>O34-P34</f>
        <v>0</v>
      </c>
      <c r="R34" s="9"/>
    </row>
    <row r="35" spans="1:19" ht="12" customHeight="1" x14ac:dyDescent="0.2">
      <c r="A35" s="640" t="s">
        <v>919</v>
      </c>
      <c r="B35" s="727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5" customHeight="1" x14ac:dyDescent="0.2">
      <c r="A36" s="287"/>
      <c r="B36" s="727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">
      <c r="A37" s="459" t="s">
        <v>254</v>
      </c>
      <c r="B37" s="733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-9370</v>
      </c>
      <c r="F37" s="296">
        <f t="shared" si="6"/>
        <v>-396</v>
      </c>
      <c r="G37" s="296">
        <f t="shared" si="6"/>
        <v>-27</v>
      </c>
      <c r="H37" s="296">
        <f t="shared" si="6"/>
        <v>-352</v>
      </c>
      <c r="I37" s="296">
        <f t="shared" si="6"/>
        <v>-178</v>
      </c>
      <c r="J37" s="296">
        <f t="shared" si="6"/>
        <v>-27</v>
      </c>
      <c r="K37" s="296">
        <f t="shared" si="6"/>
        <v>-28</v>
      </c>
      <c r="L37" s="296">
        <f t="shared" si="6"/>
        <v>-27</v>
      </c>
      <c r="M37" s="296">
        <f t="shared" si="6"/>
        <v>-28</v>
      </c>
      <c r="N37" s="296">
        <f t="shared" si="6"/>
        <v>-27</v>
      </c>
      <c r="O37" s="296">
        <f>SUM(O24:O35)</f>
        <v>-10519</v>
      </c>
      <c r="P37" s="296">
        <f>SUM(P24:P35)</f>
        <v>-10409</v>
      </c>
      <c r="Q37" s="296">
        <f>SUM(Q24:Q35)</f>
        <v>-110</v>
      </c>
      <c r="R37" s="9"/>
      <c r="S37" s="13"/>
    </row>
    <row r="38" spans="1:19" ht="8.1" customHeight="1" x14ac:dyDescent="0.2">
      <c r="A38" s="302"/>
      <c r="B38" s="732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">
      <c r="A39" s="459" t="s">
        <v>856</v>
      </c>
      <c r="B39" s="734"/>
      <c r="C39" s="298">
        <f t="shared" ref="C39:Q39" si="7">ROUND(+C20+C37,0)</f>
        <v>13886</v>
      </c>
      <c r="D39" s="298">
        <f t="shared" si="7"/>
        <v>18314</v>
      </c>
      <c r="E39" s="298">
        <f t="shared" si="7"/>
        <v>8736</v>
      </c>
      <c r="F39" s="298">
        <f t="shared" si="7"/>
        <v>14527</v>
      </c>
      <c r="G39" s="298">
        <f t="shared" si="7"/>
        <v>16313</v>
      </c>
      <c r="H39" s="298">
        <f t="shared" si="7"/>
        <v>14266</v>
      </c>
      <c r="I39" s="298">
        <f t="shared" si="7"/>
        <v>14096</v>
      </c>
      <c r="J39" s="298">
        <f t="shared" si="7"/>
        <v>13578</v>
      </c>
      <c r="K39" s="298">
        <f t="shared" si="7"/>
        <v>13052</v>
      </c>
      <c r="L39" s="298">
        <f t="shared" si="7"/>
        <v>13225</v>
      </c>
      <c r="M39" s="298">
        <f t="shared" si="7"/>
        <v>12297</v>
      </c>
      <c r="N39" s="298">
        <f t="shared" si="7"/>
        <v>13142</v>
      </c>
      <c r="O39" s="298">
        <f t="shared" si="7"/>
        <v>165432</v>
      </c>
      <c r="P39" s="298">
        <f t="shared" si="7"/>
        <v>113716</v>
      </c>
      <c r="Q39" s="298">
        <f t="shared" si="7"/>
        <v>51716</v>
      </c>
      <c r="R39" s="9"/>
    </row>
    <row r="42" spans="1:19" x14ac:dyDescent="0.2">
      <c r="A42" s="658" t="s">
        <v>844</v>
      </c>
      <c r="B42" s="735"/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</row>
    <row r="43" spans="1:19" x14ac:dyDescent="0.2">
      <c r="A43" s="639" t="s">
        <v>843</v>
      </c>
      <c r="B43" s="736" t="s">
        <v>932</v>
      </c>
      <c r="C43" s="1002">
        <f>DataBase!C35</f>
        <v>0</v>
      </c>
      <c r="D43" s="1002">
        <f>DataBase!D35</f>
        <v>0</v>
      </c>
      <c r="E43" s="1002">
        <f>DataBase!E35</f>
        <v>0</v>
      </c>
      <c r="F43" s="1002">
        <f>DataBase!F35</f>
        <v>0</v>
      </c>
      <c r="G43" s="1002">
        <f>DataBase!G35</f>
        <v>0</v>
      </c>
      <c r="H43" s="1002">
        <f>DataBase!H35</f>
        <v>0</v>
      </c>
      <c r="I43" s="1002">
        <f>DataBase!I35</f>
        <v>0</v>
      </c>
      <c r="J43" s="1002">
        <f>DataBase!J35</f>
        <v>0</v>
      </c>
      <c r="K43" s="1002">
        <f>DataBase!K35</f>
        <v>0</v>
      </c>
      <c r="L43" s="1002">
        <f>DataBase!L35</f>
        <v>0</v>
      </c>
      <c r="M43" s="1002">
        <f>DataBase!M35</f>
        <v>0</v>
      </c>
      <c r="N43" s="1002">
        <f>DataBase!N35</f>
        <v>0</v>
      </c>
      <c r="O43" s="619">
        <f t="shared" ref="O43:O48" si="8">SUM(C43:N43)</f>
        <v>0</v>
      </c>
      <c r="P43" s="293">
        <f t="shared" ref="P43:P56" si="9">SUM(C43:J43)</f>
        <v>0</v>
      </c>
      <c r="Q43" s="611">
        <f t="shared" ref="Q43:Q48" si="10">O43-P43</f>
        <v>0</v>
      </c>
    </row>
    <row r="44" spans="1:19" x14ac:dyDescent="0.2">
      <c r="A44" s="639" t="s">
        <v>119</v>
      </c>
      <c r="B44" s="736" t="s">
        <v>932</v>
      </c>
      <c r="C44" s="1002">
        <f>DataBase!C36</f>
        <v>0</v>
      </c>
      <c r="D44" s="1002">
        <f>DataBase!D36</f>
        <v>0</v>
      </c>
      <c r="E44" s="1002">
        <f>DataBase!E36</f>
        <v>0</v>
      </c>
      <c r="F44" s="1002">
        <f>DataBase!F36</f>
        <v>0</v>
      </c>
      <c r="G44" s="1002">
        <f>DataBase!G36</f>
        <v>0</v>
      </c>
      <c r="H44" s="1002">
        <f>DataBase!H36</f>
        <v>0</v>
      </c>
      <c r="I44" s="1002">
        <f>DataBase!I36</f>
        <v>0</v>
      </c>
      <c r="J44" s="1002">
        <f>DataBase!J36</f>
        <v>0</v>
      </c>
      <c r="K44" s="1002">
        <f>DataBase!K36</f>
        <v>0</v>
      </c>
      <c r="L44" s="1002">
        <f>DataBase!L36</f>
        <v>0</v>
      </c>
      <c r="M44" s="1002">
        <f>DataBase!M36</f>
        <v>0</v>
      </c>
      <c r="N44" s="1002">
        <f>DataBase!N36</f>
        <v>0</v>
      </c>
      <c r="O44" s="619">
        <f t="shared" si="8"/>
        <v>0</v>
      </c>
      <c r="P44" s="293">
        <f t="shared" si="9"/>
        <v>0</v>
      </c>
      <c r="Q44" s="611">
        <f t="shared" si="10"/>
        <v>0</v>
      </c>
    </row>
    <row r="45" spans="1:19" x14ac:dyDescent="0.2">
      <c r="A45" s="640" t="s">
        <v>226</v>
      </c>
      <c r="B45" s="736" t="s">
        <v>932</v>
      </c>
      <c r="C45" s="1002">
        <f>DataBase!C37</f>
        <v>0</v>
      </c>
      <c r="D45" s="1002">
        <f>DataBase!D37</f>
        <v>0</v>
      </c>
      <c r="E45" s="1002">
        <f>DataBase!E37</f>
        <v>0</v>
      </c>
      <c r="F45" s="1002">
        <f>DataBase!F37</f>
        <v>0</v>
      </c>
      <c r="G45" s="1002">
        <f>DataBase!G37</f>
        <v>0</v>
      </c>
      <c r="H45" s="1002">
        <f>DataBase!H37</f>
        <v>0</v>
      </c>
      <c r="I45" s="1002">
        <f>DataBase!I37</f>
        <v>0</v>
      </c>
      <c r="J45" s="1002">
        <f>DataBase!J37</f>
        <v>0</v>
      </c>
      <c r="K45" s="1002">
        <f>DataBase!K37</f>
        <v>0</v>
      </c>
      <c r="L45" s="1002">
        <f>DataBase!L37</f>
        <v>0</v>
      </c>
      <c r="M45" s="1002">
        <f>DataBase!M37</f>
        <v>0</v>
      </c>
      <c r="N45" s="1002">
        <f>DataBase!N37</f>
        <v>0</v>
      </c>
      <c r="O45" s="619">
        <f t="shared" si="8"/>
        <v>0</v>
      </c>
      <c r="P45" s="293">
        <f t="shared" si="9"/>
        <v>0</v>
      </c>
      <c r="Q45" s="611">
        <f t="shared" si="10"/>
        <v>0</v>
      </c>
    </row>
    <row r="46" spans="1:19" x14ac:dyDescent="0.2">
      <c r="A46" s="640" t="s">
        <v>227</v>
      </c>
      <c r="B46" s="736" t="s">
        <v>932</v>
      </c>
      <c r="C46" s="1002">
        <f>DataBase!C38</f>
        <v>0</v>
      </c>
      <c r="D46" s="1002">
        <f>DataBase!D38</f>
        <v>0</v>
      </c>
      <c r="E46" s="1002">
        <f>DataBase!E38</f>
        <v>0</v>
      </c>
      <c r="F46" s="1002">
        <f>DataBase!F38</f>
        <v>0</v>
      </c>
      <c r="G46" s="1002">
        <f>DataBase!G38</f>
        <v>0</v>
      </c>
      <c r="H46" s="1002">
        <f>DataBase!H38</f>
        <v>0</v>
      </c>
      <c r="I46" s="1002">
        <f>DataBase!I38</f>
        <v>0</v>
      </c>
      <c r="J46" s="1002">
        <f>DataBase!J38</f>
        <v>0</v>
      </c>
      <c r="K46" s="1002">
        <f>DataBase!K38</f>
        <v>0</v>
      </c>
      <c r="L46" s="1002">
        <f>DataBase!L38</f>
        <v>0</v>
      </c>
      <c r="M46" s="1002">
        <f>DataBase!M38</f>
        <v>0</v>
      </c>
      <c r="N46" s="1002">
        <f>DataBase!N38</f>
        <v>0</v>
      </c>
      <c r="O46" s="619">
        <f t="shared" si="8"/>
        <v>0</v>
      </c>
      <c r="P46" s="293">
        <f t="shared" si="9"/>
        <v>0</v>
      </c>
      <c r="Q46" s="611">
        <f t="shared" si="10"/>
        <v>0</v>
      </c>
    </row>
    <row r="47" spans="1:19" x14ac:dyDescent="0.2">
      <c r="A47" s="639" t="s">
        <v>216</v>
      </c>
      <c r="B47" s="736" t="s">
        <v>932</v>
      </c>
      <c r="C47" s="1002">
        <f>DataBase!C39</f>
        <v>0</v>
      </c>
      <c r="D47" s="1002">
        <f>DataBase!D39</f>
        <v>0</v>
      </c>
      <c r="E47" s="1002">
        <f>DataBase!E39</f>
        <v>0</v>
      </c>
      <c r="F47" s="1002">
        <f>DataBase!F39</f>
        <v>0</v>
      </c>
      <c r="G47" s="1002">
        <f>DataBase!G39</f>
        <v>0</v>
      </c>
      <c r="H47" s="1002">
        <f>DataBase!H39</f>
        <v>0</v>
      </c>
      <c r="I47" s="1002">
        <f>DataBase!I39</f>
        <v>0</v>
      </c>
      <c r="J47" s="1002">
        <f>DataBase!J39</f>
        <v>0</v>
      </c>
      <c r="K47" s="1002">
        <f>DataBase!K39</f>
        <v>0</v>
      </c>
      <c r="L47" s="1002">
        <f>DataBase!L39</f>
        <v>0</v>
      </c>
      <c r="M47" s="1002">
        <f>DataBase!M39</f>
        <v>0</v>
      </c>
      <c r="N47" s="1002">
        <f>DataBase!N39</f>
        <v>0</v>
      </c>
      <c r="O47" s="619">
        <f t="shared" si="8"/>
        <v>0</v>
      </c>
      <c r="P47" s="293">
        <f t="shared" si="9"/>
        <v>0</v>
      </c>
      <c r="Q47" s="611">
        <f t="shared" si="10"/>
        <v>0</v>
      </c>
    </row>
    <row r="48" spans="1:19" x14ac:dyDescent="0.2">
      <c r="A48" s="639" t="s">
        <v>225</v>
      </c>
      <c r="B48" s="736" t="s">
        <v>932</v>
      </c>
      <c r="C48" s="1002">
        <f>DataBase!C40</f>
        <v>0</v>
      </c>
      <c r="D48" s="1002">
        <f>DataBase!D40</f>
        <v>0</v>
      </c>
      <c r="E48" s="1002">
        <f>DataBase!E40</f>
        <v>0</v>
      </c>
      <c r="F48" s="1002">
        <f>DataBase!F40</f>
        <v>0</v>
      </c>
      <c r="G48" s="1002">
        <f>DataBase!G40</f>
        <v>0</v>
      </c>
      <c r="H48" s="1002">
        <f>DataBase!H40</f>
        <v>0</v>
      </c>
      <c r="I48" s="1002">
        <f>DataBase!I40</f>
        <v>0</v>
      </c>
      <c r="J48" s="1002">
        <f>DataBase!J40</f>
        <v>0</v>
      </c>
      <c r="K48" s="1002">
        <f>DataBase!K40</f>
        <v>0</v>
      </c>
      <c r="L48" s="1002">
        <f>DataBase!L40</f>
        <v>0</v>
      </c>
      <c r="M48" s="1002">
        <f>DataBase!M40</f>
        <v>0</v>
      </c>
      <c r="N48" s="1002">
        <f>DataBase!N40</f>
        <v>0</v>
      </c>
      <c r="O48" s="619">
        <f t="shared" si="8"/>
        <v>0</v>
      </c>
      <c r="P48" s="293">
        <f t="shared" si="9"/>
        <v>0</v>
      </c>
      <c r="Q48" s="611">
        <f t="shared" si="10"/>
        <v>0</v>
      </c>
    </row>
    <row r="49" spans="1:17" ht="6" customHeight="1" x14ac:dyDescent="0.2">
      <c r="A49" s="639"/>
      <c r="B49" s="736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9"/>
      <c r="P49" s="612"/>
      <c r="Q49" s="611"/>
    </row>
    <row r="50" spans="1:17" x14ac:dyDescent="0.2">
      <c r="A50" s="650" t="s">
        <v>462</v>
      </c>
      <c r="B50" s="737" t="s">
        <v>857</v>
      </c>
      <c r="C50" s="1002">
        <f>DataBase!C42</f>
        <v>0</v>
      </c>
      <c r="D50" s="1002">
        <f>DataBase!D42</f>
        <v>0</v>
      </c>
      <c r="E50" s="1002">
        <f>DataBase!E42</f>
        <v>0</v>
      </c>
      <c r="F50" s="1002">
        <f>DataBase!F42</f>
        <v>0</v>
      </c>
      <c r="G50" s="1002">
        <f>DataBase!G42</f>
        <v>0</v>
      </c>
      <c r="H50" s="1002">
        <f>DataBase!H42</f>
        <v>0</v>
      </c>
      <c r="I50" s="1002">
        <f>DataBase!I42</f>
        <v>0</v>
      </c>
      <c r="J50" s="1002">
        <f>DataBase!J42</f>
        <v>0</v>
      </c>
      <c r="K50" s="1002">
        <f>DataBase!K42</f>
        <v>0</v>
      </c>
      <c r="L50" s="1002">
        <f>DataBase!L42</f>
        <v>0</v>
      </c>
      <c r="M50" s="1002">
        <f>DataBase!M42</f>
        <v>0</v>
      </c>
      <c r="N50" s="1002">
        <f>DataBase!N42</f>
        <v>0</v>
      </c>
      <c r="O50" s="619">
        <f t="shared" ref="O50:O56" si="11">SUM(C50:N50)</f>
        <v>0</v>
      </c>
      <c r="P50" s="293">
        <f t="shared" si="9"/>
        <v>0</v>
      </c>
      <c r="Q50" s="611">
        <f t="shared" ref="Q50:Q56" si="12">O50-P50</f>
        <v>0</v>
      </c>
    </row>
    <row r="51" spans="1:17" x14ac:dyDescent="0.2">
      <c r="A51" s="639" t="s">
        <v>463</v>
      </c>
      <c r="B51" s="737" t="s">
        <v>857</v>
      </c>
      <c r="C51" s="1002">
        <f>DataBase!C43</f>
        <v>0</v>
      </c>
      <c r="D51" s="1002">
        <f>DataBase!D43</f>
        <v>0</v>
      </c>
      <c r="E51" s="1002">
        <f>DataBase!E43</f>
        <v>0</v>
      </c>
      <c r="F51" s="1002">
        <f>DataBase!F43</f>
        <v>0</v>
      </c>
      <c r="G51" s="1002">
        <f>DataBase!G43</f>
        <v>0</v>
      </c>
      <c r="H51" s="1002">
        <f>DataBase!H43</f>
        <v>0</v>
      </c>
      <c r="I51" s="1002">
        <f>DataBase!I43</f>
        <v>0</v>
      </c>
      <c r="J51" s="1002">
        <f>DataBase!J43</f>
        <v>0</v>
      </c>
      <c r="K51" s="1002">
        <f>DataBase!K43</f>
        <v>0</v>
      </c>
      <c r="L51" s="1002">
        <f>DataBase!L43</f>
        <v>0</v>
      </c>
      <c r="M51" s="1002">
        <f>DataBase!M43</f>
        <v>0</v>
      </c>
      <c r="N51" s="1002">
        <f>DataBase!N43</f>
        <v>0</v>
      </c>
      <c r="O51" s="611">
        <f t="shared" si="11"/>
        <v>0</v>
      </c>
      <c r="P51" s="293">
        <f t="shared" si="9"/>
        <v>0</v>
      </c>
      <c r="Q51" s="611">
        <f t="shared" si="12"/>
        <v>0</v>
      </c>
    </row>
    <row r="52" spans="1:17" x14ac:dyDescent="0.2">
      <c r="A52" s="639" t="s">
        <v>25</v>
      </c>
      <c r="B52" s="737" t="s">
        <v>857</v>
      </c>
      <c r="C52" s="1002">
        <f>DataBase!C44</f>
        <v>23</v>
      </c>
      <c r="D52" s="1002">
        <f>DataBase!D44</f>
        <v>24</v>
      </c>
      <c r="E52" s="1002">
        <f>DataBase!E44</f>
        <v>25</v>
      </c>
      <c r="F52" s="1002">
        <f>DataBase!F44</f>
        <v>23</v>
      </c>
      <c r="G52" s="1002">
        <f>DataBase!G44</f>
        <v>24</v>
      </c>
      <c r="H52" s="1002">
        <f>DataBase!H44</f>
        <v>24</v>
      </c>
      <c r="I52" s="1002">
        <f>DataBase!I44</f>
        <v>23</v>
      </c>
      <c r="J52" s="1002">
        <f>DataBase!J44</f>
        <v>24</v>
      </c>
      <c r="K52" s="1002">
        <f>DataBase!K44</f>
        <v>23</v>
      </c>
      <c r="L52" s="1002">
        <f>DataBase!L44</f>
        <v>23</v>
      </c>
      <c r="M52" s="1002">
        <f>DataBase!M44</f>
        <v>23</v>
      </c>
      <c r="N52" s="1002">
        <f>DataBase!N44</f>
        <v>23</v>
      </c>
      <c r="O52" s="611">
        <f t="shared" si="11"/>
        <v>282</v>
      </c>
      <c r="P52" s="293">
        <f t="shared" si="9"/>
        <v>190</v>
      </c>
      <c r="Q52" s="611">
        <f t="shared" si="12"/>
        <v>92</v>
      </c>
    </row>
    <row r="53" spans="1:17" x14ac:dyDescent="0.2">
      <c r="A53" s="639" t="s">
        <v>334</v>
      </c>
      <c r="B53" s="737" t="s">
        <v>857</v>
      </c>
      <c r="C53" s="1002">
        <f>DataBase!C45</f>
        <v>0</v>
      </c>
      <c r="D53" s="1002">
        <f>DataBase!D45</f>
        <v>0</v>
      </c>
      <c r="E53" s="1002">
        <f>DataBase!E45</f>
        <v>0</v>
      </c>
      <c r="F53" s="1002">
        <f>DataBase!F45</f>
        <v>0</v>
      </c>
      <c r="G53" s="1002">
        <f>DataBase!G45</f>
        <v>54</v>
      </c>
      <c r="H53" s="1002">
        <f>DataBase!H45</f>
        <v>0</v>
      </c>
      <c r="I53" s="1002">
        <f>DataBase!I45</f>
        <v>0</v>
      </c>
      <c r="J53" s="1002">
        <f>DataBase!J45</f>
        <v>0</v>
      </c>
      <c r="K53" s="1002">
        <f>DataBase!K45</f>
        <v>0</v>
      </c>
      <c r="L53" s="1002">
        <f>DataBase!L45</f>
        <v>0</v>
      </c>
      <c r="M53" s="1002">
        <f>DataBase!M45</f>
        <v>0</v>
      </c>
      <c r="N53" s="1002">
        <f>DataBase!N45</f>
        <v>0</v>
      </c>
      <c r="O53" s="611">
        <f t="shared" si="11"/>
        <v>54</v>
      </c>
      <c r="P53" s="293">
        <f t="shared" si="9"/>
        <v>54</v>
      </c>
      <c r="Q53" s="611">
        <f t="shared" si="12"/>
        <v>0</v>
      </c>
    </row>
    <row r="54" spans="1:17" x14ac:dyDescent="0.2">
      <c r="A54" s="639" t="s">
        <v>920</v>
      </c>
      <c r="B54" s="738"/>
      <c r="C54" s="1002">
        <f>DataBase!C46</f>
        <v>0</v>
      </c>
      <c r="D54" s="1002">
        <f>DataBase!D46</f>
        <v>0</v>
      </c>
      <c r="E54" s="1002">
        <f>DataBase!E46</f>
        <v>0</v>
      </c>
      <c r="F54" s="1002">
        <f>DataBase!F46</f>
        <v>0</v>
      </c>
      <c r="G54" s="1002">
        <f>DataBase!G46</f>
        <v>0</v>
      </c>
      <c r="H54" s="1002">
        <f>DataBase!H46</f>
        <v>0</v>
      </c>
      <c r="I54" s="1002">
        <f>DataBase!I46</f>
        <v>0</v>
      </c>
      <c r="J54" s="1002">
        <f>DataBase!J46</f>
        <v>0</v>
      </c>
      <c r="K54" s="1002">
        <f>DataBase!K46</f>
        <v>0</v>
      </c>
      <c r="L54" s="1002">
        <f>DataBase!L46</f>
        <v>0</v>
      </c>
      <c r="M54" s="1002">
        <f>DataBase!M46</f>
        <v>0</v>
      </c>
      <c r="N54" s="1002">
        <f>DataBase!N46</f>
        <v>0</v>
      </c>
      <c r="O54" s="611">
        <f t="shared" si="11"/>
        <v>0</v>
      </c>
      <c r="P54" s="293">
        <f t="shared" si="9"/>
        <v>0</v>
      </c>
      <c r="Q54" s="611">
        <f t="shared" si="12"/>
        <v>0</v>
      </c>
    </row>
    <row r="55" spans="1:17" x14ac:dyDescent="0.2">
      <c r="A55" s="639" t="s">
        <v>920</v>
      </c>
      <c r="B55" s="738"/>
      <c r="C55" s="1002">
        <f>DataBase!C47</f>
        <v>0</v>
      </c>
      <c r="D55" s="1002">
        <f>DataBase!D47</f>
        <v>0</v>
      </c>
      <c r="E55" s="1002">
        <f>DataBase!E47</f>
        <v>0</v>
      </c>
      <c r="F55" s="1002">
        <f>DataBase!F47</f>
        <v>0</v>
      </c>
      <c r="G55" s="1002">
        <f>DataBase!G47</f>
        <v>0</v>
      </c>
      <c r="H55" s="1002">
        <f>DataBase!H47</f>
        <v>0</v>
      </c>
      <c r="I55" s="1002">
        <f>DataBase!I47</f>
        <v>0</v>
      </c>
      <c r="J55" s="1002">
        <f>DataBase!J47</f>
        <v>0</v>
      </c>
      <c r="K55" s="1002">
        <f>DataBase!K47</f>
        <v>0</v>
      </c>
      <c r="L55" s="1002">
        <f>DataBase!L47</f>
        <v>0</v>
      </c>
      <c r="M55" s="1002">
        <f>DataBase!M47</f>
        <v>0</v>
      </c>
      <c r="N55" s="1002">
        <f>DataBase!N47</f>
        <v>0</v>
      </c>
      <c r="O55" s="611">
        <f t="shared" si="11"/>
        <v>0</v>
      </c>
      <c r="P55" s="293">
        <f t="shared" si="9"/>
        <v>0</v>
      </c>
      <c r="Q55" s="611">
        <f t="shared" si="12"/>
        <v>0</v>
      </c>
    </row>
    <row r="56" spans="1:17" x14ac:dyDescent="0.2">
      <c r="A56" s="640" t="s">
        <v>919</v>
      </c>
      <c r="B56" s="738"/>
      <c r="C56" s="615">
        <v>0</v>
      </c>
      <c r="D56" s="615">
        <v>0</v>
      </c>
      <c r="E56" s="615">
        <f>0</f>
        <v>0</v>
      </c>
      <c r="F56" s="615">
        <f>0</f>
        <v>0</v>
      </c>
      <c r="G56" s="615">
        <v>0</v>
      </c>
      <c r="H56" s="615">
        <v>0</v>
      </c>
      <c r="I56" s="615">
        <v>0</v>
      </c>
      <c r="J56" s="615">
        <v>0</v>
      </c>
      <c r="K56" s="615">
        <v>0</v>
      </c>
      <c r="L56" s="615">
        <v>0</v>
      </c>
      <c r="M56" s="615">
        <v>0</v>
      </c>
      <c r="N56" s="615">
        <v>0</v>
      </c>
      <c r="O56" s="614">
        <f t="shared" si="11"/>
        <v>0</v>
      </c>
      <c r="P56" s="301">
        <f t="shared" si="9"/>
        <v>0</v>
      </c>
      <c r="Q56" s="614">
        <f t="shared" si="12"/>
        <v>0</v>
      </c>
    </row>
    <row r="57" spans="1:17" ht="6" customHeight="1" x14ac:dyDescent="0.2">
      <c r="A57" s="641"/>
      <c r="B57" s="738"/>
      <c r="C57" s="612"/>
      <c r="D57" s="612"/>
      <c r="E57" s="612"/>
      <c r="F57" s="612"/>
      <c r="G57" s="612"/>
      <c r="H57" s="612"/>
      <c r="I57" s="612"/>
      <c r="J57" s="612"/>
      <c r="K57" s="612"/>
      <c r="L57" s="612"/>
      <c r="M57" s="612"/>
      <c r="N57" s="612"/>
      <c r="O57" s="611"/>
      <c r="P57" s="612"/>
      <c r="Q57" s="611"/>
    </row>
    <row r="58" spans="1:17" x14ac:dyDescent="0.2">
      <c r="A58" s="643" t="s">
        <v>933</v>
      </c>
      <c r="B58" s="739"/>
      <c r="C58" s="617">
        <f t="shared" ref="C58:Q58" si="13">SUM(C43:C57)</f>
        <v>23</v>
      </c>
      <c r="D58" s="617">
        <f t="shared" si="13"/>
        <v>24</v>
      </c>
      <c r="E58" s="617">
        <f t="shared" si="13"/>
        <v>25</v>
      </c>
      <c r="F58" s="617">
        <f t="shared" si="13"/>
        <v>23</v>
      </c>
      <c r="G58" s="617">
        <f t="shared" si="13"/>
        <v>78</v>
      </c>
      <c r="H58" s="617">
        <f t="shared" si="13"/>
        <v>24</v>
      </c>
      <c r="I58" s="617">
        <f t="shared" si="13"/>
        <v>23</v>
      </c>
      <c r="J58" s="617">
        <f t="shared" si="13"/>
        <v>24</v>
      </c>
      <c r="K58" s="617">
        <f t="shared" si="13"/>
        <v>23</v>
      </c>
      <c r="L58" s="617">
        <f t="shared" si="13"/>
        <v>23</v>
      </c>
      <c r="M58" s="617">
        <f t="shared" si="13"/>
        <v>23</v>
      </c>
      <c r="N58" s="617">
        <f t="shared" si="13"/>
        <v>23</v>
      </c>
      <c r="O58" s="617">
        <f t="shared" si="13"/>
        <v>336</v>
      </c>
      <c r="P58" s="617">
        <f t="shared" si="13"/>
        <v>244</v>
      </c>
      <c r="Q58" s="617">
        <f t="shared" si="13"/>
        <v>92</v>
      </c>
    </row>
    <row r="59" spans="1:17" x14ac:dyDescent="0.2">
      <c r="A59" s="633"/>
      <c r="B59" s="722"/>
      <c r="C59" s="617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</row>
    <row r="60" spans="1:17" x14ac:dyDescent="0.2">
      <c r="A60" s="633"/>
      <c r="B60" s="722"/>
      <c r="C60" s="617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</row>
    <row r="61" spans="1:17" x14ac:dyDescent="0.2">
      <c r="A61" s="633"/>
      <c r="B61" s="740"/>
      <c r="C61" s="620"/>
      <c r="D61" s="620"/>
      <c r="E61" s="620"/>
      <c r="F61" s="620"/>
      <c r="G61" s="620"/>
      <c r="H61" s="620"/>
      <c r="I61" s="620"/>
      <c r="J61" s="620"/>
      <c r="K61" s="620"/>
      <c r="L61" s="620"/>
      <c r="M61" s="620"/>
      <c r="N61" s="620"/>
      <c r="O61" s="620"/>
      <c r="P61" s="620"/>
      <c r="Q61" s="620"/>
    </row>
    <row r="62" spans="1:17" ht="15" x14ac:dyDescent="0.2">
      <c r="A62" s="644" t="s">
        <v>934</v>
      </c>
      <c r="B62" s="740"/>
      <c r="C62" s="621"/>
      <c r="D62" s="621"/>
      <c r="E62" s="621"/>
      <c r="F62" s="621"/>
      <c r="G62" s="622"/>
      <c r="H62" s="621"/>
      <c r="I62" s="621"/>
      <c r="J62" s="621"/>
      <c r="K62" s="621"/>
      <c r="L62" s="621"/>
      <c r="M62" s="621"/>
      <c r="N62" s="621"/>
      <c r="O62" s="621"/>
      <c r="P62" s="623"/>
      <c r="Q62" s="620"/>
    </row>
    <row r="63" spans="1:17" ht="15" x14ac:dyDescent="0.2">
      <c r="A63" s="645" t="s">
        <v>935</v>
      </c>
      <c r="B63" s="740"/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  <c r="N63" s="621"/>
      <c r="O63" s="621"/>
      <c r="P63" s="623"/>
      <c r="Q63" s="620"/>
    </row>
    <row r="64" spans="1:17" ht="15" x14ac:dyDescent="0.2">
      <c r="A64" s="646" t="str">
        <f>A3</f>
        <v>2001 CURRENT ESTIMATE</v>
      </c>
      <c r="B64" s="741">
        <f ca="1">NOW()</f>
        <v>37154.402540162038</v>
      </c>
      <c r="C64" s="624" t="str">
        <f>C3</f>
        <v>ACT.</v>
      </c>
      <c r="D64" s="624" t="str">
        <f t="shared" ref="D64:O64" si="14">D3</f>
        <v>ACT.</v>
      </c>
      <c r="E64" s="624" t="str">
        <f t="shared" si="14"/>
        <v>ACT.</v>
      </c>
      <c r="F64" s="624" t="str">
        <f t="shared" si="14"/>
        <v>ACT.</v>
      </c>
      <c r="G64" s="624" t="str">
        <f t="shared" si="14"/>
        <v>ACT.</v>
      </c>
      <c r="H64" s="624" t="str">
        <f t="shared" si="14"/>
        <v>ACT.</v>
      </c>
      <c r="I64" s="624" t="str">
        <f t="shared" si="14"/>
        <v>ACT.</v>
      </c>
      <c r="J64" s="624" t="str">
        <f t="shared" si="14"/>
        <v>ACT.</v>
      </c>
      <c r="K64" s="624" t="str">
        <f t="shared" si="14"/>
        <v>3rd CE</v>
      </c>
      <c r="L64" s="624" t="str">
        <f t="shared" si="14"/>
        <v>3rd CE</v>
      </c>
      <c r="M64" s="624" t="str">
        <f t="shared" si="14"/>
        <v>3rd CE</v>
      </c>
      <c r="N64" s="624" t="str">
        <f t="shared" si="14"/>
        <v>3rd CE</v>
      </c>
      <c r="O64" s="624" t="str">
        <f t="shared" si="14"/>
        <v>TOTAL</v>
      </c>
      <c r="P64" s="625"/>
      <c r="Q64" s="620"/>
    </row>
    <row r="65" spans="1:17" ht="15" x14ac:dyDescent="0.2">
      <c r="A65" s="647"/>
      <c r="B65" s="742">
        <f ca="1">NOW()</f>
        <v>37154.402540162038</v>
      </c>
      <c r="C65" s="626" t="str">
        <f>C4</f>
        <v>JAN</v>
      </c>
      <c r="D65" s="626" t="str">
        <f t="shared" ref="D65:O65" si="15">D4</f>
        <v>FEB</v>
      </c>
      <c r="E65" s="626" t="str">
        <f t="shared" si="15"/>
        <v>MAR</v>
      </c>
      <c r="F65" s="626" t="str">
        <f t="shared" si="15"/>
        <v>APR</v>
      </c>
      <c r="G65" s="626" t="str">
        <f t="shared" si="15"/>
        <v>MAY</v>
      </c>
      <c r="H65" s="626" t="str">
        <f t="shared" si="15"/>
        <v>JUN</v>
      </c>
      <c r="I65" s="626" t="str">
        <f t="shared" si="15"/>
        <v>JUL</v>
      </c>
      <c r="J65" s="626" t="str">
        <f t="shared" si="15"/>
        <v>AUG</v>
      </c>
      <c r="K65" s="626" t="str">
        <f t="shared" si="15"/>
        <v>SEP</v>
      </c>
      <c r="L65" s="626" t="str">
        <f t="shared" si="15"/>
        <v>OCT</v>
      </c>
      <c r="M65" s="626" t="str">
        <f t="shared" si="15"/>
        <v>NOV</v>
      </c>
      <c r="N65" s="626" t="str">
        <f t="shared" si="15"/>
        <v>DEC</v>
      </c>
      <c r="O65" s="626">
        <f t="shared" si="15"/>
        <v>2001</v>
      </c>
      <c r="P65" s="623"/>
      <c r="Q65" s="620"/>
    </row>
    <row r="66" spans="1:17" ht="6" customHeight="1" x14ac:dyDescent="0.2">
      <c r="A66" s="633"/>
      <c r="B66" s="740"/>
      <c r="C66" s="627"/>
      <c r="D66" s="627"/>
      <c r="E66" s="627"/>
      <c r="F66" s="627"/>
      <c r="G66" s="627"/>
      <c r="H66" s="627"/>
      <c r="I66" s="627"/>
      <c r="J66" s="627"/>
      <c r="K66" s="627"/>
      <c r="L66" s="627"/>
      <c r="M66" s="627"/>
      <c r="N66" s="627"/>
      <c r="O66" s="627"/>
      <c r="P66" s="623"/>
      <c r="Q66" s="620"/>
    </row>
    <row r="67" spans="1:17" ht="12.75" customHeight="1" x14ac:dyDescent="0.2">
      <c r="A67" s="643" t="s">
        <v>938</v>
      </c>
      <c r="B67" s="740"/>
      <c r="C67" s="620"/>
      <c r="D67" s="620"/>
      <c r="E67" s="620"/>
      <c r="F67" s="620"/>
      <c r="G67" s="620"/>
      <c r="H67" s="620"/>
      <c r="I67" s="620"/>
      <c r="J67" s="620"/>
      <c r="K67" s="620"/>
      <c r="L67" s="620"/>
      <c r="M67" s="620"/>
      <c r="N67" s="620"/>
      <c r="O67" s="620"/>
      <c r="P67" s="623"/>
      <c r="Q67" s="620"/>
    </row>
    <row r="68" spans="1:17" ht="12.75" customHeight="1" x14ac:dyDescent="0.2">
      <c r="A68" s="648" t="s">
        <v>939</v>
      </c>
      <c r="B68" s="740"/>
      <c r="C68" s="628">
        <v>0</v>
      </c>
      <c r="D68" s="628">
        <v>0</v>
      </c>
      <c r="E68" s="628">
        <v>0</v>
      </c>
      <c r="F68" s="628">
        <v>0</v>
      </c>
      <c r="G68" s="628">
        <v>0</v>
      </c>
      <c r="H68" s="628">
        <v>0</v>
      </c>
      <c r="I68" s="628">
        <v>0</v>
      </c>
      <c r="J68" s="628">
        <v>0</v>
      </c>
      <c r="K68" s="628">
        <v>0</v>
      </c>
      <c r="L68" s="628">
        <v>0</v>
      </c>
      <c r="M68" s="628">
        <v>0</v>
      </c>
      <c r="N68" s="628">
        <v>0</v>
      </c>
      <c r="O68" s="611">
        <f>SUM(C68:N68)</f>
        <v>0</v>
      </c>
      <c r="P68" s="623"/>
      <c r="Q68" s="620"/>
    </row>
    <row r="69" spans="1:17" ht="12.75" customHeight="1" x14ac:dyDescent="0.2">
      <c r="A69" s="648" t="s">
        <v>940</v>
      </c>
      <c r="B69" s="740"/>
      <c r="C69" s="628">
        <v>0</v>
      </c>
      <c r="D69" s="628">
        <v>0</v>
      </c>
      <c r="E69" s="628">
        <v>0</v>
      </c>
      <c r="F69" s="628">
        <v>0</v>
      </c>
      <c r="G69" s="628">
        <v>0</v>
      </c>
      <c r="H69" s="628">
        <v>0</v>
      </c>
      <c r="I69" s="628">
        <v>0</v>
      </c>
      <c r="J69" s="628">
        <v>0</v>
      </c>
      <c r="K69" s="628">
        <v>0</v>
      </c>
      <c r="L69" s="628">
        <v>0</v>
      </c>
      <c r="M69" s="628">
        <v>0</v>
      </c>
      <c r="N69" s="628">
        <v>0</v>
      </c>
      <c r="O69" s="611">
        <f>SUM(C69:N69)</f>
        <v>0</v>
      </c>
      <c r="P69" s="623"/>
      <c r="Q69" s="620"/>
    </row>
    <row r="70" spans="1:17" ht="12.75" customHeight="1" x14ac:dyDescent="0.2">
      <c r="A70" s="648" t="s">
        <v>941</v>
      </c>
      <c r="B70" s="740"/>
      <c r="C70" s="629">
        <v>0</v>
      </c>
      <c r="D70" s="629">
        <v>0</v>
      </c>
      <c r="E70" s="629">
        <v>0</v>
      </c>
      <c r="F70" s="629">
        <v>0</v>
      </c>
      <c r="G70" s="629">
        <v>0</v>
      </c>
      <c r="H70" s="629">
        <v>0</v>
      </c>
      <c r="I70" s="629">
        <v>0</v>
      </c>
      <c r="J70" s="629">
        <v>0</v>
      </c>
      <c r="K70" s="629">
        <v>0</v>
      </c>
      <c r="L70" s="629">
        <v>0</v>
      </c>
      <c r="M70" s="629">
        <v>0</v>
      </c>
      <c r="N70" s="629">
        <v>0</v>
      </c>
      <c r="O70" s="614">
        <f>SUM(C70:N70)</f>
        <v>0</v>
      </c>
      <c r="P70" s="623"/>
      <c r="Q70" s="620"/>
    </row>
    <row r="71" spans="1:17" ht="6" customHeight="1" x14ac:dyDescent="0.2">
      <c r="A71" s="633"/>
      <c r="B71" s="74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3"/>
      <c r="Q71" s="620"/>
    </row>
    <row r="72" spans="1:17" ht="12.75" customHeight="1" x14ac:dyDescent="0.2">
      <c r="A72" s="648" t="s">
        <v>942</v>
      </c>
      <c r="B72" s="740"/>
      <c r="C72" s="611">
        <f t="shared" ref="C72:N72" si="16">C68+C69+C70</f>
        <v>0</v>
      </c>
      <c r="D72" s="611">
        <f t="shared" si="16"/>
        <v>0</v>
      </c>
      <c r="E72" s="611">
        <f t="shared" si="16"/>
        <v>0</v>
      </c>
      <c r="F72" s="611">
        <f t="shared" si="16"/>
        <v>0</v>
      </c>
      <c r="G72" s="611">
        <f t="shared" si="16"/>
        <v>0</v>
      </c>
      <c r="H72" s="611">
        <f t="shared" si="16"/>
        <v>0</v>
      </c>
      <c r="I72" s="611">
        <f t="shared" si="16"/>
        <v>0</v>
      </c>
      <c r="J72" s="611">
        <f t="shared" si="16"/>
        <v>0</v>
      </c>
      <c r="K72" s="611">
        <f t="shared" si="16"/>
        <v>0</v>
      </c>
      <c r="L72" s="611">
        <f t="shared" si="16"/>
        <v>0</v>
      </c>
      <c r="M72" s="611">
        <f t="shared" si="16"/>
        <v>0</v>
      </c>
      <c r="N72" s="611">
        <f t="shared" si="16"/>
        <v>0</v>
      </c>
      <c r="O72" s="611">
        <f>SUM(C72:N72)</f>
        <v>0</v>
      </c>
      <c r="P72" s="623"/>
      <c r="Q72" s="620"/>
    </row>
    <row r="73" spans="1:17" ht="6" customHeight="1" x14ac:dyDescent="0.2">
      <c r="A73" s="633"/>
      <c r="B73" s="740"/>
      <c r="C73" s="620"/>
      <c r="D73" s="620"/>
      <c r="E73" s="620"/>
      <c r="F73" s="620"/>
      <c r="G73" s="620"/>
      <c r="H73" s="620"/>
      <c r="I73" s="620"/>
      <c r="J73" s="620"/>
      <c r="K73" s="620"/>
      <c r="L73" s="620"/>
      <c r="M73" s="620"/>
      <c r="N73" s="620"/>
      <c r="O73" s="620"/>
      <c r="P73" s="623"/>
      <c r="Q73" s="620"/>
    </row>
    <row r="74" spans="1:17" ht="12.75" customHeight="1" x14ac:dyDescent="0.2">
      <c r="A74" s="640" t="s">
        <v>943</v>
      </c>
      <c r="B74" s="740"/>
      <c r="C74" s="630" t="e">
        <f t="shared" ref="C74:O74" si="17">C76/C72</f>
        <v>#DIV/0!</v>
      </c>
      <c r="D74" s="630" t="e">
        <f t="shared" si="17"/>
        <v>#DIV/0!</v>
      </c>
      <c r="E74" s="630" t="e">
        <f t="shared" si="17"/>
        <v>#DIV/0!</v>
      </c>
      <c r="F74" s="630" t="e">
        <f t="shared" si="17"/>
        <v>#DIV/0!</v>
      </c>
      <c r="G74" s="630" t="e">
        <f t="shared" si="17"/>
        <v>#DIV/0!</v>
      </c>
      <c r="H74" s="630" t="e">
        <f t="shared" si="17"/>
        <v>#DIV/0!</v>
      </c>
      <c r="I74" s="630" t="e">
        <f t="shared" si="17"/>
        <v>#DIV/0!</v>
      </c>
      <c r="J74" s="630" t="e">
        <f t="shared" si="17"/>
        <v>#DIV/0!</v>
      </c>
      <c r="K74" s="630" t="e">
        <f t="shared" si="17"/>
        <v>#DIV/0!</v>
      </c>
      <c r="L74" s="630" t="e">
        <f t="shared" si="17"/>
        <v>#DIV/0!</v>
      </c>
      <c r="M74" s="630" t="e">
        <f t="shared" si="17"/>
        <v>#DIV/0!</v>
      </c>
      <c r="N74" s="630" t="e">
        <f t="shared" si="17"/>
        <v>#DIV/0!</v>
      </c>
      <c r="O74" s="630" t="e">
        <f t="shared" si="17"/>
        <v>#DIV/0!</v>
      </c>
      <c r="P74" s="623"/>
      <c r="Q74" s="620"/>
    </row>
    <row r="75" spans="1:17" ht="6" customHeight="1" x14ac:dyDescent="0.2">
      <c r="A75" s="633"/>
      <c r="B75" s="740"/>
      <c r="C75" s="620"/>
      <c r="D75" s="620"/>
      <c r="E75" s="620"/>
      <c r="F75" s="620"/>
      <c r="G75" s="620"/>
      <c r="H75" s="620"/>
      <c r="I75" s="620"/>
      <c r="J75" s="620"/>
      <c r="K75" s="620"/>
      <c r="L75" s="620"/>
      <c r="M75" s="620"/>
      <c r="N75" s="620"/>
      <c r="O75" s="620"/>
      <c r="P75" s="623"/>
      <c r="Q75" s="620"/>
    </row>
    <row r="76" spans="1:17" ht="12.75" customHeight="1" x14ac:dyDescent="0.2">
      <c r="A76" s="649" t="s">
        <v>947</v>
      </c>
      <c r="B76" s="743"/>
      <c r="C76" s="631">
        <v>0</v>
      </c>
      <c r="D76" s="631">
        <v>0</v>
      </c>
      <c r="E76" s="631">
        <v>0</v>
      </c>
      <c r="F76" s="631">
        <v>0</v>
      </c>
      <c r="G76" s="631">
        <v>0</v>
      </c>
      <c r="H76" s="631">
        <v>0</v>
      </c>
      <c r="I76" s="631">
        <v>0</v>
      </c>
      <c r="J76" s="631">
        <v>0</v>
      </c>
      <c r="K76" s="631">
        <v>0</v>
      </c>
      <c r="L76" s="631">
        <v>0</v>
      </c>
      <c r="M76" s="631">
        <v>0</v>
      </c>
      <c r="N76" s="631">
        <v>0</v>
      </c>
      <c r="O76" s="632">
        <f>SUM(C76:N76)</f>
        <v>0</v>
      </c>
      <c r="P76" s="623"/>
      <c r="Q76" s="620"/>
    </row>
    <row r="77" spans="1:17" ht="6" customHeight="1" x14ac:dyDescent="0.2">
      <c r="A77" s="633"/>
      <c r="B77" s="740"/>
      <c r="C77" s="633"/>
      <c r="D77" s="633"/>
      <c r="E77" s="633"/>
      <c r="F77" s="633"/>
      <c r="G77" s="633"/>
      <c r="H77" s="633"/>
      <c r="I77" s="633"/>
      <c r="J77" s="633"/>
      <c r="K77" s="633"/>
      <c r="L77" s="633"/>
      <c r="M77" s="633"/>
      <c r="N77" s="633"/>
      <c r="O77" s="620"/>
      <c r="P77" s="623"/>
      <c r="Q77" s="620"/>
    </row>
    <row r="78" spans="1:17" ht="12.75" customHeight="1" x14ac:dyDescent="0.2">
      <c r="A78" s="649" t="s">
        <v>948</v>
      </c>
      <c r="B78" s="743"/>
      <c r="C78" s="634">
        <v>0</v>
      </c>
      <c r="D78" s="634">
        <v>0</v>
      </c>
      <c r="E78" s="634">
        <v>0</v>
      </c>
      <c r="F78" s="634">
        <v>0</v>
      </c>
      <c r="G78" s="634">
        <v>0</v>
      </c>
      <c r="H78" s="634">
        <v>0</v>
      </c>
      <c r="I78" s="634">
        <v>0</v>
      </c>
      <c r="J78" s="634">
        <v>0</v>
      </c>
      <c r="K78" s="634">
        <v>0</v>
      </c>
      <c r="L78" s="634">
        <v>0</v>
      </c>
      <c r="M78" s="634">
        <v>0</v>
      </c>
      <c r="N78" s="634">
        <v>0</v>
      </c>
      <c r="O78" s="635">
        <f>SUM(C78:N78)</f>
        <v>0</v>
      </c>
      <c r="P78" s="623"/>
      <c r="Q78" s="620"/>
    </row>
    <row r="79" spans="1:17" ht="6" customHeight="1" x14ac:dyDescent="0.2">
      <c r="A79" s="633"/>
      <c r="B79" s="74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3"/>
      <c r="Q79" s="620"/>
    </row>
    <row r="80" spans="1:17" ht="12.75" customHeight="1" x14ac:dyDescent="0.2">
      <c r="A80" s="640" t="s">
        <v>949</v>
      </c>
      <c r="B80" s="740"/>
      <c r="C80" s="611">
        <f t="shared" ref="C80:N80" si="18">C76-C78</f>
        <v>0</v>
      </c>
      <c r="D80" s="611">
        <f t="shared" si="18"/>
        <v>0</v>
      </c>
      <c r="E80" s="611">
        <f t="shared" si="18"/>
        <v>0</v>
      </c>
      <c r="F80" s="611">
        <f t="shared" si="18"/>
        <v>0</v>
      </c>
      <c r="G80" s="611">
        <f t="shared" si="18"/>
        <v>0</v>
      </c>
      <c r="H80" s="611">
        <f t="shared" si="18"/>
        <v>0</v>
      </c>
      <c r="I80" s="611">
        <f t="shared" si="18"/>
        <v>0</v>
      </c>
      <c r="J80" s="611">
        <f t="shared" si="18"/>
        <v>0</v>
      </c>
      <c r="K80" s="611">
        <f t="shared" si="18"/>
        <v>0</v>
      </c>
      <c r="L80" s="611">
        <f t="shared" si="18"/>
        <v>0</v>
      </c>
      <c r="M80" s="611">
        <f t="shared" si="18"/>
        <v>0</v>
      </c>
      <c r="N80" s="611">
        <f t="shared" si="18"/>
        <v>0</v>
      </c>
      <c r="O80" s="611">
        <f>SUM(C80:N80)</f>
        <v>0</v>
      </c>
      <c r="P80" s="623"/>
      <c r="Q80" s="620"/>
    </row>
    <row r="81" spans="1:17" ht="12.75" customHeight="1" x14ac:dyDescent="0.2">
      <c r="A81" s="640" t="s">
        <v>950</v>
      </c>
      <c r="B81" s="740"/>
      <c r="C81" s="612">
        <v>0</v>
      </c>
      <c r="D81" s="612">
        <v>0</v>
      </c>
      <c r="E81" s="612">
        <v>0</v>
      </c>
      <c r="F81" s="612">
        <v>0</v>
      </c>
      <c r="G81" s="612">
        <v>0</v>
      </c>
      <c r="H81" s="612">
        <v>0</v>
      </c>
      <c r="I81" s="612">
        <v>0</v>
      </c>
      <c r="J81" s="612">
        <v>0</v>
      </c>
      <c r="K81" s="612">
        <v>0</v>
      </c>
      <c r="L81" s="612">
        <v>0</v>
      </c>
      <c r="M81" s="612">
        <v>0</v>
      </c>
      <c r="N81" s="612">
        <v>0</v>
      </c>
      <c r="O81" s="611">
        <f>SUM(C81:N81)</f>
        <v>0</v>
      </c>
      <c r="P81" s="623"/>
      <c r="Q81" s="620"/>
    </row>
    <row r="82" spans="1:17" ht="12.75" customHeight="1" x14ac:dyDescent="0.2">
      <c r="A82" s="650" t="s">
        <v>920</v>
      </c>
      <c r="B82" s="740"/>
      <c r="C82" s="612">
        <v>0</v>
      </c>
      <c r="D82" s="612">
        <v>0</v>
      </c>
      <c r="E82" s="612">
        <v>0</v>
      </c>
      <c r="F82" s="612">
        <v>0</v>
      </c>
      <c r="G82" s="612">
        <v>0</v>
      </c>
      <c r="H82" s="612">
        <v>0</v>
      </c>
      <c r="I82" s="612">
        <v>0</v>
      </c>
      <c r="J82" s="612">
        <v>0</v>
      </c>
      <c r="K82" s="612">
        <v>0</v>
      </c>
      <c r="L82" s="612">
        <v>0</v>
      </c>
      <c r="M82" s="612">
        <v>0</v>
      </c>
      <c r="N82" s="612">
        <v>0</v>
      </c>
      <c r="O82" s="611">
        <f>SUM(C82:N82)</f>
        <v>0</v>
      </c>
      <c r="P82" s="623"/>
      <c r="Q82" s="620"/>
    </row>
    <row r="83" spans="1:17" ht="12.75" customHeight="1" x14ac:dyDescent="0.2">
      <c r="A83" s="648" t="s">
        <v>951</v>
      </c>
      <c r="B83" s="740"/>
      <c r="C83" s="615">
        <v>0</v>
      </c>
      <c r="D83" s="615">
        <v>0</v>
      </c>
      <c r="E83" s="615">
        <v>0</v>
      </c>
      <c r="F83" s="615">
        <v>0</v>
      </c>
      <c r="G83" s="615">
        <v>0</v>
      </c>
      <c r="H83" s="615">
        <v>0</v>
      </c>
      <c r="I83" s="615">
        <v>0</v>
      </c>
      <c r="J83" s="615">
        <v>0</v>
      </c>
      <c r="K83" s="615">
        <v>0</v>
      </c>
      <c r="L83" s="615">
        <v>0</v>
      </c>
      <c r="M83" s="615">
        <v>0</v>
      </c>
      <c r="N83" s="615">
        <v>0</v>
      </c>
      <c r="O83" s="614">
        <f>SUM(C83:N83)</f>
        <v>0</v>
      </c>
      <c r="P83" s="623"/>
      <c r="Q83" s="620"/>
    </row>
    <row r="84" spans="1:17" ht="6" customHeight="1" x14ac:dyDescent="0.2">
      <c r="A84" s="633"/>
      <c r="B84" s="74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3"/>
      <c r="Q84" s="620"/>
    </row>
    <row r="85" spans="1:17" ht="12.75" customHeight="1" x14ac:dyDescent="0.2">
      <c r="A85" s="642" t="s">
        <v>952</v>
      </c>
      <c r="B85" s="743"/>
      <c r="C85" s="632">
        <f t="shared" ref="C85:N85" si="19">SUM(C80:C83)</f>
        <v>0</v>
      </c>
      <c r="D85" s="632">
        <f t="shared" si="19"/>
        <v>0</v>
      </c>
      <c r="E85" s="632">
        <f t="shared" si="19"/>
        <v>0</v>
      </c>
      <c r="F85" s="632">
        <f t="shared" si="19"/>
        <v>0</v>
      </c>
      <c r="G85" s="632">
        <f t="shared" si="19"/>
        <v>0</v>
      </c>
      <c r="H85" s="632">
        <f t="shared" si="19"/>
        <v>0</v>
      </c>
      <c r="I85" s="632">
        <f t="shared" si="19"/>
        <v>0</v>
      </c>
      <c r="J85" s="632">
        <f t="shared" si="19"/>
        <v>0</v>
      </c>
      <c r="K85" s="632">
        <f t="shared" si="19"/>
        <v>0</v>
      </c>
      <c r="L85" s="632">
        <f t="shared" si="19"/>
        <v>0</v>
      </c>
      <c r="M85" s="632">
        <f t="shared" si="19"/>
        <v>0</v>
      </c>
      <c r="N85" s="632">
        <f t="shared" si="19"/>
        <v>0</v>
      </c>
      <c r="O85" s="632">
        <f>SUM(C85:N85)</f>
        <v>0</v>
      </c>
      <c r="P85" s="623"/>
      <c r="Q85" s="620"/>
    </row>
    <row r="86" spans="1:17" ht="6" customHeight="1" x14ac:dyDescent="0.2">
      <c r="A86" s="633"/>
      <c r="B86" s="74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3"/>
      <c r="Q86" s="620"/>
    </row>
    <row r="87" spans="1:17" ht="12.75" customHeight="1" x14ac:dyDescent="0.2">
      <c r="A87" s="643" t="s">
        <v>953</v>
      </c>
      <c r="B87" s="743"/>
      <c r="C87" s="632">
        <f t="shared" ref="C87:N87" si="20">-1*C85</f>
        <v>0</v>
      </c>
      <c r="D87" s="632">
        <f t="shared" si="20"/>
        <v>0</v>
      </c>
      <c r="E87" s="632">
        <f t="shared" si="20"/>
        <v>0</v>
      </c>
      <c r="F87" s="632">
        <f t="shared" si="20"/>
        <v>0</v>
      </c>
      <c r="G87" s="632">
        <f t="shared" si="20"/>
        <v>0</v>
      </c>
      <c r="H87" s="632">
        <f t="shared" si="20"/>
        <v>0</v>
      </c>
      <c r="I87" s="632">
        <f t="shared" si="20"/>
        <v>0</v>
      </c>
      <c r="J87" s="632">
        <f t="shared" si="20"/>
        <v>0</v>
      </c>
      <c r="K87" s="632">
        <f t="shared" si="20"/>
        <v>0</v>
      </c>
      <c r="L87" s="632">
        <f t="shared" si="20"/>
        <v>0</v>
      </c>
      <c r="M87" s="632">
        <f t="shared" si="20"/>
        <v>0</v>
      </c>
      <c r="N87" s="632">
        <f t="shared" si="20"/>
        <v>0</v>
      </c>
      <c r="O87" s="632">
        <f>SUM(C87:N87)</f>
        <v>0</v>
      </c>
      <c r="P87" s="623"/>
      <c r="Q87" s="620"/>
    </row>
    <row r="88" spans="1:17" ht="12.75" customHeight="1" x14ac:dyDescent="0.2">
      <c r="A88" s="633"/>
      <c r="B88" s="740"/>
      <c r="C88" s="620"/>
      <c r="D88" s="620"/>
      <c r="E88" s="620"/>
      <c r="F88" s="620"/>
      <c r="G88" s="620"/>
      <c r="H88" s="620"/>
      <c r="I88" s="620"/>
      <c r="J88" s="620"/>
      <c r="K88" s="620"/>
      <c r="L88" s="620"/>
      <c r="M88" s="620"/>
      <c r="N88" s="620"/>
      <c r="O88" s="620"/>
      <c r="P88" s="623"/>
      <c r="Q88" s="620"/>
    </row>
    <row r="89" spans="1:17" ht="12.75" customHeight="1" x14ac:dyDescent="0.2">
      <c r="A89" s="651"/>
      <c r="B89" s="744"/>
      <c r="C89" s="636"/>
      <c r="D89" s="636"/>
      <c r="E89" s="636"/>
      <c r="F89" s="636"/>
      <c r="G89" s="636"/>
      <c r="H89" s="636"/>
      <c r="I89" s="636"/>
      <c r="J89" s="636"/>
      <c r="K89" s="636"/>
      <c r="L89" s="636"/>
      <c r="M89" s="636"/>
      <c r="N89" s="636"/>
      <c r="O89" s="636"/>
      <c r="P89" s="623"/>
      <c r="Q89" s="620"/>
    </row>
    <row r="90" spans="1:17" ht="12.75" customHeight="1" x14ac:dyDescent="0.2">
      <c r="A90" s="633"/>
      <c r="B90" s="74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0"/>
      <c r="P90" s="623"/>
      <c r="Q90" s="620"/>
    </row>
    <row r="91" spans="1:17" ht="12.75" customHeight="1" x14ac:dyDescent="0.2">
      <c r="A91" s="652" t="s">
        <v>954</v>
      </c>
      <c r="B91" s="682" t="s">
        <v>193</v>
      </c>
      <c r="C91" s="621"/>
      <c r="D91" s="621"/>
      <c r="E91" s="621"/>
      <c r="F91" s="621"/>
      <c r="G91" s="621"/>
      <c r="H91" s="621"/>
      <c r="I91" s="621"/>
      <c r="J91" s="621"/>
      <c r="K91" s="621"/>
      <c r="L91" s="621"/>
      <c r="M91" s="621"/>
      <c r="N91" s="621"/>
      <c r="O91" s="621"/>
      <c r="P91" s="623"/>
      <c r="Q91" s="620"/>
    </row>
    <row r="92" spans="1:17" ht="6" customHeight="1" x14ac:dyDescent="0.2">
      <c r="A92" s="633"/>
      <c r="B92" s="74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3"/>
      <c r="Q92" s="620"/>
    </row>
    <row r="93" spans="1:17" ht="12.75" customHeight="1" x14ac:dyDescent="0.2">
      <c r="A93" s="643" t="s">
        <v>955</v>
      </c>
      <c r="B93" s="740"/>
      <c r="C93" s="611">
        <f t="shared" ref="C93:N93" si="21">B100</f>
        <v>0</v>
      </c>
      <c r="D93" s="611">
        <f t="shared" si="21"/>
        <v>0</v>
      </c>
      <c r="E93" s="611">
        <f t="shared" si="21"/>
        <v>0</v>
      </c>
      <c r="F93" s="611">
        <f t="shared" si="21"/>
        <v>0</v>
      </c>
      <c r="G93" s="611">
        <f t="shared" si="21"/>
        <v>0</v>
      </c>
      <c r="H93" s="611">
        <f t="shared" si="21"/>
        <v>0</v>
      </c>
      <c r="I93" s="611">
        <f t="shared" si="21"/>
        <v>0</v>
      </c>
      <c r="J93" s="611">
        <f t="shared" si="21"/>
        <v>0</v>
      </c>
      <c r="K93" s="611">
        <f t="shared" si="21"/>
        <v>0</v>
      </c>
      <c r="L93" s="611">
        <f t="shared" si="21"/>
        <v>0</v>
      </c>
      <c r="M93" s="611">
        <f t="shared" si="21"/>
        <v>0</v>
      </c>
      <c r="N93" s="611">
        <f t="shared" si="21"/>
        <v>0</v>
      </c>
      <c r="O93" s="620"/>
      <c r="P93" s="623"/>
      <c r="Q93" s="620"/>
    </row>
    <row r="94" spans="1:17" ht="6" customHeight="1" x14ac:dyDescent="0.2">
      <c r="A94" s="633"/>
      <c r="B94" s="740"/>
      <c r="C94" s="620"/>
      <c r="D94" s="620"/>
      <c r="E94" s="620"/>
      <c r="F94" s="620"/>
      <c r="G94" s="620"/>
      <c r="H94" s="620"/>
      <c r="I94" s="620"/>
      <c r="J94" s="620"/>
      <c r="K94" s="620"/>
      <c r="L94" s="620"/>
      <c r="M94" s="620"/>
      <c r="N94" s="620"/>
      <c r="O94" s="620"/>
      <c r="P94" s="623"/>
      <c r="Q94" s="620"/>
    </row>
    <row r="95" spans="1:17" ht="15" customHeight="1" x14ac:dyDescent="0.2">
      <c r="A95" s="650" t="s">
        <v>956</v>
      </c>
      <c r="B95" s="740"/>
      <c r="C95" s="612">
        <v>0</v>
      </c>
      <c r="D95" s="612">
        <v>0</v>
      </c>
      <c r="E95" s="612">
        <v>0</v>
      </c>
      <c r="F95" s="612">
        <v>0</v>
      </c>
      <c r="G95" s="612">
        <v>0</v>
      </c>
      <c r="H95" s="612">
        <v>0</v>
      </c>
      <c r="I95" s="612">
        <v>0</v>
      </c>
      <c r="J95" s="612">
        <v>0</v>
      </c>
      <c r="K95" s="612">
        <v>0</v>
      </c>
      <c r="L95" s="612">
        <v>0</v>
      </c>
      <c r="M95" s="612">
        <v>0</v>
      </c>
      <c r="N95" s="612">
        <v>0</v>
      </c>
      <c r="O95" s="611">
        <f>SUM(C95:N95)</f>
        <v>0</v>
      </c>
      <c r="P95" s="623"/>
      <c r="Q95" s="620"/>
    </row>
    <row r="96" spans="1:17" ht="15" customHeight="1" x14ac:dyDescent="0.2">
      <c r="A96" s="648" t="s">
        <v>957</v>
      </c>
      <c r="B96" s="740"/>
      <c r="C96" s="611">
        <f t="shared" ref="C96:N96" si="22">C87</f>
        <v>0</v>
      </c>
      <c r="D96" s="611">
        <f t="shared" si="22"/>
        <v>0</v>
      </c>
      <c r="E96" s="611">
        <f t="shared" si="22"/>
        <v>0</v>
      </c>
      <c r="F96" s="611">
        <f t="shared" si="22"/>
        <v>0</v>
      </c>
      <c r="G96" s="611">
        <f t="shared" si="22"/>
        <v>0</v>
      </c>
      <c r="H96" s="611">
        <f t="shared" si="22"/>
        <v>0</v>
      </c>
      <c r="I96" s="611">
        <f t="shared" si="22"/>
        <v>0</v>
      </c>
      <c r="J96" s="611">
        <f t="shared" si="22"/>
        <v>0</v>
      </c>
      <c r="K96" s="611">
        <f t="shared" si="22"/>
        <v>0</v>
      </c>
      <c r="L96" s="611">
        <f t="shared" si="22"/>
        <v>0</v>
      </c>
      <c r="M96" s="611">
        <f t="shared" si="22"/>
        <v>0</v>
      </c>
      <c r="N96" s="611">
        <f t="shared" si="22"/>
        <v>0</v>
      </c>
      <c r="O96" s="611">
        <f>SUM(C96:N96)</f>
        <v>0</v>
      </c>
      <c r="P96" s="623"/>
      <c r="Q96" s="620"/>
    </row>
    <row r="97" spans="1:17" ht="15" customHeight="1" x14ac:dyDescent="0.2">
      <c r="A97" s="650" t="s">
        <v>958</v>
      </c>
      <c r="B97" s="740"/>
      <c r="C97" s="612">
        <v>0</v>
      </c>
      <c r="D97" s="612">
        <v>0</v>
      </c>
      <c r="E97" s="612">
        <v>0</v>
      </c>
      <c r="F97" s="612">
        <v>0</v>
      </c>
      <c r="G97" s="612">
        <v>0</v>
      </c>
      <c r="H97" s="612">
        <v>0</v>
      </c>
      <c r="I97" s="612">
        <v>0</v>
      </c>
      <c r="J97" s="612">
        <v>0</v>
      </c>
      <c r="K97" s="612">
        <v>0</v>
      </c>
      <c r="L97" s="612">
        <v>0</v>
      </c>
      <c r="M97" s="612">
        <v>0</v>
      </c>
      <c r="N97" s="612">
        <v>0</v>
      </c>
      <c r="O97" s="611">
        <f>SUM(C97:N97)</f>
        <v>0</v>
      </c>
      <c r="P97" s="623"/>
      <c r="Q97" s="620"/>
    </row>
    <row r="98" spans="1:17" ht="15" customHeight="1" x14ac:dyDescent="0.2">
      <c r="A98" s="648" t="s">
        <v>959</v>
      </c>
      <c r="B98" s="740"/>
      <c r="C98" s="614">
        <f t="shared" ref="C98:N98" si="23">C105</f>
        <v>0</v>
      </c>
      <c r="D98" s="614">
        <f t="shared" si="23"/>
        <v>0</v>
      </c>
      <c r="E98" s="614">
        <f t="shared" si="23"/>
        <v>0</v>
      </c>
      <c r="F98" s="614">
        <f t="shared" si="23"/>
        <v>0</v>
      </c>
      <c r="G98" s="614">
        <f t="shared" si="23"/>
        <v>0</v>
      </c>
      <c r="H98" s="614">
        <f t="shared" si="23"/>
        <v>0</v>
      </c>
      <c r="I98" s="614">
        <f t="shared" si="23"/>
        <v>0</v>
      </c>
      <c r="J98" s="614">
        <f t="shared" si="23"/>
        <v>0</v>
      </c>
      <c r="K98" s="614">
        <f t="shared" si="23"/>
        <v>0</v>
      </c>
      <c r="L98" s="614">
        <f t="shared" si="23"/>
        <v>0</v>
      </c>
      <c r="M98" s="614">
        <f t="shared" si="23"/>
        <v>0</v>
      </c>
      <c r="N98" s="614">
        <f t="shared" si="23"/>
        <v>0</v>
      </c>
      <c r="O98" s="611">
        <f>SUM(C98:N98)</f>
        <v>0</v>
      </c>
      <c r="P98" s="623"/>
      <c r="Q98" s="620"/>
    </row>
    <row r="99" spans="1:17" ht="6" customHeight="1" x14ac:dyDescent="0.2">
      <c r="A99" s="633"/>
      <c r="B99" s="74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3"/>
      <c r="Q99" s="620"/>
    </row>
    <row r="100" spans="1:17" ht="12.75" customHeight="1" x14ac:dyDescent="0.2">
      <c r="A100" s="643" t="s">
        <v>960</v>
      </c>
      <c r="B100" s="833">
        <v>0</v>
      </c>
      <c r="C100" s="635">
        <f t="shared" ref="C100:N100" si="24">SUM(C93:C98)</f>
        <v>0</v>
      </c>
      <c r="D100" s="635">
        <f t="shared" si="24"/>
        <v>0</v>
      </c>
      <c r="E100" s="635">
        <f t="shared" si="24"/>
        <v>0</v>
      </c>
      <c r="F100" s="635">
        <f t="shared" si="24"/>
        <v>0</v>
      </c>
      <c r="G100" s="635">
        <f t="shared" si="24"/>
        <v>0</v>
      </c>
      <c r="H100" s="635">
        <f t="shared" si="24"/>
        <v>0</v>
      </c>
      <c r="I100" s="635">
        <f t="shared" si="24"/>
        <v>0</v>
      </c>
      <c r="J100" s="635">
        <f t="shared" si="24"/>
        <v>0</v>
      </c>
      <c r="K100" s="635">
        <f t="shared" si="24"/>
        <v>0</v>
      </c>
      <c r="L100" s="635">
        <f t="shared" si="24"/>
        <v>0</v>
      </c>
      <c r="M100" s="635">
        <f t="shared" si="24"/>
        <v>0</v>
      </c>
      <c r="N100" s="635">
        <f t="shared" si="24"/>
        <v>0</v>
      </c>
      <c r="O100" s="635"/>
      <c r="P100" s="623"/>
      <c r="Q100" s="620"/>
    </row>
    <row r="101" spans="1:17" ht="12.75" customHeight="1" x14ac:dyDescent="0.2">
      <c r="A101" s="633"/>
      <c r="B101" s="74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3"/>
      <c r="Q101" s="620"/>
    </row>
    <row r="102" spans="1:17" ht="12.75" customHeight="1" x14ac:dyDescent="0.2">
      <c r="A102" s="648" t="s">
        <v>961</v>
      </c>
      <c r="B102" s="740"/>
      <c r="C102" s="637">
        <v>0</v>
      </c>
      <c r="D102" s="637">
        <v>0</v>
      </c>
      <c r="E102" s="637">
        <v>0</v>
      </c>
      <c r="F102" s="637">
        <v>0</v>
      </c>
      <c r="G102" s="637">
        <v>0</v>
      </c>
      <c r="H102" s="637">
        <v>0</v>
      </c>
      <c r="I102" s="637">
        <v>0</v>
      </c>
      <c r="J102" s="637">
        <v>0</v>
      </c>
      <c r="K102" s="637">
        <v>0</v>
      </c>
      <c r="L102" s="637">
        <v>0</v>
      </c>
      <c r="M102" s="637">
        <v>0</v>
      </c>
      <c r="N102" s="637">
        <v>0</v>
      </c>
      <c r="O102" s="620"/>
      <c r="P102" s="623"/>
      <c r="Q102" s="620"/>
    </row>
    <row r="103" spans="1:17" ht="12.75" customHeight="1" x14ac:dyDescent="0.2">
      <c r="A103" s="648" t="s">
        <v>962</v>
      </c>
      <c r="B103" s="740"/>
      <c r="C103" s="638">
        <f>ROUND((C102/365)*31,4)</f>
        <v>0</v>
      </c>
      <c r="D103" s="638">
        <f>ROUND((D102/365)*28,4)</f>
        <v>0</v>
      </c>
      <c r="E103" s="638">
        <f>ROUND((E102/365)*31,4)</f>
        <v>0</v>
      </c>
      <c r="F103" s="638">
        <f>ROUND((F102/365)*30,4)</f>
        <v>0</v>
      </c>
      <c r="G103" s="638">
        <f>ROUND((G102/365)*31,4)</f>
        <v>0</v>
      </c>
      <c r="H103" s="638">
        <f>ROUND((H102/365)*30,4)</f>
        <v>0</v>
      </c>
      <c r="I103" s="638">
        <f>ROUND((I102/365)*31,4)</f>
        <v>0</v>
      </c>
      <c r="J103" s="638">
        <f>ROUND((J102/365)*31,4)</f>
        <v>0</v>
      </c>
      <c r="K103" s="638">
        <f>ROUND((K102/365)*30,4)</f>
        <v>0</v>
      </c>
      <c r="L103" s="638">
        <f>ROUND((L102/365)*31,4)</f>
        <v>0</v>
      </c>
      <c r="M103" s="638">
        <f>ROUND((M102/365)*30,4)</f>
        <v>0</v>
      </c>
      <c r="N103" s="638">
        <f>ROUND((N102/365)*31,4)</f>
        <v>0</v>
      </c>
      <c r="O103" s="620"/>
      <c r="P103" s="623"/>
      <c r="Q103" s="620"/>
    </row>
    <row r="104" spans="1:17" ht="12.75" customHeight="1" x14ac:dyDescent="0.2">
      <c r="A104" s="633"/>
      <c r="B104" s="74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3"/>
      <c r="Q104" s="620"/>
    </row>
    <row r="105" spans="1:17" ht="12.75" customHeight="1" x14ac:dyDescent="0.2">
      <c r="A105" s="643" t="s">
        <v>963</v>
      </c>
      <c r="B105" s="743"/>
      <c r="C105" s="632">
        <f t="shared" ref="C105:N105" si="25">ROUND(B100*C103,0)</f>
        <v>0</v>
      </c>
      <c r="D105" s="632">
        <f t="shared" si="25"/>
        <v>0</v>
      </c>
      <c r="E105" s="632">
        <f t="shared" si="25"/>
        <v>0</v>
      </c>
      <c r="F105" s="632">
        <f t="shared" si="25"/>
        <v>0</v>
      </c>
      <c r="G105" s="632">
        <f t="shared" si="25"/>
        <v>0</v>
      </c>
      <c r="H105" s="632">
        <f t="shared" si="25"/>
        <v>0</v>
      </c>
      <c r="I105" s="632">
        <f t="shared" si="25"/>
        <v>0</v>
      </c>
      <c r="J105" s="632">
        <f t="shared" si="25"/>
        <v>0</v>
      </c>
      <c r="K105" s="632">
        <f t="shared" si="25"/>
        <v>0</v>
      </c>
      <c r="L105" s="632">
        <f t="shared" si="25"/>
        <v>0</v>
      </c>
      <c r="M105" s="632">
        <f t="shared" si="25"/>
        <v>0</v>
      </c>
      <c r="N105" s="632">
        <f t="shared" si="25"/>
        <v>0</v>
      </c>
      <c r="O105" s="632">
        <f>SUM(C105:N105)</f>
        <v>0</v>
      </c>
      <c r="P105" s="623"/>
      <c r="Q105" s="620"/>
    </row>
    <row r="106" spans="1:17" ht="6" customHeight="1" x14ac:dyDescent="0.2">
      <c r="A106" s="633"/>
      <c r="B106" s="74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3"/>
      <c r="Q106" s="620"/>
    </row>
    <row r="107" spans="1:17" ht="12.75" customHeight="1" x14ac:dyDescent="0.2">
      <c r="A107" s="643" t="s">
        <v>964</v>
      </c>
      <c r="B107" s="740"/>
      <c r="C107" s="611">
        <f>C105</f>
        <v>0</v>
      </c>
      <c r="D107" s="611">
        <f t="shared" ref="D107:N107" si="26">D105+C107</f>
        <v>0</v>
      </c>
      <c r="E107" s="611">
        <f t="shared" si="26"/>
        <v>0</v>
      </c>
      <c r="F107" s="611">
        <f t="shared" si="26"/>
        <v>0</v>
      </c>
      <c r="G107" s="611">
        <f t="shared" si="26"/>
        <v>0</v>
      </c>
      <c r="H107" s="611">
        <f t="shared" si="26"/>
        <v>0</v>
      </c>
      <c r="I107" s="611">
        <f t="shared" si="26"/>
        <v>0</v>
      </c>
      <c r="J107" s="611">
        <f t="shared" si="26"/>
        <v>0</v>
      </c>
      <c r="K107" s="611">
        <f t="shared" si="26"/>
        <v>0</v>
      </c>
      <c r="L107" s="611">
        <f t="shared" si="26"/>
        <v>0</v>
      </c>
      <c r="M107" s="611">
        <f t="shared" si="26"/>
        <v>0</v>
      </c>
      <c r="N107" s="611">
        <f t="shared" si="26"/>
        <v>0</v>
      </c>
      <c r="O107" s="620"/>
      <c r="P107" s="623"/>
      <c r="Q107" s="620"/>
    </row>
    <row r="108" spans="1:17" ht="15" x14ac:dyDescent="0.2">
      <c r="A108" s="307"/>
      <c r="B108" s="745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0"/>
      <c r="P108" s="623"/>
      <c r="Q108" s="620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9.7109375" defaultRowHeight="12.75" x14ac:dyDescent="0.2"/>
  <cols>
    <col min="1" max="1" width="45.7109375" style="16" customWidth="1"/>
    <col min="2" max="2" width="8.7109375" style="757" customWidth="1"/>
    <col min="3" max="14" width="8.7109375" style="16" customWidth="1"/>
    <col min="15" max="17" width="9.7109375" style="16" customWidth="1"/>
    <col min="18" max="18" width="9.7109375" style="16"/>
    <col min="19" max="19" width="9.7109375" style="16" customWidth="1"/>
    <col min="20" max="20" width="9.7109375" style="16"/>
    <col min="21" max="21" width="9.7109375" style="16" customWidth="1"/>
    <col min="22" max="22" width="9.7109375" style="16"/>
    <col min="23" max="23" width="3.7109375" style="16" customWidth="1"/>
    <col min="24" max="24" width="9.7109375" style="16"/>
    <col min="25" max="25" width="9.7109375" style="16" customWidth="1"/>
    <col min="26" max="16384" width="9.7109375" style="16"/>
  </cols>
  <sheetData>
    <row r="1" spans="1:70" ht="12.75" customHeight="1" x14ac:dyDescent="0.25">
      <c r="A1" s="551" t="str">
        <f ca="1">CELL("FILENAME")</f>
        <v>P:\Finance\2001CE\[TW3rdCEEM.XLS]DataBase</v>
      </c>
      <c r="B1" s="747"/>
      <c r="C1" s="309"/>
      <c r="D1" s="309"/>
      <c r="E1" s="309"/>
      <c r="F1" s="309"/>
      <c r="G1" s="309"/>
      <c r="H1" s="309"/>
      <c r="I1" s="309"/>
      <c r="J1" s="309"/>
      <c r="K1" s="310" t="s">
        <v>965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25">
      <c r="A2" s="314" t="s">
        <v>966</v>
      </c>
      <c r="B2" s="747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25">
      <c r="A3" s="554" t="str">
        <f>IncomeState!A3</f>
        <v>2001 CURRENT ESTIMATE</v>
      </c>
      <c r="B3" s="748">
        <f ca="1">NOW()</f>
        <v>37154.4025400463</v>
      </c>
      <c r="C3" s="555" t="str">
        <f>DataBase!C2</f>
        <v>ACT.</v>
      </c>
      <c r="D3" s="555" t="str">
        <f>DataBase!D2</f>
        <v>ACT.</v>
      </c>
      <c r="E3" s="555" t="s">
        <v>302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 t="str">
        <f>DataBase!J2</f>
        <v>ACT.</v>
      </c>
      <c r="K3" s="555" t="str">
        <f>DataBase!K2</f>
        <v>3rd CE</v>
      </c>
      <c r="L3" s="555" t="str">
        <f>DataBase!L2</f>
        <v>3rd CE</v>
      </c>
      <c r="M3" s="555" t="str">
        <f>DataBase!M2</f>
        <v>3rd CE</v>
      </c>
      <c r="N3" s="555" t="str">
        <f>DataBase!N2</f>
        <v>3rd CE</v>
      </c>
      <c r="O3" s="555" t="str">
        <f>DataBase!O2</f>
        <v>TOTAL</v>
      </c>
      <c r="P3" s="555" t="str">
        <f>IncomeState!P6</f>
        <v>AUGUST</v>
      </c>
      <c r="Q3" s="555" t="str">
        <f>IncomeState!Q6</f>
        <v>ESTIMATE</v>
      </c>
      <c r="R3" s="17"/>
      <c r="S3" s="404" t="s">
        <v>140</v>
      </c>
      <c r="T3" s="404" t="s">
        <v>141</v>
      </c>
      <c r="U3" s="404" t="s">
        <v>142</v>
      </c>
      <c r="V3" s="404" t="s">
        <v>143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25">
      <c r="A4" s="317"/>
      <c r="B4" s="749">
        <f ca="1">NOW()</f>
        <v>37154.4025400463</v>
      </c>
      <c r="C4" s="321" t="s">
        <v>906</v>
      </c>
      <c r="D4" s="321" t="s">
        <v>907</v>
      </c>
      <c r="E4" s="321" t="s">
        <v>908</v>
      </c>
      <c r="F4" s="321" t="s">
        <v>909</v>
      </c>
      <c r="G4" s="321" t="s">
        <v>910</v>
      </c>
      <c r="H4" s="321" t="s">
        <v>911</v>
      </c>
      <c r="I4" s="321" t="s">
        <v>912</v>
      </c>
      <c r="J4" s="321" t="s">
        <v>913</v>
      </c>
      <c r="K4" s="321" t="s">
        <v>914</v>
      </c>
      <c r="L4" s="321" t="s">
        <v>915</v>
      </c>
      <c r="M4" s="321" t="s">
        <v>916</v>
      </c>
      <c r="N4" s="321" t="s">
        <v>917</v>
      </c>
      <c r="O4" s="556">
        <f>IncomeState!O7</f>
        <v>2001</v>
      </c>
      <c r="P4" s="556" t="str">
        <f>IncomeState!P7</f>
        <v>Y-T-D</v>
      </c>
      <c r="Q4" s="556" t="str">
        <f>IncomeState!Q7</f>
        <v>R.M.</v>
      </c>
      <c r="R4" s="17"/>
      <c r="S4" s="406" t="s">
        <v>146</v>
      </c>
      <c r="T4" s="406" t="s">
        <v>146</v>
      </c>
      <c r="U4" s="406" t="s">
        <v>146</v>
      </c>
      <c r="V4" s="406" t="s">
        <v>146</v>
      </c>
      <c r="W4" s="17"/>
      <c r="X4" s="406" t="s">
        <v>858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5" customHeight="1" x14ac:dyDescent="0.25">
      <c r="A5" s="318"/>
      <c r="B5" s="747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25">
      <c r="A6" s="834" t="s">
        <v>967</v>
      </c>
      <c r="B6" s="747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25">
      <c r="A7" s="855" t="s">
        <v>305</v>
      </c>
      <c r="B7" s="747"/>
      <c r="C7" s="856">
        <f>-DataBase!C93-C8</f>
        <v>157</v>
      </c>
      <c r="D7" s="856">
        <f>-DataBase!D93-D8</f>
        <v>168</v>
      </c>
      <c r="E7" s="856">
        <f>-DataBase!E93-E8</f>
        <v>326</v>
      </c>
      <c r="F7" s="856">
        <f>-DataBase!F93-F8</f>
        <v>312</v>
      </c>
      <c r="G7" s="856">
        <f>-DataBase!G93-G8</f>
        <v>157</v>
      </c>
      <c r="H7" s="856">
        <f>-DataBase!H93-H8</f>
        <v>228</v>
      </c>
      <c r="I7" s="856">
        <f>-DataBase!I93-I8</f>
        <v>30</v>
      </c>
      <c r="J7" s="856">
        <f>-DataBase!J93-J8</f>
        <v>109</v>
      </c>
      <c r="K7" s="856">
        <f>-DataBase!K93-K8</f>
        <v>167</v>
      </c>
      <c r="L7" s="856">
        <f>-DataBase!L93-L8</f>
        <v>160</v>
      </c>
      <c r="M7" s="856">
        <f>-DataBase!M93-M8</f>
        <v>159</v>
      </c>
      <c r="N7" s="856">
        <f>-DataBase!N93-N8</f>
        <v>620</v>
      </c>
      <c r="O7" s="693">
        <f t="shared" ref="O7:O22" si="0">SUM(C7:N7)</f>
        <v>2593</v>
      </c>
      <c r="P7" s="694">
        <f>SUM(C7:J7)</f>
        <v>1487</v>
      </c>
      <c r="Q7" s="693">
        <f t="shared" ref="Q7:Q22" si="1">O7-P7</f>
        <v>1106</v>
      </c>
      <c r="R7" s="17"/>
      <c r="S7" s="839">
        <f t="shared" ref="S7:S22" si="2">SUM(C7:E7)</f>
        <v>651</v>
      </c>
      <c r="T7" s="839">
        <f t="shared" ref="T7:T22" si="3">SUM(F7:H7)</f>
        <v>697</v>
      </c>
      <c r="U7" s="839">
        <f t="shared" ref="U7:U22" si="4">SUM(I7:K7)</f>
        <v>306</v>
      </c>
      <c r="V7" s="839">
        <f t="shared" ref="V7:V22" si="5">SUM(L7:N7)</f>
        <v>939</v>
      </c>
      <c r="W7" s="841"/>
      <c r="X7" s="698">
        <f t="shared" ref="X7:X22" si="6">SUM(S7:V7)</f>
        <v>2593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25">
      <c r="A8" s="717" t="s">
        <v>921</v>
      </c>
      <c r="B8" s="747"/>
      <c r="C8" s="870">
        <v>0</v>
      </c>
      <c r="D8" s="870">
        <v>0</v>
      </c>
      <c r="E8" s="870">
        <v>0</v>
      </c>
      <c r="F8" s="870">
        <v>0</v>
      </c>
      <c r="G8" s="870">
        <v>0</v>
      </c>
      <c r="H8" s="870">
        <v>0</v>
      </c>
      <c r="I8" s="870">
        <v>0</v>
      </c>
      <c r="J8" s="870">
        <v>0</v>
      </c>
      <c r="K8" s="870">
        <v>0</v>
      </c>
      <c r="L8" s="870">
        <v>0</v>
      </c>
      <c r="M8" s="870">
        <v>0</v>
      </c>
      <c r="N8" s="870">
        <v>0</v>
      </c>
      <c r="O8" s="693">
        <f>SUM(C8:N8)</f>
        <v>0</v>
      </c>
      <c r="P8" s="694">
        <f t="shared" ref="P8:P27" si="7">SUM(C8:J8)</f>
        <v>0</v>
      </c>
      <c r="Q8" s="693">
        <f>O8-P8</f>
        <v>0</v>
      </c>
      <c r="R8" s="17"/>
      <c r="S8" s="839">
        <f>SUM(C8:E8)</f>
        <v>0</v>
      </c>
      <c r="T8" s="839">
        <f>SUM(F8:H8)</f>
        <v>0</v>
      </c>
      <c r="U8" s="839">
        <f>SUM(I8:K8)</f>
        <v>0</v>
      </c>
      <c r="V8" s="839">
        <f>SUM(L8:N8)</f>
        <v>0</v>
      </c>
      <c r="W8" s="840"/>
      <c r="X8" s="698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25">
      <c r="A9" s="708" t="s">
        <v>77</v>
      </c>
      <c r="B9" s="747"/>
      <c r="C9" s="856">
        <f>-DataBase!C142-C10</f>
        <v>119</v>
      </c>
      <c r="D9" s="856">
        <f>-DataBase!D142-D10</f>
        <v>131</v>
      </c>
      <c r="E9" s="856">
        <f>-DataBase!E142-E10</f>
        <v>141</v>
      </c>
      <c r="F9" s="856">
        <f>-DataBase!F142-F10</f>
        <v>132</v>
      </c>
      <c r="G9" s="856">
        <f>-DataBase!G142-G10</f>
        <v>130</v>
      </c>
      <c r="H9" s="856">
        <f>-DataBase!H142-H10</f>
        <v>125</v>
      </c>
      <c r="I9" s="856">
        <f>-DataBase!I142-I10</f>
        <v>133</v>
      </c>
      <c r="J9" s="856">
        <f>-DataBase!J142-J10</f>
        <v>123</v>
      </c>
      <c r="K9" s="856">
        <f>-DataBase!K142-K10</f>
        <v>196</v>
      </c>
      <c r="L9" s="856">
        <f>-DataBase!L142-L10</f>
        <v>146</v>
      </c>
      <c r="M9" s="856">
        <f>-DataBase!M142-M10</f>
        <v>206</v>
      </c>
      <c r="N9" s="856">
        <f>-DataBase!N142-N10</f>
        <v>169</v>
      </c>
      <c r="O9" s="693">
        <f t="shared" si="0"/>
        <v>1751</v>
      </c>
      <c r="P9" s="694">
        <f t="shared" si="7"/>
        <v>1034</v>
      </c>
      <c r="Q9" s="693">
        <f t="shared" si="1"/>
        <v>717</v>
      </c>
      <c r="R9" s="17"/>
      <c r="S9" s="839">
        <f t="shared" si="2"/>
        <v>391</v>
      </c>
      <c r="T9" s="839">
        <f t="shared" si="3"/>
        <v>387</v>
      </c>
      <c r="U9" s="839">
        <f t="shared" si="4"/>
        <v>452</v>
      </c>
      <c r="V9" s="839">
        <f t="shared" si="5"/>
        <v>521</v>
      </c>
      <c r="W9" s="841"/>
      <c r="X9" s="698">
        <f t="shared" si="6"/>
        <v>1751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25">
      <c r="A10" s="717" t="s">
        <v>921</v>
      </c>
      <c r="B10" s="747"/>
      <c r="C10" s="870">
        <v>0</v>
      </c>
      <c r="D10" s="870">
        <v>0</v>
      </c>
      <c r="E10" s="870">
        <v>0</v>
      </c>
      <c r="F10" s="870">
        <v>0</v>
      </c>
      <c r="G10" s="870">
        <v>0</v>
      </c>
      <c r="H10" s="870">
        <v>0</v>
      </c>
      <c r="I10" s="870">
        <v>0</v>
      </c>
      <c r="J10" s="870">
        <v>0</v>
      </c>
      <c r="K10" s="870">
        <v>0</v>
      </c>
      <c r="L10" s="870">
        <v>0</v>
      </c>
      <c r="M10" s="870">
        <v>0</v>
      </c>
      <c r="N10" s="870">
        <v>0</v>
      </c>
      <c r="O10" s="693">
        <f>SUM(C10:N10)</f>
        <v>0</v>
      </c>
      <c r="P10" s="694">
        <f t="shared" si="7"/>
        <v>0</v>
      </c>
      <c r="Q10" s="693">
        <f>O10-P10</f>
        <v>0</v>
      </c>
      <c r="R10" s="17"/>
      <c r="S10" s="839">
        <f>SUM(C10:E10)</f>
        <v>0</v>
      </c>
      <c r="T10" s="839">
        <f>SUM(F10:H10)</f>
        <v>0</v>
      </c>
      <c r="U10" s="839">
        <f>SUM(I10:K10)</f>
        <v>0</v>
      </c>
      <c r="V10" s="839">
        <f>SUM(L10:N10)</f>
        <v>0</v>
      </c>
      <c r="W10" s="840"/>
      <c r="X10" s="698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25">
      <c r="A11" s="708" t="s">
        <v>968</v>
      </c>
      <c r="B11" s="747"/>
      <c r="C11" s="856">
        <f>-DataBase!C170-SUM(C12:C14)</f>
        <v>1870</v>
      </c>
      <c r="D11" s="856">
        <f>-DataBase!D170-SUM(D12:D14)</f>
        <v>2099</v>
      </c>
      <c r="E11" s="856">
        <f>-DataBase!E170-SUM(E12:E14)</f>
        <v>2611</v>
      </c>
      <c r="F11" s="856">
        <f>-DataBase!F170-SUM(F12:F14)</f>
        <v>1806</v>
      </c>
      <c r="G11" s="856">
        <f>-DataBase!G170-SUM(G12:G14)</f>
        <v>2795</v>
      </c>
      <c r="H11" s="856">
        <f>-DataBase!H170-SUM(H12:H14)</f>
        <v>2490</v>
      </c>
      <c r="I11" s="856">
        <f>-DataBase!I170-SUM(I12:I14)</f>
        <v>2181</v>
      </c>
      <c r="J11" s="856">
        <f>-DataBase!J170-SUM(J12:J14)</f>
        <v>2478</v>
      </c>
      <c r="K11" s="856">
        <f>-DataBase!K170-SUM(K12:K14)</f>
        <v>1132</v>
      </c>
      <c r="L11" s="856">
        <f>-DataBase!L170-SUM(L12:L14)</f>
        <v>1748</v>
      </c>
      <c r="M11" s="856">
        <f>-DataBase!M170-SUM(M12:M14)</f>
        <v>1688</v>
      </c>
      <c r="N11" s="856">
        <f>-DataBase!N170-SUM(N12:N14)</f>
        <v>827</v>
      </c>
      <c r="O11" s="693">
        <f>SUM(C11:N11)</f>
        <v>23725</v>
      </c>
      <c r="P11" s="694">
        <f t="shared" si="7"/>
        <v>18330</v>
      </c>
      <c r="Q11" s="693">
        <f t="shared" si="1"/>
        <v>5395</v>
      </c>
      <c r="R11" s="17"/>
      <c r="S11" s="839">
        <f>SUM(C11:E11)</f>
        <v>6580</v>
      </c>
      <c r="T11" s="839">
        <f>SUM(F11:H11)</f>
        <v>7091</v>
      </c>
      <c r="U11" s="839">
        <f>SUM(I11:K11)</f>
        <v>5791</v>
      </c>
      <c r="V11" s="839">
        <f>SUM(L11:N11)</f>
        <v>4263</v>
      </c>
      <c r="W11" s="840"/>
      <c r="X11" s="698">
        <f>SUM(S11:V11)</f>
        <v>23725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25">
      <c r="A12" s="1007" t="s">
        <v>921</v>
      </c>
      <c r="B12" s="750"/>
      <c r="C12" s="870">
        <v>0</v>
      </c>
      <c r="D12" s="870">
        <v>0</v>
      </c>
      <c r="E12" s="870">
        <v>0</v>
      </c>
      <c r="F12" s="870">
        <v>0</v>
      </c>
      <c r="G12" s="870">
        <v>0</v>
      </c>
      <c r="H12" s="870">
        <v>0</v>
      </c>
      <c r="I12" s="870">
        <v>0</v>
      </c>
      <c r="J12" s="870">
        <v>0</v>
      </c>
      <c r="K12" s="870">
        <v>0</v>
      </c>
      <c r="L12" s="870">
        <v>0</v>
      </c>
      <c r="M12" s="870">
        <v>0</v>
      </c>
      <c r="N12" s="870">
        <v>0</v>
      </c>
      <c r="O12" s="693">
        <f>SUM(C12:N12)</f>
        <v>0</v>
      </c>
      <c r="P12" s="694">
        <f t="shared" si="7"/>
        <v>0</v>
      </c>
      <c r="Q12" s="693">
        <f t="shared" si="1"/>
        <v>0</v>
      </c>
      <c r="R12" s="17"/>
      <c r="S12" s="839">
        <f>SUM(C12:E12)</f>
        <v>0</v>
      </c>
      <c r="T12" s="839">
        <f>SUM(F12:H12)</f>
        <v>0</v>
      </c>
      <c r="U12" s="839">
        <f>SUM(I12:K12)</f>
        <v>0</v>
      </c>
      <c r="V12" s="839">
        <f>SUM(L12:N12)</f>
        <v>0</v>
      </c>
      <c r="W12" s="840"/>
      <c r="X12" s="698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25">
      <c r="A13" s="1007" t="s">
        <v>921</v>
      </c>
      <c r="B13" s="747"/>
      <c r="C13" s="870">
        <v>0</v>
      </c>
      <c r="D13" s="870">
        <v>0</v>
      </c>
      <c r="E13" s="870">
        <v>0</v>
      </c>
      <c r="F13" s="870">
        <v>0</v>
      </c>
      <c r="G13" s="870">
        <v>0</v>
      </c>
      <c r="H13" s="870">
        <v>0</v>
      </c>
      <c r="I13" s="870">
        <v>0</v>
      </c>
      <c r="J13" s="870">
        <v>0</v>
      </c>
      <c r="K13" s="870">
        <v>0</v>
      </c>
      <c r="L13" s="870">
        <v>0</v>
      </c>
      <c r="M13" s="870">
        <v>0</v>
      </c>
      <c r="N13" s="870">
        <v>0</v>
      </c>
      <c r="O13" s="693">
        <f>SUM(C13:N13)</f>
        <v>0</v>
      </c>
      <c r="P13" s="694">
        <f t="shared" si="7"/>
        <v>0</v>
      </c>
      <c r="Q13" s="693">
        <f t="shared" si="1"/>
        <v>0</v>
      </c>
      <c r="R13" s="17"/>
      <c r="S13" s="839">
        <f>SUM(C13:E13)</f>
        <v>0</v>
      </c>
      <c r="T13" s="839">
        <f>SUM(F13:H13)</f>
        <v>0</v>
      </c>
      <c r="U13" s="839">
        <f>SUM(I13:K13)</f>
        <v>0</v>
      </c>
      <c r="V13" s="839">
        <f>SUM(L13:N13)</f>
        <v>0</v>
      </c>
      <c r="W13" s="840"/>
      <c r="X13" s="698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25">
      <c r="A14" s="1007" t="s">
        <v>921</v>
      </c>
      <c r="B14" s="751"/>
      <c r="C14" s="870">
        <v>0</v>
      </c>
      <c r="D14" s="870">
        <v>0</v>
      </c>
      <c r="E14" s="870">
        <v>0</v>
      </c>
      <c r="F14" s="870">
        <v>0</v>
      </c>
      <c r="G14" s="870">
        <v>0</v>
      </c>
      <c r="H14" s="870">
        <v>0</v>
      </c>
      <c r="I14" s="870">
        <v>0</v>
      </c>
      <c r="J14" s="870">
        <v>0</v>
      </c>
      <c r="K14" s="870">
        <v>0</v>
      </c>
      <c r="L14" s="870">
        <v>0</v>
      </c>
      <c r="M14" s="870">
        <v>0</v>
      </c>
      <c r="N14" s="870">
        <v>0</v>
      </c>
      <c r="O14" s="693">
        <f>SUM(C14:N14)</f>
        <v>0</v>
      </c>
      <c r="P14" s="694">
        <f t="shared" si="7"/>
        <v>0</v>
      </c>
      <c r="Q14" s="693">
        <f t="shared" si="1"/>
        <v>0</v>
      </c>
      <c r="R14" s="17"/>
      <c r="S14" s="839">
        <f>SUM(C14:E14)</f>
        <v>0</v>
      </c>
      <c r="T14" s="839">
        <f>SUM(F14:H14)</f>
        <v>0</v>
      </c>
      <c r="U14" s="839">
        <f>SUM(I14:K14)</f>
        <v>0</v>
      </c>
      <c r="V14" s="839">
        <f>SUM(L14:N14)</f>
        <v>0</v>
      </c>
      <c r="W14" s="841"/>
      <c r="X14" s="698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25">
      <c r="A15" s="717" t="s">
        <v>295</v>
      </c>
      <c r="B15" s="747"/>
      <c r="C15" s="856">
        <f>-DataBase!C201-SUM(C16:C19)</f>
        <v>316.971</v>
      </c>
      <c r="D15" s="856">
        <f>-DataBase!D201-SUM(D16:D19)</f>
        <v>338.90199999999999</v>
      </c>
      <c r="E15" s="856">
        <f>-DataBase!E201-SUM(E16:E19)</f>
        <v>1305</v>
      </c>
      <c r="F15" s="856">
        <f>-DataBase!F201-SUM(F16:F19)</f>
        <v>199</v>
      </c>
      <c r="G15" s="856">
        <f>-DataBase!G201-SUM(G16:G19)</f>
        <v>144</v>
      </c>
      <c r="H15" s="856">
        <f>-DataBase!H201-SUM(H16:H19)</f>
        <v>333</v>
      </c>
      <c r="I15" s="856">
        <f>-DataBase!I201-SUM(I16:I19)</f>
        <v>354</v>
      </c>
      <c r="J15" s="856">
        <f>-DataBase!J201-SUM(J16:J19)</f>
        <v>362</v>
      </c>
      <c r="K15" s="856">
        <f>-DataBase!K201-SUM(K16:K19)</f>
        <v>358</v>
      </c>
      <c r="L15" s="856">
        <f>-DataBase!L201-SUM(L16:L19)</f>
        <v>345</v>
      </c>
      <c r="M15" s="856">
        <f>-DataBase!M201-SUM(M16:M19)</f>
        <v>343</v>
      </c>
      <c r="N15" s="856">
        <f>-DataBase!N201-SUM(N16:N19)</f>
        <v>363</v>
      </c>
      <c r="O15" s="693">
        <f t="shared" si="0"/>
        <v>4761.8729999999996</v>
      </c>
      <c r="P15" s="694">
        <f t="shared" si="7"/>
        <v>3352.873</v>
      </c>
      <c r="Q15" s="693">
        <f t="shared" si="1"/>
        <v>1408.9999999999995</v>
      </c>
      <c r="R15" s="17"/>
      <c r="S15" s="839">
        <f t="shared" si="2"/>
        <v>1960.873</v>
      </c>
      <c r="T15" s="839">
        <f t="shared" si="3"/>
        <v>676</v>
      </c>
      <c r="U15" s="839">
        <f t="shared" si="4"/>
        <v>1074</v>
      </c>
      <c r="V15" s="839">
        <f t="shared" si="5"/>
        <v>1051</v>
      </c>
      <c r="W15" s="841"/>
      <c r="X15" s="698">
        <f t="shared" si="6"/>
        <v>4761.8729999999996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25">
      <c r="A16" s="708" t="s">
        <v>970</v>
      </c>
      <c r="B16" s="747"/>
      <c r="C16" s="870">
        <v>0</v>
      </c>
      <c r="D16" s="870">
        <v>0</v>
      </c>
      <c r="E16" s="870">
        <v>0</v>
      </c>
      <c r="F16" s="870">
        <v>0</v>
      </c>
      <c r="G16" s="870">
        <v>0</v>
      </c>
      <c r="H16" s="870">
        <v>0</v>
      </c>
      <c r="I16" s="870">
        <v>0</v>
      </c>
      <c r="J16" s="870">
        <v>0</v>
      </c>
      <c r="K16" s="870">
        <v>0</v>
      </c>
      <c r="L16" s="870">
        <v>0</v>
      </c>
      <c r="M16" s="870">
        <v>0</v>
      </c>
      <c r="N16" s="870">
        <v>0</v>
      </c>
      <c r="O16" s="693">
        <f t="shared" si="0"/>
        <v>0</v>
      </c>
      <c r="P16" s="694">
        <f t="shared" si="7"/>
        <v>0</v>
      </c>
      <c r="Q16" s="693">
        <f t="shared" si="1"/>
        <v>0</v>
      </c>
      <c r="R16" s="17"/>
      <c r="S16" s="839">
        <f t="shared" si="2"/>
        <v>0</v>
      </c>
      <c r="T16" s="839">
        <f t="shared" si="3"/>
        <v>0</v>
      </c>
      <c r="U16" s="839">
        <f t="shared" si="4"/>
        <v>0</v>
      </c>
      <c r="V16" s="839">
        <f t="shared" si="5"/>
        <v>0</v>
      </c>
      <c r="W16" s="840"/>
      <c r="X16" s="698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25">
      <c r="A17" s="708" t="s">
        <v>969</v>
      </c>
      <c r="B17" s="847" t="s">
        <v>261</v>
      </c>
      <c r="C17" s="870">
        <v>10</v>
      </c>
      <c r="D17" s="870">
        <v>10</v>
      </c>
      <c r="E17" s="854">
        <f>10+10+10+9</f>
        <v>39</v>
      </c>
      <c r="F17" s="854">
        <f>10-10</f>
        <v>0</v>
      </c>
      <c r="G17" s="854">
        <f>10-10</f>
        <v>0</v>
      </c>
      <c r="H17" s="854">
        <f>9-9</f>
        <v>0</v>
      </c>
      <c r="I17" s="870">
        <v>0</v>
      </c>
      <c r="J17" s="870">
        <v>0</v>
      </c>
      <c r="K17" s="870">
        <v>0</v>
      </c>
      <c r="L17" s="870">
        <v>0</v>
      </c>
      <c r="M17" s="870">
        <v>0</v>
      </c>
      <c r="N17" s="870">
        <v>0</v>
      </c>
      <c r="O17" s="693">
        <f t="shared" si="0"/>
        <v>59</v>
      </c>
      <c r="P17" s="694">
        <f t="shared" si="7"/>
        <v>59</v>
      </c>
      <c r="Q17" s="693">
        <f t="shared" si="1"/>
        <v>0</v>
      </c>
      <c r="R17" s="17"/>
      <c r="S17" s="839">
        <f t="shared" si="2"/>
        <v>59</v>
      </c>
      <c r="T17" s="839">
        <f t="shared" si="3"/>
        <v>0</v>
      </c>
      <c r="U17" s="839">
        <f t="shared" si="4"/>
        <v>0</v>
      </c>
      <c r="V17" s="839">
        <f t="shared" si="5"/>
        <v>0</v>
      </c>
      <c r="W17" s="840"/>
      <c r="X17" s="698">
        <f t="shared" si="6"/>
        <v>59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25">
      <c r="A18" s="1007" t="s">
        <v>921</v>
      </c>
      <c r="B18" s="751"/>
      <c r="C18" s="870">
        <v>0</v>
      </c>
      <c r="D18" s="870">
        <v>0</v>
      </c>
      <c r="E18" s="870">
        <v>0</v>
      </c>
      <c r="F18" s="870">
        <v>0</v>
      </c>
      <c r="G18" s="870">
        <v>0</v>
      </c>
      <c r="H18" s="870">
        <v>0</v>
      </c>
      <c r="I18" s="870">
        <v>0</v>
      </c>
      <c r="J18" s="870">
        <v>0</v>
      </c>
      <c r="K18" s="870">
        <v>0</v>
      </c>
      <c r="L18" s="870">
        <v>0</v>
      </c>
      <c r="M18" s="870">
        <v>0</v>
      </c>
      <c r="N18" s="870">
        <v>0</v>
      </c>
      <c r="O18" s="693">
        <f>SUM(C18:N18)</f>
        <v>0</v>
      </c>
      <c r="P18" s="694">
        <f t="shared" si="7"/>
        <v>0</v>
      </c>
      <c r="Q18" s="693">
        <f>O18-P18</f>
        <v>0</v>
      </c>
      <c r="R18" s="17"/>
      <c r="S18" s="839">
        <f>SUM(C18:E18)</f>
        <v>0</v>
      </c>
      <c r="T18" s="839">
        <f>SUM(F18:H18)</f>
        <v>0</v>
      </c>
      <c r="U18" s="839">
        <f>SUM(I18:K18)</f>
        <v>0</v>
      </c>
      <c r="V18" s="839">
        <f>SUM(L18:N18)</f>
        <v>0</v>
      </c>
      <c r="W18" s="841"/>
      <c r="X18" s="698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25">
      <c r="A19" s="865" t="s">
        <v>306</v>
      </c>
      <c r="B19" s="866"/>
      <c r="C19" s="867">
        <v>0</v>
      </c>
      <c r="D19" s="867">
        <v>0</v>
      </c>
      <c r="E19" s="867">
        <v>0</v>
      </c>
      <c r="F19" s="867">
        <v>0</v>
      </c>
      <c r="G19" s="867">
        <v>0</v>
      </c>
      <c r="H19" s="867">
        <v>0</v>
      </c>
      <c r="I19" s="702">
        <v>0</v>
      </c>
      <c r="J19" s="702">
        <v>0</v>
      </c>
      <c r="K19" s="702">
        <v>0</v>
      </c>
      <c r="L19" s="702">
        <v>0</v>
      </c>
      <c r="M19" s="702">
        <v>0</v>
      </c>
      <c r="N19" s="867">
        <f>-600+600</f>
        <v>0</v>
      </c>
      <c r="O19" s="693">
        <f t="shared" si="0"/>
        <v>0</v>
      </c>
      <c r="P19" s="694">
        <f t="shared" si="7"/>
        <v>0</v>
      </c>
      <c r="Q19" s="693">
        <f t="shared" si="1"/>
        <v>0</v>
      </c>
      <c r="R19" s="693"/>
      <c r="S19" s="839">
        <f t="shared" si="2"/>
        <v>0</v>
      </c>
      <c r="T19" s="839">
        <f t="shared" si="3"/>
        <v>0</v>
      </c>
      <c r="U19" s="839">
        <f t="shared" si="4"/>
        <v>0</v>
      </c>
      <c r="V19" s="839">
        <f t="shared" si="5"/>
        <v>0</v>
      </c>
      <c r="W19" s="840"/>
      <c r="X19" s="698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25">
      <c r="A20" s="717" t="s">
        <v>324</v>
      </c>
      <c r="B20" s="747"/>
      <c r="C20" s="1008">
        <f>-DataBase!C208</f>
        <v>0</v>
      </c>
      <c r="D20" s="1008">
        <f>-DataBase!D208</f>
        <v>0</v>
      </c>
      <c r="E20" s="1008">
        <f>-DataBase!E208</f>
        <v>0</v>
      </c>
      <c r="F20" s="1008">
        <f>-DataBase!F208</f>
        <v>0</v>
      </c>
      <c r="G20" s="1008">
        <f>-DataBase!G208</f>
        <v>0</v>
      </c>
      <c r="H20" s="1008">
        <f>-DataBase!H208</f>
        <v>0</v>
      </c>
      <c r="I20" s="1008">
        <f>-DataBase!I208</f>
        <v>0</v>
      </c>
      <c r="J20" s="1008">
        <f>-DataBase!J208</f>
        <v>0</v>
      </c>
      <c r="K20" s="1008">
        <f>-DataBase!K208</f>
        <v>0</v>
      </c>
      <c r="L20" s="1008">
        <f>-DataBase!L208</f>
        <v>0</v>
      </c>
      <c r="M20" s="1008">
        <f>-DataBase!M208</f>
        <v>0</v>
      </c>
      <c r="N20" s="1008">
        <f>-DataBase!N208</f>
        <v>0</v>
      </c>
      <c r="O20" s="693">
        <f>SUM(C20:N20)</f>
        <v>0</v>
      </c>
      <c r="P20" s="694">
        <f t="shared" si="7"/>
        <v>0</v>
      </c>
      <c r="Q20" s="693">
        <f>O20-P20</f>
        <v>0</v>
      </c>
      <c r="R20" s="17"/>
      <c r="S20" s="839">
        <f>SUM(C20:E20)</f>
        <v>0</v>
      </c>
      <c r="T20" s="839">
        <f>SUM(F20:H20)</f>
        <v>0</v>
      </c>
      <c r="U20" s="839">
        <f>SUM(I20:K20)</f>
        <v>0</v>
      </c>
      <c r="V20" s="839">
        <f>SUM(L20:N20)</f>
        <v>0</v>
      </c>
      <c r="W20" s="840"/>
      <c r="X20" s="698">
        <f>SUM(S20:V20)</f>
        <v>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25">
      <c r="A21" s="717" t="s">
        <v>294</v>
      </c>
      <c r="B21" s="747"/>
      <c r="C21" s="856">
        <f>-DataBase!C277-C22</f>
        <v>175</v>
      </c>
      <c r="D21" s="856">
        <f>-DataBase!D277-D22</f>
        <v>209</v>
      </c>
      <c r="E21" s="856">
        <f>-DataBase!E277-E22</f>
        <v>334</v>
      </c>
      <c r="F21" s="856">
        <f>-DataBase!F277-F22</f>
        <v>64</v>
      </c>
      <c r="G21" s="856">
        <f>-DataBase!G277-G22</f>
        <v>209</v>
      </c>
      <c r="H21" s="856">
        <f>-DataBase!H277-H22</f>
        <v>284</v>
      </c>
      <c r="I21" s="856">
        <f>-DataBase!I277-I22</f>
        <v>189</v>
      </c>
      <c r="J21" s="856">
        <f>-DataBase!J277-J22</f>
        <v>306</v>
      </c>
      <c r="K21" s="856">
        <f>-DataBase!K277-K22</f>
        <v>352</v>
      </c>
      <c r="L21" s="856">
        <f>-DataBase!L277-L22</f>
        <v>467</v>
      </c>
      <c r="M21" s="856">
        <f>-DataBase!M277-M22</f>
        <v>368</v>
      </c>
      <c r="N21" s="856">
        <f>-DataBase!N277-N22</f>
        <v>467</v>
      </c>
      <c r="O21" s="693">
        <f t="shared" si="0"/>
        <v>3424</v>
      </c>
      <c r="P21" s="694">
        <f t="shared" si="7"/>
        <v>1770</v>
      </c>
      <c r="Q21" s="693">
        <f t="shared" si="1"/>
        <v>1654</v>
      </c>
      <c r="R21" s="17"/>
      <c r="S21" s="839">
        <f t="shared" si="2"/>
        <v>718</v>
      </c>
      <c r="T21" s="839">
        <f t="shared" si="3"/>
        <v>557</v>
      </c>
      <c r="U21" s="839">
        <f t="shared" si="4"/>
        <v>847</v>
      </c>
      <c r="V21" s="839">
        <f t="shared" si="5"/>
        <v>1302</v>
      </c>
      <c r="W21" s="841"/>
      <c r="X21" s="698">
        <f t="shared" si="6"/>
        <v>3424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25">
      <c r="A22" s="1007" t="s">
        <v>921</v>
      </c>
      <c r="B22" s="747"/>
      <c r="C22" s="870">
        <v>0</v>
      </c>
      <c r="D22" s="870">
        <v>0</v>
      </c>
      <c r="E22" s="870">
        <v>0</v>
      </c>
      <c r="F22" s="870">
        <v>0</v>
      </c>
      <c r="G22" s="870">
        <v>0</v>
      </c>
      <c r="H22" s="870">
        <v>0</v>
      </c>
      <c r="I22" s="870">
        <v>0</v>
      </c>
      <c r="J22" s="870">
        <v>0</v>
      </c>
      <c r="K22" s="870">
        <v>0</v>
      </c>
      <c r="L22" s="870">
        <v>0</v>
      </c>
      <c r="M22" s="870">
        <v>0</v>
      </c>
      <c r="N22" s="870">
        <v>0</v>
      </c>
      <c r="O22" s="693">
        <f t="shared" si="0"/>
        <v>0</v>
      </c>
      <c r="P22" s="694">
        <f t="shared" si="7"/>
        <v>0</v>
      </c>
      <c r="Q22" s="693">
        <f t="shared" si="1"/>
        <v>0</v>
      </c>
      <c r="R22" s="17"/>
      <c r="S22" s="839">
        <f t="shared" si="2"/>
        <v>0</v>
      </c>
      <c r="T22" s="839">
        <f t="shared" si="3"/>
        <v>0</v>
      </c>
      <c r="U22" s="839">
        <f t="shared" si="4"/>
        <v>0</v>
      </c>
      <c r="V22" s="839">
        <f t="shared" si="5"/>
        <v>0</v>
      </c>
      <c r="W22" s="840"/>
      <c r="X22" s="698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25">
      <c r="A23" s="717" t="s">
        <v>296</v>
      </c>
      <c r="B23" s="735"/>
      <c r="C23" s="692"/>
      <c r="D23" s="692"/>
      <c r="E23" s="692"/>
      <c r="F23" s="692"/>
      <c r="G23" s="692"/>
      <c r="H23" s="692"/>
      <c r="I23" s="692"/>
      <c r="J23" s="692"/>
      <c r="K23" s="692"/>
      <c r="L23" s="692"/>
      <c r="M23" s="692"/>
      <c r="N23" s="692"/>
      <c r="O23" s="618"/>
      <c r="P23" s="618"/>
      <c r="Q23" s="618"/>
      <c r="R23" s="17"/>
      <c r="S23" s="839"/>
      <c r="T23" s="839"/>
      <c r="U23" s="839"/>
      <c r="V23" s="839"/>
      <c r="W23" s="841"/>
      <c r="X23" s="698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25">
      <c r="A24" s="717" t="s">
        <v>337</v>
      </c>
      <c r="B24" s="747"/>
      <c r="C24" s="870">
        <v>0</v>
      </c>
      <c r="D24" s="870">
        <v>0</v>
      </c>
      <c r="E24" s="870">
        <v>0</v>
      </c>
      <c r="F24" s="870">
        <v>0</v>
      </c>
      <c r="G24" s="870">
        <v>0</v>
      </c>
      <c r="H24" s="870">
        <v>0</v>
      </c>
      <c r="I24" s="870">
        <v>0</v>
      </c>
      <c r="J24" s="870">
        <v>0</v>
      </c>
      <c r="K24" s="870">
        <v>0</v>
      </c>
      <c r="L24" s="870">
        <v>0</v>
      </c>
      <c r="M24" s="870">
        <v>0</v>
      </c>
      <c r="N24" s="870">
        <v>0</v>
      </c>
      <c r="O24" s="693">
        <f>SUM(C24:N24)</f>
        <v>0</v>
      </c>
      <c r="P24" s="694">
        <f t="shared" si="7"/>
        <v>0</v>
      </c>
      <c r="Q24" s="693">
        <f>O24-P24</f>
        <v>0</v>
      </c>
      <c r="R24" s="17"/>
      <c r="S24" s="839">
        <f>SUM(C24:E24)</f>
        <v>0</v>
      </c>
      <c r="T24" s="839">
        <f>SUM(F24:H24)</f>
        <v>0</v>
      </c>
      <c r="U24" s="839">
        <f>SUM(I24:K24)</f>
        <v>0</v>
      </c>
      <c r="V24" s="839">
        <f>SUM(L24:N24)</f>
        <v>0</v>
      </c>
      <c r="W24" s="840"/>
      <c r="X24" s="698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25">
      <c r="A25" s="717" t="s">
        <v>297</v>
      </c>
      <c r="B25" s="747"/>
      <c r="C25" s="870">
        <v>0</v>
      </c>
      <c r="D25" s="870">
        <v>0</v>
      </c>
      <c r="E25" s="870">
        <v>0</v>
      </c>
      <c r="F25" s="870">
        <v>0</v>
      </c>
      <c r="G25" s="870">
        <v>0</v>
      </c>
      <c r="H25" s="870">
        <v>0</v>
      </c>
      <c r="I25" s="870">
        <v>0</v>
      </c>
      <c r="J25" s="870">
        <v>0</v>
      </c>
      <c r="K25" s="870">
        <v>0</v>
      </c>
      <c r="L25" s="870">
        <v>0</v>
      </c>
      <c r="M25" s="870">
        <v>0</v>
      </c>
      <c r="N25" s="870">
        <v>0</v>
      </c>
      <c r="O25" s="693">
        <f>SUM(C25:N25)</f>
        <v>0</v>
      </c>
      <c r="P25" s="694">
        <f t="shared" si="7"/>
        <v>0</v>
      </c>
      <c r="Q25" s="693">
        <f>O25-P25</f>
        <v>0</v>
      </c>
      <c r="R25" s="17"/>
      <c r="S25" s="839">
        <f>SUM(C25:E25)</f>
        <v>0</v>
      </c>
      <c r="T25" s="839">
        <f>SUM(F25:H25)</f>
        <v>0</v>
      </c>
      <c r="U25" s="839">
        <f>SUM(I25:K25)</f>
        <v>0</v>
      </c>
      <c r="V25" s="839">
        <f>SUM(L25:N25)</f>
        <v>0</v>
      </c>
      <c r="W25" s="840"/>
      <c r="X25" s="698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25">
      <c r="A26" s="717" t="s">
        <v>159</v>
      </c>
      <c r="B26" s="747"/>
      <c r="C26" s="870">
        <v>0</v>
      </c>
      <c r="D26" s="870">
        <v>0</v>
      </c>
      <c r="E26" s="870">
        <v>0</v>
      </c>
      <c r="F26" s="870">
        <v>0</v>
      </c>
      <c r="G26" s="870">
        <v>0</v>
      </c>
      <c r="H26" s="870">
        <v>0</v>
      </c>
      <c r="I26" s="870">
        <v>0</v>
      </c>
      <c r="J26" s="870">
        <v>0</v>
      </c>
      <c r="K26" s="870">
        <v>0</v>
      </c>
      <c r="L26" s="870">
        <v>0</v>
      </c>
      <c r="M26" s="870">
        <v>0</v>
      </c>
      <c r="N26" s="870">
        <v>0</v>
      </c>
      <c r="O26" s="693">
        <f>SUM(C26:N26)</f>
        <v>0</v>
      </c>
      <c r="P26" s="694">
        <f t="shared" si="7"/>
        <v>0</v>
      </c>
      <c r="Q26" s="693">
        <f>O26-P26</f>
        <v>0</v>
      </c>
      <c r="R26" s="17"/>
      <c r="S26" s="839">
        <f>SUM(C26:E26)</f>
        <v>0</v>
      </c>
      <c r="T26" s="839">
        <f>SUM(F26:H26)</f>
        <v>0</v>
      </c>
      <c r="U26" s="839">
        <f>SUM(I26:K26)</f>
        <v>0</v>
      </c>
      <c r="V26" s="839">
        <f>SUM(L26:N26)</f>
        <v>0</v>
      </c>
      <c r="W26" s="840"/>
      <c r="X26" s="698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25">
      <c r="A27" s="710" t="s">
        <v>919</v>
      </c>
      <c r="B27" s="747"/>
      <c r="C27" s="871">
        <f>0</f>
        <v>0</v>
      </c>
      <c r="D27" s="871">
        <f>0</f>
        <v>0</v>
      </c>
      <c r="E27" s="871">
        <f>0</f>
        <v>0</v>
      </c>
      <c r="F27" s="871">
        <f>0</f>
        <v>0</v>
      </c>
      <c r="G27" s="871">
        <f>0</f>
        <v>0</v>
      </c>
      <c r="H27" s="871">
        <f>0</f>
        <v>0</v>
      </c>
      <c r="I27" s="871">
        <f>0</f>
        <v>0</v>
      </c>
      <c r="J27" s="871">
        <f>0</f>
        <v>0</v>
      </c>
      <c r="K27" s="871">
        <f>0</f>
        <v>0</v>
      </c>
      <c r="L27" s="871">
        <f>0</f>
        <v>0</v>
      </c>
      <c r="M27" s="871">
        <f>0</f>
        <v>0</v>
      </c>
      <c r="N27" s="871">
        <f>0</f>
        <v>0</v>
      </c>
      <c r="O27" s="695">
        <f>SUM(C27:N27)</f>
        <v>0</v>
      </c>
      <c r="P27" s="696">
        <f t="shared" si="7"/>
        <v>0</v>
      </c>
      <c r="Q27" s="695">
        <f>O27-P27</f>
        <v>0</v>
      </c>
      <c r="R27" s="22"/>
      <c r="S27" s="842">
        <f>SUM(C27:E27)</f>
        <v>0</v>
      </c>
      <c r="T27" s="842">
        <f>SUM(F27:H27)</f>
        <v>0</v>
      </c>
      <c r="U27" s="842">
        <f>SUM(I27:K27)</f>
        <v>0</v>
      </c>
      <c r="V27" s="842">
        <f>SUM(L27:N27)</f>
        <v>0</v>
      </c>
      <c r="W27" s="840"/>
      <c r="X27" s="697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5" customHeight="1" x14ac:dyDescent="0.25">
      <c r="A28" s="698"/>
      <c r="B28" s="747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8"/>
      <c r="R28" s="17"/>
      <c r="S28" s="839"/>
      <c r="T28" s="839"/>
      <c r="U28" s="839"/>
      <c r="V28" s="839"/>
      <c r="W28" s="840"/>
      <c r="X28" s="84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25">
      <c r="A29" s="715" t="s">
        <v>153</v>
      </c>
      <c r="B29" s="752"/>
      <c r="C29" s="699">
        <f t="shared" ref="C29:N29" si="8">ROUND(SUM(C7:C27),0)</f>
        <v>2648</v>
      </c>
      <c r="D29" s="699">
        <f t="shared" si="8"/>
        <v>2956</v>
      </c>
      <c r="E29" s="699">
        <f t="shared" si="8"/>
        <v>4756</v>
      </c>
      <c r="F29" s="699">
        <f t="shared" si="8"/>
        <v>2513</v>
      </c>
      <c r="G29" s="699">
        <f t="shared" si="8"/>
        <v>3435</v>
      </c>
      <c r="H29" s="699">
        <f t="shared" si="8"/>
        <v>3460</v>
      </c>
      <c r="I29" s="699">
        <f t="shared" si="8"/>
        <v>2887</v>
      </c>
      <c r="J29" s="699">
        <f t="shared" si="8"/>
        <v>3378</v>
      </c>
      <c r="K29" s="699">
        <f t="shared" si="8"/>
        <v>2205</v>
      </c>
      <c r="L29" s="699">
        <f t="shared" si="8"/>
        <v>2866</v>
      </c>
      <c r="M29" s="699">
        <f t="shared" si="8"/>
        <v>2764</v>
      </c>
      <c r="N29" s="699">
        <f t="shared" si="8"/>
        <v>2446</v>
      </c>
      <c r="O29" s="699">
        <f>SUM(O7:O27)</f>
        <v>36313.873</v>
      </c>
      <c r="P29" s="699">
        <f>SUM(P7:P27)</f>
        <v>26032.873</v>
      </c>
      <c r="Q29" s="699">
        <f>SUM(Q7:Q27)</f>
        <v>10281</v>
      </c>
      <c r="R29" s="17"/>
      <c r="S29" s="699">
        <f>SUM(S7:S27)</f>
        <v>10359.873</v>
      </c>
      <c r="T29" s="699">
        <f>SUM(T7:T27)</f>
        <v>9408</v>
      </c>
      <c r="U29" s="699">
        <f>SUM(U7:U27)</f>
        <v>8470</v>
      </c>
      <c r="V29" s="699">
        <f>SUM(V7:V27)</f>
        <v>8076</v>
      </c>
      <c r="W29" s="840"/>
      <c r="X29" s="699">
        <f>SUM(X7:X27)</f>
        <v>36313.873</v>
      </c>
      <c r="Y29" s="17"/>
      <c r="Z29" s="698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25">
      <c r="A30" s="711"/>
      <c r="B30" s="747"/>
      <c r="C30" s="693"/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17"/>
      <c r="S30" s="698"/>
      <c r="T30" s="698"/>
      <c r="U30" s="698"/>
      <c r="V30" s="698"/>
      <c r="W30" s="840"/>
      <c r="X30" s="840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25">
      <c r="A31" s="716" t="s">
        <v>152</v>
      </c>
      <c r="B31" s="753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693"/>
      <c r="P31" s="693"/>
      <c r="Q31" s="693"/>
      <c r="R31" s="17"/>
      <c r="S31" s="698"/>
      <c r="T31" s="698"/>
      <c r="U31" s="698"/>
      <c r="V31" s="698"/>
      <c r="W31" s="840"/>
      <c r="X31" s="84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25">
      <c r="A32" s="717" t="s">
        <v>307</v>
      </c>
      <c r="B32" s="868"/>
      <c r="C32" s="692">
        <f>-DataBase!C292</f>
        <v>60</v>
      </c>
      <c r="D32" s="692">
        <f>-DataBase!D292</f>
        <v>84</v>
      </c>
      <c r="E32" s="692">
        <f>-DataBase!E292</f>
        <v>75</v>
      </c>
      <c r="F32" s="692">
        <f>-DataBase!F292</f>
        <v>81</v>
      </c>
      <c r="G32" s="692">
        <f>-DataBase!G292</f>
        <v>67</v>
      </c>
      <c r="H32" s="692">
        <f>-DataBase!H292</f>
        <v>70</v>
      </c>
      <c r="I32" s="692">
        <f>-DataBase!I292</f>
        <v>62</v>
      </c>
      <c r="J32" s="692">
        <f>-DataBase!J292</f>
        <v>75</v>
      </c>
      <c r="K32" s="692">
        <f>-DataBase!K292</f>
        <v>126</v>
      </c>
      <c r="L32" s="692">
        <f>-DataBase!L292</f>
        <v>126</v>
      </c>
      <c r="M32" s="692">
        <f>-DataBase!M292</f>
        <v>126</v>
      </c>
      <c r="N32" s="692">
        <f>-DataBase!N292</f>
        <v>130</v>
      </c>
      <c r="O32" s="693">
        <f t="shared" ref="O32:O37" si="9">SUM(C32:N32)</f>
        <v>1082</v>
      </c>
      <c r="P32" s="694">
        <f t="shared" ref="P32:P37" si="10">SUM(C32:J32)</f>
        <v>574</v>
      </c>
      <c r="Q32" s="693">
        <f t="shared" ref="Q32:Q37" si="11">O32-P32</f>
        <v>508</v>
      </c>
      <c r="R32" s="693"/>
      <c r="S32" s="839">
        <f t="shared" ref="S32:S37" si="12">SUM(C32:E32)</f>
        <v>219</v>
      </c>
      <c r="T32" s="839">
        <f t="shared" ref="T32:T37" si="13">SUM(F32:H32)</f>
        <v>218</v>
      </c>
      <c r="U32" s="839">
        <f t="shared" ref="U32:U37" si="14">SUM(I32:K32)</f>
        <v>263</v>
      </c>
      <c r="V32" s="839">
        <f t="shared" ref="V32:V37" si="15">SUM(L32:N32)</f>
        <v>382</v>
      </c>
      <c r="W32" s="840"/>
      <c r="X32" s="698">
        <f t="shared" ref="X32:X37" si="16">SUM(S32:V32)</f>
        <v>1082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25">
      <c r="A33" s="717" t="s">
        <v>308</v>
      </c>
      <c r="B33" s="868"/>
      <c r="C33" s="692">
        <f>-DataBase!C306</f>
        <v>21</v>
      </c>
      <c r="D33" s="692">
        <f>-DataBase!D306</f>
        <v>29</v>
      </c>
      <c r="E33" s="692">
        <f>-DataBase!E306</f>
        <v>30</v>
      </c>
      <c r="F33" s="692">
        <f>-DataBase!F306</f>
        <v>24</v>
      </c>
      <c r="G33" s="692">
        <f>-DataBase!G306</f>
        <v>22</v>
      </c>
      <c r="H33" s="692">
        <f>-DataBase!H306</f>
        <v>25</v>
      </c>
      <c r="I33" s="692">
        <f>-DataBase!I306</f>
        <v>20</v>
      </c>
      <c r="J33" s="692">
        <f>-DataBase!J306</f>
        <v>23</v>
      </c>
      <c r="K33" s="692">
        <f>-DataBase!K306</f>
        <v>23</v>
      </c>
      <c r="L33" s="692">
        <f>-DataBase!L306</f>
        <v>23</v>
      </c>
      <c r="M33" s="692">
        <f>-DataBase!M306</f>
        <v>23</v>
      </c>
      <c r="N33" s="692">
        <f>-DataBase!N306</f>
        <v>26</v>
      </c>
      <c r="O33" s="693">
        <f t="shared" si="9"/>
        <v>289</v>
      </c>
      <c r="P33" s="694">
        <f t="shared" si="10"/>
        <v>194</v>
      </c>
      <c r="Q33" s="693">
        <f t="shared" si="11"/>
        <v>95</v>
      </c>
      <c r="R33" s="693"/>
      <c r="S33" s="839">
        <f t="shared" si="12"/>
        <v>80</v>
      </c>
      <c r="T33" s="839">
        <f t="shared" si="13"/>
        <v>71</v>
      </c>
      <c r="U33" s="839">
        <f t="shared" si="14"/>
        <v>66</v>
      </c>
      <c r="V33" s="839">
        <f t="shared" si="15"/>
        <v>72</v>
      </c>
      <c r="W33" s="840"/>
      <c r="X33" s="698">
        <f t="shared" si="16"/>
        <v>289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25">
      <c r="A34" s="717" t="s">
        <v>309</v>
      </c>
      <c r="B34" s="868"/>
      <c r="C34" s="692">
        <f>-DataBase!C323</f>
        <v>193</v>
      </c>
      <c r="D34" s="692">
        <f>-DataBase!D323</f>
        <v>155</v>
      </c>
      <c r="E34" s="692">
        <f>-DataBase!E323</f>
        <v>163</v>
      </c>
      <c r="F34" s="692">
        <f>-DataBase!F323</f>
        <v>108</v>
      </c>
      <c r="G34" s="692">
        <f>-DataBase!G323</f>
        <v>127</v>
      </c>
      <c r="H34" s="692">
        <f>-DataBase!H323</f>
        <v>225</v>
      </c>
      <c r="I34" s="692">
        <f>-DataBase!I323</f>
        <v>-150</v>
      </c>
      <c r="J34" s="692">
        <f>-DataBase!J323</f>
        <v>49</v>
      </c>
      <c r="K34" s="692">
        <f>-DataBase!K323</f>
        <v>23</v>
      </c>
      <c r="L34" s="692">
        <f>-DataBase!L323</f>
        <v>25</v>
      </c>
      <c r="M34" s="692">
        <f>-DataBase!M323</f>
        <v>23</v>
      </c>
      <c r="N34" s="692">
        <f>-DataBase!N323</f>
        <v>29</v>
      </c>
      <c r="O34" s="693">
        <f t="shared" si="9"/>
        <v>970</v>
      </c>
      <c r="P34" s="694">
        <f t="shared" si="10"/>
        <v>870</v>
      </c>
      <c r="Q34" s="693">
        <f t="shared" si="11"/>
        <v>100</v>
      </c>
      <c r="R34" s="693"/>
      <c r="S34" s="839">
        <f t="shared" si="12"/>
        <v>511</v>
      </c>
      <c r="T34" s="839">
        <f t="shared" si="13"/>
        <v>460</v>
      </c>
      <c r="U34" s="839">
        <f t="shared" si="14"/>
        <v>-78</v>
      </c>
      <c r="V34" s="839">
        <f t="shared" si="15"/>
        <v>77</v>
      </c>
      <c r="W34" s="840"/>
      <c r="X34" s="698">
        <f t="shared" si="16"/>
        <v>970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25">
      <c r="A35" s="708" t="s">
        <v>920</v>
      </c>
      <c r="B35" s="747"/>
      <c r="C35" s="702">
        <f>0</f>
        <v>0</v>
      </c>
      <c r="D35" s="702">
        <f>0</f>
        <v>0</v>
      </c>
      <c r="E35" s="702">
        <f>0</f>
        <v>0</v>
      </c>
      <c r="F35" s="702">
        <f>0</f>
        <v>0</v>
      </c>
      <c r="G35" s="702">
        <f>0</f>
        <v>0</v>
      </c>
      <c r="H35" s="702">
        <f>0</f>
        <v>0</v>
      </c>
      <c r="I35" s="702">
        <f>0</f>
        <v>0</v>
      </c>
      <c r="J35" s="702">
        <f>0</f>
        <v>0</v>
      </c>
      <c r="K35" s="702">
        <f>0</f>
        <v>0</v>
      </c>
      <c r="L35" s="702">
        <f>0</f>
        <v>0</v>
      </c>
      <c r="M35" s="702">
        <f>0</f>
        <v>0</v>
      </c>
      <c r="N35" s="702">
        <f>0</f>
        <v>0</v>
      </c>
      <c r="O35" s="693">
        <f t="shared" si="9"/>
        <v>0</v>
      </c>
      <c r="P35" s="694">
        <f t="shared" si="10"/>
        <v>0</v>
      </c>
      <c r="Q35" s="693">
        <f t="shared" si="11"/>
        <v>0</v>
      </c>
      <c r="R35" s="17"/>
      <c r="S35" s="839">
        <f t="shared" si="12"/>
        <v>0</v>
      </c>
      <c r="T35" s="839">
        <f t="shared" si="13"/>
        <v>0</v>
      </c>
      <c r="U35" s="839">
        <f t="shared" si="14"/>
        <v>0</v>
      </c>
      <c r="V35" s="839">
        <f t="shared" si="15"/>
        <v>0</v>
      </c>
      <c r="W35" s="840"/>
      <c r="X35" s="698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25">
      <c r="A36" s="708" t="s">
        <v>920</v>
      </c>
      <c r="B36" s="747"/>
      <c r="C36" s="702">
        <f>0</f>
        <v>0</v>
      </c>
      <c r="D36" s="702">
        <f>0</f>
        <v>0</v>
      </c>
      <c r="E36" s="702">
        <f>0</f>
        <v>0</v>
      </c>
      <c r="F36" s="702">
        <f>0</f>
        <v>0</v>
      </c>
      <c r="G36" s="702">
        <f>0</f>
        <v>0</v>
      </c>
      <c r="H36" s="702">
        <f>0</f>
        <v>0</v>
      </c>
      <c r="I36" s="702">
        <f>0</f>
        <v>0</v>
      </c>
      <c r="J36" s="702">
        <f>0</f>
        <v>0</v>
      </c>
      <c r="K36" s="702">
        <f>0</f>
        <v>0</v>
      </c>
      <c r="L36" s="702">
        <f>0</f>
        <v>0</v>
      </c>
      <c r="M36" s="702">
        <f>0</f>
        <v>0</v>
      </c>
      <c r="N36" s="702">
        <f>0</f>
        <v>0</v>
      </c>
      <c r="O36" s="693">
        <f t="shared" si="9"/>
        <v>0</v>
      </c>
      <c r="P36" s="694">
        <f t="shared" si="10"/>
        <v>0</v>
      </c>
      <c r="Q36" s="693">
        <f t="shared" si="11"/>
        <v>0</v>
      </c>
      <c r="R36" s="17"/>
      <c r="S36" s="839">
        <f t="shared" si="12"/>
        <v>0</v>
      </c>
      <c r="T36" s="839">
        <f t="shared" si="13"/>
        <v>0</v>
      </c>
      <c r="U36" s="839">
        <f t="shared" si="14"/>
        <v>0</v>
      </c>
      <c r="V36" s="839">
        <f t="shared" si="15"/>
        <v>0</v>
      </c>
      <c r="W36" s="840"/>
      <c r="X36" s="698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25">
      <c r="A37" s="712" t="s">
        <v>972</v>
      </c>
      <c r="B37" s="735"/>
      <c r="C37" s="707">
        <f>0</f>
        <v>0</v>
      </c>
      <c r="D37" s="707">
        <f>0</f>
        <v>0</v>
      </c>
      <c r="E37" s="707">
        <f>0</f>
        <v>0</v>
      </c>
      <c r="F37" s="707">
        <f>0</f>
        <v>0</v>
      </c>
      <c r="G37" s="707">
        <f>0</f>
        <v>0</v>
      </c>
      <c r="H37" s="707">
        <f>0</f>
        <v>0</v>
      </c>
      <c r="I37" s="707">
        <f>0</f>
        <v>0</v>
      </c>
      <c r="J37" s="707">
        <f>0</f>
        <v>0</v>
      </c>
      <c r="K37" s="707">
        <f>0</f>
        <v>0</v>
      </c>
      <c r="L37" s="707">
        <f>0</f>
        <v>0</v>
      </c>
      <c r="M37" s="707">
        <f>0</f>
        <v>0</v>
      </c>
      <c r="N37" s="707">
        <f>0</f>
        <v>0</v>
      </c>
      <c r="O37" s="695">
        <f t="shared" si="9"/>
        <v>0</v>
      </c>
      <c r="P37" s="696">
        <f t="shared" si="10"/>
        <v>0</v>
      </c>
      <c r="Q37" s="695">
        <f t="shared" si="11"/>
        <v>0</v>
      </c>
      <c r="R37" s="17"/>
      <c r="S37" s="842">
        <f t="shared" si="12"/>
        <v>0</v>
      </c>
      <c r="T37" s="842">
        <f t="shared" si="13"/>
        <v>0</v>
      </c>
      <c r="U37" s="842">
        <f t="shared" si="14"/>
        <v>0</v>
      </c>
      <c r="V37" s="842">
        <f t="shared" si="15"/>
        <v>0</v>
      </c>
      <c r="W37" s="840"/>
      <c r="X37" s="697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5" customHeight="1" x14ac:dyDescent="0.25">
      <c r="A38" s="698"/>
      <c r="B38" s="747"/>
      <c r="C38" s="697"/>
      <c r="D38" s="697"/>
      <c r="E38" s="697"/>
      <c r="F38" s="697"/>
      <c r="G38" s="697"/>
      <c r="H38" s="697"/>
      <c r="I38" s="697"/>
      <c r="J38" s="697"/>
      <c r="K38" s="697"/>
      <c r="L38" s="697"/>
      <c r="M38" s="697"/>
      <c r="N38" s="697"/>
      <c r="O38" s="697"/>
      <c r="P38" s="697"/>
      <c r="Q38" s="698"/>
      <c r="R38" s="17"/>
      <c r="S38" s="839"/>
      <c r="T38" s="839"/>
      <c r="U38" s="839"/>
      <c r="V38" s="839"/>
      <c r="W38" s="840"/>
      <c r="X38" s="840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25">
      <c r="A39" s="715" t="s">
        <v>156</v>
      </c>
      <c r="B39" s="754"/>
      <c r="C39" s="701">
        <f t="shared" ref="C39:Q39" si="17">SUM(C32:C37)</f>
        <v>274</v>
      </c>
      <c r="D39" s="701">
        <f t="shared" si="17"/>
        <v>268</v>
      </c>
      <c r="E39" s="701">
        <f t="shared" si="17"/>
        <v>268</v>
      </c>
      <c r="F39" s="701">
        <f t="shared" si="17"/>
        <v>213</v>
      </c>
      <c r="G39" s="701">
        <f t="shared" si="17"/>
        <v>216</v>
      </c>
      <c r="H39" s="701">
        <f t="shared" si="17"/>
        <v>320</v>
      </c>
      <c r="I39" s="701">
        <f t="shared" si="17"/>
        <v>-68</v>
      </c>
      <c r="J39" s="701">
        <f t="shared" si="17"/>
        <v>147</v>
      </c>
      <c r="K39" s="701">
        <f t="shared" si="17"/>
        <v>172</v>
      </c>
      <c r="L39" s="701">
        <f t="shared" si="17"/>
        <v>174</v>
      </c>
      <c r="M39" s="701">
        <f t="shared" si="17"/>
        <v>172</v>
      </c>
      <c r="N39" s="701">
        <f t="shared" si="17"/>
        <v>185</v>
      </c>
      <c r="O39" s="701">
        <f t="shared" si="17"/>
        <v>2341</v>
      </c>
      <c r="P39" s="701">
        <f t="shared" si="17"/>
        <v>1638</v>
      </c>
      <c r="Q39" s="701">
        <f t="shared" si="17"/>
        <v>703</v>
      </c>
      <c r="R39" s="17"/>
      <c r="S39" s="701">
        <f>SUM(S32:S37)</f>
        <v>810</v>
      </c>
      <c r="T39" s="701">
        <f>SUM(T32:T37)</f>
        <v>749</v>
      </c>
      <c r="U39" s="701">
        <f>SUM(U32:U37)</f>
        <v>251</v>
      </c>
      <c r="V39" s="701">
        <f>SUM(V32:V37)</f>
        <v>531</v>
      </c>
      <c r="W39" s="840"/>
      <c r="X39" s="701">
        <f>SUM(X32:X37)</f>
        <v>2341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25">
      <c r="A40" s="713"/>
      <c r="B40" s="747"/>
      <c r="C40" s="693"/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17"/>
      <c r="S40" s="698"/>
      <c r="T40" s="698"/>
      <c r="U40" s="698"/>
      <c r="V40" s="698"/>
      <c r="W40" s="840"/>
      <c r="X40" s="84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25">
      <c r="A41" s="715" t="s">
        <v>154</v>
      </c>
      <c r="B41" s="747"/>
      <c r="C41" s="693"/>
      <c r="D41" s="693"/>
      <c r="E41" s="693"/>
      <c r="F41" s="693"/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17"/>
      <c r="S41" s="698"/>
      <c r="T41" s="698"/>
      <c r="U41" s="698"/>
      <c r="V41" s="698"/>
      <c r="W41" s="841"/>
      <c r="X41" s="841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25">
      <c r="A42" s="717" t="s">
        <v>155</v>
      </c>
      <c r="B42" s="747"/>
      <c r="C42" s="856">
        <f>-DataBase!C206-SUM(C43:C44)</f>
        <v>503</v>
      </c>
      <c r="D42" s="856">
        <f>-DataBase!D206-SUM(D43:D44)</f>
        <v>506</v>
      </c>
      <c r="E42" s="856">
        <f>-DataBase!E206-SUM(E43:E44)</f>
        <v>286</v>
      </c>
      <c r="F42" s="856">
        <f>-DataBase!F206-SUM(F43:F44)</f>
        <v>428</v>
      </c>
      <c r="G42" s="856">
        <f>-DataBase!G206-SUM(G43:G44)</f>
        <v>428</v>
      </c>
      <c r="H42" s="856">
        <f>-DataBase!H206-SUM(H43:H44)</f>
        <v>428</v>
      </c>
      <c r="I42" s="856">
        <f>-DataBase!I206-SUM(I43:I44)</f>
        <v>400</v>
      </c>
      <c r="J42" s="856">
        <f>-DataBase!J206-SUM(J43:J44)</f>
        <v>400</v>
      </c>
      <c r="K42" s="856">
        <f>-DataBase!K206-SUM(K43:K44)</f>
        <v>319</v>
      </c>
      <c r="L42" s="856">
        <f>-DataBase!L206-SUM(L43:L44)</f>
        <v>319</v>
      </c>
      <c r="M42" s="856">
        <f>-DataBase!M206-SUM(M43:M44)</f>
        <v>319</v>
      </c>
      <c r="N42" s="856">
        <f>-DataBase!N206-SUM(N43:N44)</f>
        <v>319</v>
      </c>
      <c r="O42" s="693">
        <f>SUM(C42:N42)</f>
        <v>4655</v>
      </c>
      <c r="P42" s="694">
        <f>SUM(C42:J42)</f>
        <v>3379</v>
      </c>
      <c r="Q42" s="693">
        <f>O42-P42</f>
        <v>1276</v>
      </c>
      <c r="R42" s="17"/>
      <c r="S42" s="839">
        <f>SUM(C42:E42)</f>
        <v>1295</v>
      </c>
      <c r="T42" s="839">
        <f>SUM(F42:H42)</f>
        <v>1284</v>
      </c>
      <c r="U42" s="839">
        <f>SUM(I42:K42)</f>
        <v>1119</v>
      </c>
      <c r="V42" s="839">
        <f>SUM(L42:N42)</f>
        <v>957</v>
      </c>
      <c r="W42" s="840"/>
      <c r="X42" s="698">
        <f>SUM(S42:V42)</f>
        <v>4655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25">
      <c r="A43" s="717" t="s">
        <v>855</v>
      </c>
      <c r="B43" s="747"/>
      <c r="C43" s="702">
        <f>0</f>
        <v>0</v>
      </c>
      <c r="D43" s="702">
        <f>0</f>
        <v>0</v>
      </c>
      <c r="E43" s="702">
        <f>0</f>
        <v>0</v>
      </c>
      <c r="F43" s="702">
        <f>0</f>
        <v>0</v>
      </c>
      <c r="G43" s="702">
        <f>0</f>
        <v>0</v>
      </c>
      <c r="H43" s="702">
        <f>0</f>
        <v>0</v>
      </c>
      <c r="I43" s="702">
        <f>0</f>
        <v>0</v>
      </c>
      <c r="J43" s="702">
        <f>0</f>
        <v>0</v>
      </c>
      <c r="K43" s="702">
        <f>0</f>
        <v>0</v>
      </c>
      <c r="L43" s="702">
        <f>0</f>
        <v>0</v>
      </c>
      <c r="M43" s="702">
        <f>0</f>
        <v>0</v>
      </c>
      <c r="N43" s="702">
        <f>0</f>
        <v>0</v>
      </c>
      <c r="O43" s="693">
        <f>SUM(C43:N43)</f>
        <v>0</v>
      </c>
      <c r="P43" s="694">
        <f>SUM(C43:J43)</f>
        <v>0</v>
      </c>
      <c r="Q43" s="693">
        <f>O43-P43</f>
        <v>0</v>
      </c>
      <c r="R43" s="17"/>
      <c r="S43" s="839">
        <f>SUM(C43:E43)</f>
        <v>0</v>
      </c>
      <c r="T43" s="839">
        <f>SUM(F43:H43)</f>
        <v>0</v>
      </c>
      <c r="U43" s="839">
        <f>SUM(I43:K43)</f>
        <v>0</v>
      </c>
      <c r="V43" s="839">
        <f>SUM(L43:N43)</f>
        <v>0</v>
      </c>
      <c r="W43" s="840"/>
      <c r="X43" s="698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25">
      <c r="A44" s="709" t="s">
        <v>971</v>
      </c>
      <c r="B44" s="747"/>
      <c r="C44" s="707">
        <f>0</f>
        <v>0</v>
      </c>
      <c r="D44" s="707">
        <f>0</f>
        <v>0</v>
      </c>
      <c r="E44" s="707">
        <f>0</f>
        <v>0</v>
      </c>
      <c r="F44" s="707">
        <f>0</f>
        <v>0</v>
      </c>
      <c r="G44" s="707">
        <f>0</f>
        <v>0</v>
      </c>
      <c r="H44" s="707">
        <f>0</f>
        <v>0</v>
      </c>
      <c r="I44" s="707">
        <f>0</f>
        <v>0</v>
      </c>
      <c r="J44" s="707">
        <f>0</f>
        <v>0</v>
      </c>
      <c r="K44" s="707">
        <f>0</f>
        <v>0</v>
      </c>
      <c r="L44" s="707">
        <f>0</f>
        <v>0</v>
      </c>
      <c r="M44" s="707">
        <f>0</f>
        <v>0</v>
      </c>
      <c r="N44" s="707">
        <f>0</f>
        <v>0</v>
      </c>
      <c r="O44" s="695">
        <f>SUM(C44:N44)</f>
        <v>0</v>
      </c>
      <c r="P44" s="696">
        <f>SUM(C44:J44)</f>
        <v>0</v>
      </c>
      <c r="Q44" s="695">
        <f>O44-P44</f>
        <v>0</v>
      </c>
      <c r="R44" s="17"/>
      <c r="S44" s="842">
        <f>SUM(C44:E44)</f>
        <v>0</v>
      </c>
      <c r="T44" s="842">
        <f>SUM(F44:H44)</f>
        <v>0</v>
      </c>
      <c r="U44" s="842">
        <f>SUM(I44:K44)</f>
        <v>0</v>
      </c>
      <c r="V44" s="842">
        <f>SUM(L44:N44)</f>
        <v>0</v>
      </c>
      <c r="W44" s="840"/>
      <c r="X44" s="697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5" customHeight="1" x14ac:dyDescent="0.25">
      <c r="A45" s="698"/>
      <c r="B45" s="747"/>
      <c r="C45" s="698"/>
      <c r="D45" s="698"/>
      <c r="E45" s="698"/>
      <c r="F45" s="698"/>
      <c r="G45" s="698"/>
      <c r="H45" s="698"/>
      <c r="I45" s="698"/>
      <c r="J45" s="698"/>
      <c r="K45" s="698"/>
      <c r="L45" s="698"/>
      <c r="M45" s="698"/>
      <c r="N45" s="698"/>
      <c r="O45" s="698"/>
      <c r="P45" s="698"/>
      <c r="Q45" s="698"/>
      <c r="R45" s="17"/>
      <c r="S45" s="839"/>
      <c r="T45" s="839"/>
      <c r="U45" s="839"/>
      <c r="V45" s="839"/>
      <c r="W45" s="840"/>
      <c r="X45" s="84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25">
      <c r="A46" s="715" t="s">
        <v>157</v>
      </c>
      <c r="B46" s="754"/>
      <c r="C46" s="695">
        <f t="shared" ref="C46:N46" si="18">SUM(C42:C44)</f>
        <v>503</v>
      </c>
      <c r="D46" s="695">
        <f t="shared" si="18"/>
        <v>506</v>
      </c>
      <c r="E46" s="695">
        <f t="shared" si="18"/>
        <v>286</v>
      </c>
      <c r="F46" s="695">
        <f t="shared" si="18"/>
        <v>428</v>
      </c>
      <c r="G46" s="695">
        <f t="shared" si="18"/>
        <v>428</v>
      </c>
      <c r="H46" s="695">
        <f t="shared" si="18"/>
        <v>428</v>
      </c>
      <c r="I46" s="695">
        <f t="shared" si="18"/>
        <v>400</v>
      </c>
      <c r="J46" s="695">
        <f t="shared" si="18"/>
        <v>400</v>
      </c>
      <c r="K46" s="695">
        <f t="shared" si="18"/>
        <v>319</v>
      </c>
      <c r="L46" s="695">
        <f t="shared" si="18"/>
        <v>319</v>
      </c>
      <c r="M46" s="695">
        <f t="shared" si="18"/>
        <v>319</v>
      </c>
      <c r="N46" s="695">
        <f t="shared" si="18"/>
        <v>319</v>
      </c>
      <c r="O46" s="695">
        <f>SUM(O41:O44)</f>
        <v>4655</v>
      </c>
      <c r="P46" s="695">
        <f>SUM(P41:P44)</f>
        <v>3379</v>
      </c>
      <c r="Q46" s="695">
        <f>SUM(Q41:Q44)</f>
        <v>1276</v>
      </c>
      <c r="R46" s="17"/>
      <c r="S46" s="695">
        <f>SUM(S42:S44)</f>
        <v>1295</v>
      </c>
      <c r="T46" s="695">
        <f>SUM(T42:T44)</f>
        <v>1284</v>
      </c>
      <c r="U46" s="695">
        <f>SUM(U42:U44)</f>
        <v>1119</v>
      </c>
      <c r="V46" s="695">
        <f>SUM(V42:V44)</f>
        <v>957</v>
      </c>
      <c r="W46" s="840"/>
      <c r="X46" s="695">
        <f>SUM(X42:X44)</f>
        <v>4655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25">
      <c r="A47" s="714"/>
      <c r="B47" s="752"/>
      <c r="C47" s="703"/>
      <c r="D47" s="703"/>
      <c r="E47" s="703"/>
      <c r="F47" s="703"/>
      <c r="G47" s="703"/>
      <c r="H47" s="703"/>
      <c r="I47" s="703"/>
      <c r="J47" s="703"/>
      <c r="K47" s="703"/>
      <c r="L47" s="703"/>
      <c r="M47" s="703"/>
      <c r="N47" s="703"/>
      <c r="O47" s="703"/>
      <c r="P47" s="703"/>
      <c r="Q47" s="693"/>
      <c r="R47" s="17"/>
      <c r="S47" s="839"/>
      <c r="T47" s="839"/>
      <c r="U47" s="839"/>
      <c r="V47" s="839"/>
      <c r="W47" s="840"/>
      <c r="X47" s="841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25">
      <c r="A48" s="715" t="s">
        <v>158</v>
      </c>
      <c r="B48" s="752"/>
      <c r="C48" s="699">
        <f t="shared" ref="C48:N48" si="19">ROUND(C46+C39,0)</f>
        <v>777</v>
      </c>
      <c r="D48" s="699">
        <f t="shared" si="19"/>
        <v>774</v>
      </c>
      <c r="E48" s="699">
        <f t="shared" si="19"/>
        <v>554</v>
      </c>
      <c r="F48" s="699">
        <f t="shared" si="19"/>
        <v>641</v>
      </c>
      <c r="G48" s="699">
        <f t="shared" si="19"/>
        <v>644</v>
      </c>
      <c r="H48" s="699">
        <f t="shared" si="19"/>
        <v>748</v>
      </c>
      <c r="I48" s="699">
        <f t="shared" si="19"/>
        <v>332</v>
      </c>
      <c r="J48" s="699">
        <f t="shared" si="19"/>
        <v>547</v>
      </c>
      <c r="K48" s="699">
        <f t="shared" si="19"/>
        <v>491</v>
      </c>
      <c r="L48" s="699">
        <f t="shared" si="19"/>
        <v>493</v>
      </c>
      <c r="M48" s="699">
        <f t="shared" si="19"/>
        <v>491</v>
      </c>
      <c r="N48" s="699">
        <f t="shared" si="19"/>
        <v>504</v>
      </c>
      <c r="O48" s="699">
        <f>O46+O39</f>
        <v>6996</v>
      </c>
      <c r="P48" s="699">
        <f>P46+P39</f>
        <v>5017</v>
      </c>
      <c r="Q48" s="699">
        <f>Q46+Q39</f>
        <v>1979</v>
      </c>
      <c r="R48" s="17"/>
      <c r="S48" s="843">
        <f>S39+S46</f>
        <v>2105</v>
      </c>
      <c r="T48" s="843">
        <f>T39+T46</f>
        <v>2033</v>
      </c>
      <c r="U48" s="843">
        <f>U39+U46</f>
        <v>1370</v>
      </c>
      <c r="V48" s="843">
        <f>V39+V46</f>
        <v>1488</v>
      </c>
      <c r="W48" s="840"/>
      <c r="X48" s="843">
        <f>X39+X46</f>
        <v>6996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25">
      <c r="A49" s="711"/>
      <c r="B49" s="747"/>
      <c r="C49" s="695"/>
      <c r="D49" s="695"/>
      <c r="E49" s="695"/>
      <c r="F49" s="695"/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17"/>
      <c r="S49" s="839"/>
      <c r="T49" s="839"/>
      <c r="U49" s="839"/>
      <c r="V49" s="839"/>
      <c r="W49" s="840"/>
      <c r="X49" s="840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25">
      <c r="A50" s="715" t="s">
        <v>298</v>
      </c>
      <c r="B50" s="752"/>
      <c r="C50" s="704">
        <f t="shared" ref="C50:N50" si="20">C29+C48</f>
        <v>3425</v>
      </c>
      <c r="D50" s="704">
        <f t="shared" si="20"/>
        <v>3730</v>
      </c>
      <c r="E50" s="704">
        <f t="shared" si="20"/>
        <v>5310</v>
      </c>
      <c r="F50" s="704">
        <f t="shared" si="20"/>
        <v>3154</v>
      </c>
      <c r="G50" s="704">
        <f t="shared" si="20"/>
        <v>4079</v>
      </c>
      <c r="H50" s="704">
        <f t="shared" si="20"/>
        <v>4208</v>
      </c>
      <c r="I50" s="704">
        <f t="shared" si="20"/>
        <v>3219</v>
      </c>
      <c r="J50" s="704">
        <f t="shared" si="20"/>
        <v>3925</v>
      </c>
      <c r="K50" s="704">
        <f t="shared" si="20"/>
        <v>2696</v>
      </c>
      <c r="L50" s="704">
        <f t="shared" si="20"/>
        <v>3359</v>
      </c>
      <c r="M50" s="704">
        <f t="shared" si="20"/>
        <v>3255</v>
      </c>
      <c r="N50" s="704">
        <f t="shared" si="20"/>
        <v>2950</v>
      </c>
      <c r="O50" s="705">
        <f>SUM(C50:N50)</f>
        <v>43310</v>
      </c>
      <c r="P50" s="705">
        <f>P48+P29</f>
        <v>31049.873</v>
      </c>
      <c r="Q50" s="705">
        <f>Q48+Q29</f>
        <v>12260</v>
      </c>
      <c r="R50" s="17"/>
      <c r="S50" s="844">
        <f>S29+S48</f>
        <v>12464.873</v>
      </c>
      <c r="T50" s="844">
        <f>T29+T48</f>
        <v>11441</v>
      </c>
      <c r="U50" s="844">
        <f>U29+U48</f>
        <v>9840</v>
      </c>
      <c r="V50" s="844">
        <f>V29+V48</f>
        <v>9564</v>
      </c>
      <c r="W50" s="840"/>
      <c r="X50" s="844">
        <f>X29+X48</f>
        <v>43309.873</v>
      </c>
      <c r="Y50" s="693">
        <f>X50-O50</f>
        <v>-0.12700000000040745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25">
      <c r="A51" s="706"/>
      <c r="B51" s="755"/>
      <c r="C51" s="706"/>
      <c r="D51" s="706"/>
      <c r="E51" s="706"/>
      <c r="F51" s="706"/>
      <c r="G51" s="706"/>
      <c r="H51" s="706"/>
      <c r="I51" s="706"/>
      <c r="J51" s="706"/>
      <c r="K51" s="706"/>
      <c r="L51" s="706"/>
      <c r="M51" s="706"/>
      <c r="N51" s="706"/>
      <c r="O51" s="706"/>
      <c r="P51" s="706"/>
      <c r="Q51" s="698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25">
      <c r="A52" s="715" t="s">
        <v>299</v>
      </c>
      <c r="B52" s="756"/>
      <c r="C52" s="858">
        <v>3815</v>
      </c>
      <c r="D52" s="858">
        <v>3828</v>
      </c>
      <c r="E52" s="858">
        <v>3254</v>
      </c>
      <c r="F52" s="858">
        <v>3780</v>
      </c>
      <c r="G52" s="858">
        <v>3899</v>
      </c>
      <c r="H52" s="858">
        <v>3534</v>
      </c>
      <c r="I52" s="858">
        <v>3997</v>
      </c>
      <c r="J52" s="858">
        <v>3990</v>
      </c>
      <c r="K52" s="858">
        <v>3764</v>
      </c>
      <c r="L52" s="858">
        <v>3850</v>
      </c>
      <c r="M52" s="858">
        <v>3869</v>
      </c>
      <c r="N52" s="858">
        <v>3021</v>
      </c>
      <c r="O52" s="695">
        <f>SUM(C52:N52)</f>
        <v>44601</v>
      </c>
      <c r="P52" s="696">
        <f>SUM(C52:J52)</f>
        <v>30097</v>
      </c>
      <c r="Q52" s="695">
        <f>O52-P52</f>
        <v>14504</v>
      </c>
      <c r="R52" s="17"/>
      <c r="S52" s="842">
        <f>SUM(C52:E52)</f>
        <v>10897</v>
      </c>
      <c r="T52" s="842">
        <f>SUM(F52:H52)</f>
        <v>11213</v>
      </c>
      <c r="U52" s="842">
        <f>SUM(I52:K52)</f>
        <v>11751</v>
      </c>
      <c r="V52" s="842">
        <f>SUM(L52:N52)</f>
        <v>10740</v>
      </c>
      <c r="W52" s="840"/>
      <c r="X52" s="697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25">
      <c r="A53" s="17"/>
      <c r="B53" s="75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25">
      <c r="A54" s="857" t="s">
        <v>300</v>
      </c>
      <c r="B54" s="756"/>
      <c r="C54" s="697">
        <f>C50-C52</f>
        <v>-390</v>
      </c>
      <c r="D54" s="697">
        <f t="shared" ref="D54:X54" si="21">D50-D52</f>
        <v>-98</v>
      </c>
      <c r="E54" s="697">
        <f t="shared" si="21"/>
        <v>2056</v>
      </c>
      <c r="F54" s="697">
        <f t="shared" si="21"/>
        <v>-626</v>
      </c>
      <c r="G54" s="697">
        <f t="shared" si="21"/>
        <v>180</v>
      </c>
      <c r="H54" s="697">
        <f t="shared" si="21"/>
        <v>674</v>
      </c>
      <c r="I54" s="697">
        <f t="shared" si="21"/>
        <v>-778</v>
      </c>
      <c r="J54" s="697">
        <f t="shared" si="21"/>
        <v>-65</v>
      </c>
      <c r="K54" s="697">
        <f t="shared" si="21"/>
        <v>-1068</v>
      </c>
      <c r="L54" s="697">
        <f t="shared" si="21"/>
        <v>-491</v>
      </c>
      <c r="M54" s="697">
        <f t="shared" si="21"/>
        <v>-614</v>
      </c>
      <c r="N54" s="697">
        <f t="shared" si="21"/>
        <v>-71</v>
      </c>
      <c r="O54" s="697">
        <f t="shared" si="21"/>
        <v>-1291</v>
      </c>
      <c r="P54" s="697">
        <f t="shared" si="21"/>
        <v>952.87299999999959</v>
      </c>
      <c r="Q54" s="697">
        <f t="shared" si="21"/>
        <v>-2244</v>
      </c>
      <c r="R54" s="17"/>
      <c r="S54" s="697">
        <f t="shared" si="21"/>
        <v>1567.8729999999996</v>
      </c>
      <c r="T54" s="697">
        <f t="shared" si="21"/>
        <v>228</v>
      </c>
      <c r="U54" s="697">
        <f t="shared" si="21"/>
        <v>-1911</v>
      </c>
      <c r="V54" s="697">
        <f t="shared" si="21"/>
        <v>-1176</v>
      </c>
      <c r="W54" s="17"/>
      <c r="X54" s="697">
        <f t="shared" si="21"/>
        <v>-1291.1270000000004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75" x14ac:dyDescent="0.25">
      <c r="A55" s="17"/>
      <c r="B55" s="75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5" customHeight="1" x14ac:dyDescent="0.25">
      <c r="A56" s="17"/>
      <c r="B56" s="75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75" x14ac:dyDescent="0.25">
      <c r="A57" s="17"/>
      <c r="B57" s="75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75" x14ac:dyDescent="0.25">
      <c r="A58" s="17"/>
      <c r="B58" s="756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>
        <v>3219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75" x14ac:dyDescent="0.25">
      <c r="A59" s="17"/>
      <c r="B59" s="75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75" x14ac:dyDescent="0.25">
      <c r="A60" s="17"/>
      <c r="B60" s="75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75" x14ac:dyDescent="0.25">
      <c r="A61" s="17"/>
      <c r="B61" s="75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75" x14ac:dyDescent="0.25">
      <c r="A62" s="17"/>
      <c r="B62" s="75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75" x14ac:dyDescent="0.25">
      <c r="A63" s="17"/>
      <c r="B63" s="75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75" x14ac:dyDescent="0.25">
      <c r="A64" s="17"/>
      <c r="B64" s="75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75" x14ac:dyDescent="0.25">
      <c r="A65" s="17"/>
      <c r="B65" s="75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75" x14ac:dyDescent="0.25">
      <c r="A66" s="17"/>
      <c r="B66" s="75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75" x14ac:dyDescent="0.25">
      <c r="A67" s="17"/>
      <c r="B67" s="75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75" x14ac:dyDescent="0.25">
      <c r="A68" s="17"/>
      <c r="B68" s="75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75" x14ac:dyDescent="0.25">
      <c r="A69" s="17"/>
      <c r="B69" s="75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75" x14ac:dyDescent="0.25">
      <c r="A70" s="17"/>
      <c r="B70" s="75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75" x14ac:dyDescent="0.25">
      <c r="A71" s="17"/>
      <c r="B71" s="75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75" x14ac:dyDescent="0.25">
      <c r="A72" s="17"/>
      <c r="B72" s="75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75" x14ac:dyDescent="0.25">
      <c r="A73" s="17"/>
      <c r="B73" s="75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75" x14ac:dyDescent="0.25">
      <c r="A74" s="17"/>
      <c r="B74" s="75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75" x14ac:dyDescent="0.25">
      <c r="A75" s="17"/>
      <c r="B75" s="75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75" x14ac:dyDescent="0.25">
      <c r="A76" s="17"/>
      <c r="B76" s="75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75" x14ac:dyDescent="0.25">
      <c r="A77" s="17"/>
      <c r="B77" s="75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75" x14ac:dyDescent="0.25">
      <c r="A78" s="17"/>
      <c r="B78" s="75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75" x14ac:dyDescent="0.25">
      <c r="A79" s="17"/>
      <c r="B79" s="75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75" x14ac:dyDescent="0.25">
      <c r="A80" s="17"/>
      <c r="B80" s="75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75" x14ac:dyDescent="0.25">
      <c r="A81" s="17"/>
      <c r="B81" s="75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75" x14ac:dyDescent="0.25">
      <c r="A82" s="17"/>
      <c r="B82" s="75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75" x14ac:dyDescent="0.25">
      <c r="A83" s="17"/>
      <c r="B83" s="75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75" x14ac:dyDescent="0.25">
      <c r="A84" s="17"/>
      <c r="B84" s="75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75" x14ac:dyDescent="0.25">
      <c r="A85" s="17"/>
      <c r="B85" s="75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75" x14ac:dyDescent="0.25">
      <c r="A86" s="17"/>
      <c r="B86" s="75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75" x14ac:dyDescent="0.25">
      <c r="A87" s="17"/>
      <c r="B87" s="75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75" x14ac:dyDescent="0.25">
      <c r="A88" s="17"/>
      <c r="B88" s="75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75" x14ac:dyDescent="0.25">
      <c r="A89" s="17"/>
      <c r="B89" s="75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75" x14ac:dyDescent="0.25">
      <c r="A90" s="17"/>
      <c r="B90" s="75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75" x14ac:dyDescent="0.25">
      <c r="A91" s="17"/>
      <c r="B91" s="75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75" x14ac:dyDescent="0.25">
      <c r="A92" s="17"/>
      <c r="B92" s="75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75" x14ac:dyDescent="0.25">
      <c r="A93" s="17"/>
      <c r="B93" s="75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75" x14ac:dyDescent="0.25">
      <c r="A94" s="17"/>
      <c r="B94" s="75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75" x14ac:dyDescent="0.25">
      <c r="A95" s="17"/>
      <c r="B95" s="75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75" x14ac:dyDescent="0.25">
      <c r="A96" s="17"/>
      <c r="B96" s="75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75" x14ac:dyDescent="0.25">
      <c r="A97" s="17"/>
      <c r="B97" s="75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75" x14ac:dyDescent="0.25">
      <c r="A98" s="17"/>
      <c r="B98" s="75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75" x14ac:dyDescent="0.25">
      <c r="A99" s="17"/>
      <c r="B99" s="75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75" x14ac:dyDescent="0.25">
      <c r="A100" s="17"/>
      <c r="B100" s="75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75" x14ac:dyDescent="0.25">
      <c r="A101" s="17"/>
      <c r="B101" s="75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75" x14ac:dyDescent="0.25">
      <c r="A102" s="17"/>
      <c r="B102" s="75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75" x14ac:dyDescent="0.25">
      <c r="A103" s="17"/>
      <c r="B103" s="75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75" x14ac:dyDescent="0.25">
      <c r="A104" s="17"/>
      <c r="B104" s="75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75" x14ac:dyDescent="0.25">
      <c r="A105" s="17"/>
      <c r="B105" s="75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75" x14ac:dyDescent="0.25">
      <c r="A106" s="17"/>
      <c r="B106" s="75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75" x14ac:dyDescent="0.25">
      <c r="A107" s="17"/>
      <c r="B107" s="75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75" x14ac:dyDescent="0.25">
      <c r="A108" s="17"/>
      <c r="B108" s="75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75" x14ac:dyDescent="0.25">
      <c r="A109" s="17"/>
      <c r="B109" s="75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75" x14ac:dyDescent="0.25">
      <c r="A110" s="17"/>
      <c r="B110" s="7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75" x14ac:dyDescent="0.25">
      <c r="A111" s="17"/>
      <c r="B111" s="7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75" x14ac:dyDescent="0.25">
      <c r="A112" s="17"/>
      <c r="B112" s="7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75" x14ac:dyDescent="0.25">
      <c r="A113" s="17"/>
      <c r="B113" s="7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75" x14ac:dyDescent="0.25">
      <c r="A114" s="17"/>
      <c r="B114" s="7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75" x14ac:dyDescent="0.25">
      <c r="A115" s="17"/>
      <c r="B115" s="7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75" x14ac:dyDescent="0.25">
      <c r="A116" s="17"/>
      <c r="B116" s="7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75" x14ac:dyDescent="0.25">
      <c r="A117" s="17"/>
      <c r="B117" s="7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75" x14ac:dyDescent="0.25">
      <c r="A118" s="17"/>
      <c r="B118" s="7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75" x14ac:dyDescent="0.25">
      <c r="A119" s="17"/>
      <c r="B119" s="7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75" x14ac:dyDescent="0.25">
      <c r="A120" s="17"/>
      <c r="B120" s="7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7109375" defaultRowHeight="12.75" x14ac:dyDescent="0.2"/>
  <cols>
    <col min="1" max="1" width="45.7109375" style="58" customWidth="1"/>
    <col min="2" max="2" width="8.7109375" style="95" customWidth="1"/>
    <col min="3" max="15" width="8.7109375" style="58" customWidth="1"/>
    <col min="16" max="16" width="9.7109375" style="58" customWidth="1"/>
    <col min="17" max="18" width="8.7109375" style="58" customWidth="1"/>
    <col min="19" max="21" width="9.7109375" style="58" customWidth="1"/>
    <col min="22" max="22" width="35.7109375" style="58" customWidth="1"/>
    <col min="23" max="36" width="10.7109375" style="58"/>
    <col min="37" max="38" width="8.7109375" style="58" customWidth="1"/>
    <col min="39" max="42" width="9.7109375" style="58" customWidth="1"/>
    <col min="43" max="43" width="35.7109375" style="58" customWidth="1"/>
    <col min="44" max="57" width="10.7109375" style="58"/>
    <col min="58" max="59" width="8.7109375" style="58" customWidth="1"/>
    <col min="60" max="67" width="9.7109375" style="58" customWidth="1"/>
    <col min="68" max="16384" width="10.7109375" style="58"/>
  </cols>
  <sheetData>
    <row r="1" spans="1:17" x14ac:dyDescent="0.2">
      <c r="A1" s="551" t="str">
        <f ca="1">CELL("FILENAME")</f>
        <v>P:\Finance\2001CE\[TW3rdCEEM.XLS]DataBase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">
      <c r="A2" s="327" t="s">
        <v>904</v>
      </c>
    </row>
    <row r="3" spans="1:17" x14ac:dyDescent="0.2">
      <c r="A3" s="554" t="str">
        <f>IncomeState!A3</f>
        <v>2001 CURRENT ESTIMATE</v>
      </c>
      <c r="B3" s="758">
        <f ca="1">NOW()</f>
        <v>37154.402540162038</v>
      </c>
      <c r="C3" s="323" t="s">
        <v>973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5" customHeight="1" x14ac:dyDescent="0.2">
      <c r="A4" s="62"/>
      <c r="B4" s="759">
        <f ca="1">NOW()</f>
        <v>37154.402540162038</v>
      </c>
      <c r="C4" s="328" t="s">
        <v>974</v>
      </c>
      <c r="D4" s="329" t="s">
        <v>906</v>
      </c>
      <c r="E4" s="329" t="s">
        <v>907</v>
      </c>
      <c r="F4" s="329" t="s">
        <v>908</v>
      </c>
      <c r="G4" s="329" t="s">
        <v>909</v>
      </c>
      <c r="H4" s="329" t="s">
        <v>910</v>
      </c>
      <c r="I4" s="329" t="s">
        <v>911</v>
      </c>
      <c r="J4" s="329" t="s">
        <v>912</v>
      </c>
      <c r="K4" s="329" t="s">
        <v>913</v>
      </c>
      <c r="L4" s="329" t="s">
        <v>914</v>
      </c>
      <c r="M4" s="329" t="s">
        <v>915</v>
      </c>
      <c r="N4" s="329" t="s">
        <v>916</v>
      </c>
      <c r="O4" s="329" t="s">
        <v>917</v>
      </c>
      <c r="P4" s="330">
        <v>2001</v>
      </c>
    </row>
    <row r="5" spans="1:17" ht="3.95" customHeight="1" x14ac:dyDescent="0.2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">
      <c r="A6" s="337" t="s">
        <v>975</v>
      </c>
      <c r="B6" s="760"/>
    </row>
    <row r="7" spans="1:17" x14ac:dyDescent="0.2">
      <c r="A7" s="68" t="s">
        <v>976</v>
      </c>
      <c r="B7" s="760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">
      <c r="A8" s="338" t="s">
        <v>977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">
      <c r="A9" s="338" t="s">
        <v>978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5" customHeight="1" x14ac:dyDescent="0.2">
      <c r="A10" s="332"/>
    </row>
    <row r="11" spans="1:17" x14ac:dyDescent="0.2">
      <c r="A11" s="68" t="s">
        <v>942</v>
      </c>
      <c r="B11" s="760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5" customHeight="1" x14ac:dyDescent="0.2">
      <c r="A12" s="332"/>
    </row>
    <row r="13" spans="1:17" x14ac:dyDescent="0.2">
      <c r="A13" s="338" t="s">
        <v>979</v>
      </c>
      <c r="B13" s="760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5" customHeight="1" x14ac:dyDescent="0.2">
      <c r="A14" s="332"/>
    </row>
    <row r="15" spans="1:17" x14ac:dyDescent="0.2">
      <c r="A15" s="337" t="s">
        <v>980</v>
      </c>
      <c r="B15" s="761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">
      <c r="A16" s="332"/>
    </row>
    <row r="17" spans="1:17" x14ac:dyDescent="0.2">
      <c r="A17" s="337" t="s">
        <v>984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">
      <c r="A18" s="67"/>
      <c r="B18" s="760"/>
    </row>
    <row r="19" spans="1:17" x14ac:dyDescent="0.2">
      <c r="A19" s="68" t="s">
        <v>985</v>
      </c>
      <c r="B19" s="760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">
      <c r="A20" s="78" t="s">
        <v>920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">
      <c r="A21" s="78" t="s">
        <v>920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">
      <c r="A22" s="68" t="s">
        <v>951</v>
      </c>
      <c r="B22" s="760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5" customHeight="1" x14ac:dyDescent="0.2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">
      <c r="A24" s="333" t="s">
        <v>952</v>
      </c>
      <c r="B24" s="761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">
      <c r="A25" s="334"/>
      <c r="B25" s="761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">
      <c r="A26" s="339" t="s">
        <v>986</v>
      </c>
      <c r="B26" s="761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">
      <c r="A27" s="332"/>
    </row>
    <row r="28" spans="1:17" x14ac:dyDescent="0.2">
      <c r="A28" s="335"/>
      <c r="B28" s="76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">
      <c r="A30" s="340" t="s">
        <v>987</v>
      </c>
      <c r="B30" s="760"/>
      <c r="C30" s="683" t="s">
        <v>842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5" customHeight="1" x14ac:dyDescent="0.2">
      <c r="A31" s="67"/>
      <c r="B31" s="76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">
      <c r="A32" s="331" t="s">
        <v>955</v>
      </c>
      <c r="B32" s="760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">
      <c r="A33" s="332"/>
    </row>
    <row r="34" spans="1:16" x14ac:dyDescent="0.2">
      <c r="A34" s="98" t="s">
        <v>988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">
      <c r="A35" s="80"/>
      <c r="B35" s="76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">
      <c r="A36" s="98" t="s">
        <v>989</v>
      </c>
      <c r="B36" s="760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">
      <c r="A37" s="67"/>
      <c r="B37" s="76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">
      <c r="A38" s="68" t="s">
        <v>990</v>
      </c>
      <c r="B38" s="760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">
      <c r="A39" s="67"/>
      <c r="B39" s="76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">
      <c r="A40" s="68" t="s">
        <v>991</v>
      </c>
      <c r="B40" s="760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5" customHeight="1" x14ac:dyDescent="0.2">
      <c r="A41" s="67"/>
      <c r="B41" s="76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">
      <c r="A42" s="331" t="s">
        <v>960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">
      <c r="A43" s="67"/>
      <c r="B43" s="76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">
      <c r="A45" s="338" t="s">
        <v>992</v>
      </c>
      <c r="B45" s="760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">
      <c r="A46" s="68" t="s">
        <v>962</v>
      </c>
      <c r="B46" s="760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">
      <c r="A47" s="67"/>
      <c r="B47" s="760"/>
    </row>
    <row r="48" spans="1:16" x14ac:dyDescent="0.2">
      <c r="A48" s="66" t="s">
        <v>963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">
      <c r="A49" s="67"/>
      <c r="B49" s="760"/>
    </row>
    <row r="50" spans="1:59" x14ac:dyDescent="0.2">
      <c r="A50" s="66" t="s">
        <v>964</v>
      </c>
      <c r="B50" s="760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">
      <c r="B52" s="763"/>
    </row>
    <row r="53" spans="1:59" x14ac:dyDescent="0.2">
      <c r="A53" s="557" t="str">
        <f ca="1">A1</f>
        <v>P:\Finance\2001CE\[TW3rdCEEM.XLS]DataBase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993</v>
      </c>
    </row>
    <row r="54" spans="1:59" x14ac:dyDescent="0.2">
      <c r="A54" s="327" t="s">
        <v>924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">
      <c r="A55" s="342" t="str">
        <f>A3</f>
        <v>2001 CURRENT ESTIMATE</v>
      </c>
      <c r="B55" s="758">
        <f ca="1">NOW()</f>
        <v>37154.402540162038</v>
      </c>
      <c r="C55" s="61" t="s">
        <v>994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5" customHeight="1" x14ac:dyDescent="0.2">
      <c r="A56" s="62"/>
      <c r="B56" s="759">
        <f ca="1">NOW()</f>
        <v>37154.402540162038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995</v>
      </c>
      <c r="AT56" s="92" t="s">
        <v>996</v>
      </c>
      <c r="AU56" s="92" t="s">
        <v>996</v>
      </c>
      <c r="AV56" s="68" t="s">
        <v>997</v>
      </c>
      <c r="AW56" s="67"/>
      <c r="AX56" s="67"/>
      <c r="AY56" s="67"/>
      <c r="AZ56" s="67"/>
      <c r="BA56" s="78" t="s">
        <v>995</v>
      </c>
      <c r="BB56" s="92" t="s">
        <v>996</v>
      </c>
      <c r="BC56" s="92" t="s">
        <v>996</v>
      </c>
      <c r="BD56" s="92" t="s">
        <v>996</v>
      </c>
      <c r="BE56" s="92" t="s">
        <v>996</v>
      </c>
    </row>
    <row r="57" spans="1:59" ht="3.95" customHeight="1" x14ac:dyDescent="0.2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37154.402540162038</v>
      </c>
      <c r="AS57" s="94" t="s">
        <v>998</v>
      </c>
      <c r="AT57" s="94" t="s">
        <v>998</v>
      </c>
      <c r="AU57" s="94" t="s">
        <v>998</v>
      </c>
      <c r="AV57" s="94" t="s">
        <v>998</v>
      </c>
      <c r="AW57" s="94" t="s">
        <v>998</v>
      </c>
      <c r="AX57" s="94" t="s">
        <v>998</v>
      </c>
      <c r="AY57" s="94" t="s">
        <v>998</v>
      </c>
      <c r="AZ57" s="94" t="s">
        <v>998</v>
      </c>
      <c r="BA57" s="94" t="s">
        <v>998</v>
      </c>
      <c r="BB57" s="94" t="s">
        <v>998</v>
      </c>
      <c r="BC57" s="94" t="s">
        <v>998</v>
      </c>
      <c r="BD57" s="94" t="s">
        <v>998</v>
      </c>
      <c r="BE57" s="95" t="s">
        <v>999</v>
      </c>
    </row>
    <row r="58" spans="1:59" x14ac:dyDescent="0.2">
      <c r="A58" s="331" t="s">
        <v>1000</v>
      </c>
      <c r="B58" s="760"/>
    </row>
    <row r="59" spans="1:59" x14ac:dyDescent="0.2">
      <c r="A59" s="68" t="s">
        <v>939</v>
      </c>
      <c r="B59" s="760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">
      <c r="A60" s="338" t="s">
        <v>1001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">
      <c r="A61" s="338" t="s">
        <v>1002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5" customHeight="1" x14ac:dyDescent="0.2">
      <c r="A62" s="80"/>
    </row>
    <row r="63" spans="1:59" x14ac:dyDescent="0.2">
      <c r="A63" s="68" t="s">
        <v>942</v>
      </c>
      <c r="B63" s="760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1003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5" customHeight="1" x14ac:dyDescent="0.2">
      <c r="A64" s="80"/>
    </row>
    <row r="65" spans="1:59" x14ac:dyDescent="0.2">
      <c r="A65" s="338" t="s">
        <v>1004</v>
      </c>
      <c r="B65" s="760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1005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5" customHeight="1" x14ac:dyDescent="0.2"/>
    <row r="67" spans="1:59" x14ac:dyDescent="0.2">
      <c r="A67" s="338" t="s">
        <v>1006</v>
      </c>
      <c r="B67" s="761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">
      <c r="A68" s="78" t="s">
        <v>1007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">
      <c r="A69" s="78" t="s">
        <v>921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5" customHeight="1" x14ac:dyDescent="0.2"/>
    <row r="71" spans="1:59" x14ac:dyDescent="0.2">
      <c r="A71" s="337" t="s">
        <v>1008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">
      <c r="A72" s="67"/>
      <c r="B72" s="760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">
      <c r="A73" s="339" t="s">
        <v>1009</v>
      </c>
    </row>
    <row r="74" spans="1:59" x14ac:dyDescent="0.2">
      <c r="A74" s="98" t="s">
        <v>1010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">
      <c r="A75" s="98" t="s">
        <v>1011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">
      <c r="A76" s="98" t="s">
        <v>1012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">
      <c r="A77" s="98" t="s">
        <v>1013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">
      <c r="A78" s="98" t="s">
        <v>1014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">
      <c r="A79" s="98" t="s">
        <v>1015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">
      <c r="A80" s="98" t="s">
        <v>921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5" customHeight="1" x14ac:dyDescent="0.2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">
      <c r="A82" s="337" t="s">
        <v>1016</v>
      </c>
      <c r="B82" s="761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">
      <c r="Q83" s="77"/>
      <c r="R83" s="96"/>
      <c r="AL83" s="77"/>
    </row>
    <row r="84" spans="1:59" x14ac:dyDescent="0.2">
      <c r="A84" s="68" t="s">
        <v>985</v>
      </c>
      <c r="B84" s="760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">
      <c r="A85" s="78" t="s">
        <v>1017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">
      <c r="A86" s="78" t="s">
        <v>920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">
      <c r="A87" s="68" t="s">
        <v>951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5" customHeight="1" x14ac:dyDescent="0.2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">
      <c r="A89" s="57" t="str">
        <f>A24</f>
        <v xml:space="preserve">      TOTAL OVER / (UNDER) RECOVERY</v>
      </c>
      <c r="B89" s="764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">
      <c r="A90" s="67"/>
      <c r="B90" s="76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">
      <c r="A91" s="337" t="s">
        <v>1018</v>
      </c>
      <c r="B91" s="761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">
      <c r="R92" s="77"/>
    </row>
    <row r="93" spans="1:59" x14ac:dyDescent="0.2">
      <c r="A93" s="331" t="s">
        <v>1019</v>
      </c>
      <c r="B93" s="760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5" customHeight="1" x14ac:dyDescent="0.2">
      <c r="A94" s="67"/>
      <c r="B94" s="760"/>
    </row>
    <row r="95" spans="1:59" x14ac:dyDescent="0.2">
      <c r="A95" s="331" t="s">
        <v>1020</v>
      </c>
      <c r="B95" s="760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">
      <c r="A96" s="67"/>
      <c r="B96" s="760"/>
      <c r="AW96" s="80"/>
      <c r="AX96" s="80"/>
      <c r="AY96" s="80"/>
      <c r="AZ96" s="80"/>
    </row>
    <row r="97" spans="1:59" ht="5.25" customHeight="1" x14ac:dyDescent="0.2">
      <c r="A97" s="82"/>
      <c r="B97" s="76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"/>
    <row r="99" spans="1:59" x14ac:dyDescent="0.2">
      <c r="A99" s="343" t="s">
        <v>1021</v>
      </c>
      <c r="B99" s="765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5" customHeight="1" x14ac:dyDescent="0.2">
      <c r="A100" s="332"/>
      <c r="B100" s="766"/>
    </row>
    <row r="101" spans="1:59" x14ac:dyDescent="0.2">
      <c r="A101" s="331" t="s">
        <v>955</v>
      </c>
      <c r="B101" s="760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">
      <c r="A102" s="332"/>
      <c r="B102" s="766"/>
      <c r="C102" s="332"/>
    </row>
    <row r="103" spans="1:59" x14ac:dyDescent="0.2">
      <c r="A103" s="98" t="s">
        <v>1022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">
      <c r="A104" s="67"/>
      <c r="B104" s="760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">
      <c r="A105" s="68" t="s">
        <v>1023</v>
      </c>
      <c r="B105" s="760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">
      <c r="A106" s="67"/>
      <c r="B106" s="760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">
      <c r="A107" s="68" t="s">
        <v>1024</v>
      </c>
      <c r="B107" s="760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">
      <c r="A108" s="67"/>
      <c r="B108" s="760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">
      <c r="A109" s="68" t="s">
        <v>991</v>
      </c>
      <c r="B109" s="760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5" customHeight="1" x14ac:dyDescent="0.2">
      <c r="A110" s="67"/>
      <c r="B110" s="760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">
      <c r="A111" s="331" t="s">
        <v>960</v>
      </c>
      <c r="B111" s="766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">
      <c r="A113" s="67"/>
      <c r="B113" s="76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">
      <c r="A114" s="68" t="s">
        <v>1025</v>
      </c>
      <c r="B114" s="760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">
      <c r="A115" s="68" t="s">
        <v>962</v>
      </c>
      <c r="B115" s="760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">
      <c r="A116" s="67"/>
      <c r="B116" s="760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">
      <c r="A117" s="66" t="s">
        <v>963</v>
      </c>
      <c r="B117" s="761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">
      <c r="A118" s="67"/>
      <c r="B118" s="760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">
      <c r="A119" s="66" t="s">
        <v>964</v>
      </c>
      <c r="B119" s="760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">
      <c r="B120" s="763"/>
    </row>
    <row r="121" spans="1:57" customFormat="1" x14ac:dyDescent="0.2">
      <c r="B121" s="763"/>
    </row>
    <row r="122" spans="1:57" x14ac:dyDescent="0.2">
      <c r="A122" s="557" t="str">
        <f ca="1">A1</f>
        <v>P:\Finance\2001CE\[TW3rdCEEM.XLS]DataBase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">
      <c r="A123" s="327" t="s">
        <v>1026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">
      <c r="A124" s="342" t="str">
        <f>A3</f>
        <v>2001 CURRENT ESTIMATE</v>
      </c>
      <c r="B124" s="758">
        <f ca="1">NOW()</f>
        <v>37154.402540162038</v>
      </c>
      <c r="C124" s="61" t="s">
        <v>1027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5" customHeight="1" x14ac:dyDescent="0.2">
      <c r="A125" s="62"/>
      <c r="B125" s="759">
        <f ca="1">NOW()</f>
        <v>37154.402540162038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5" customHeight="1" x14ac:dyDescent="0.2"/>
    <row r="127" spans="1:57" x14ac:dyDescent="0.2">
      <c r="A127" s="344" t="s">
        <v>1028</v>
      </c>
      <c r="B127" s="94"/>
      <c r="C127" s="63" t="str">
        <f>C30</f>
        <v>12/31/99</v>
      </c>
    </row>
    <row r="128" spans="1:57" ht="3.95" customHeight="1" x14ac:dyDescent="0.2">
      <c r="A128" s="345"/>
      <c r="B128" s="766"/>
      <c r="C128" s="332"/>
    </row>
    <row r="129" spans="1:56" x14ac:dyDescent="0.2">
      <c r="A129" s="331" t="s">
        <v>955</v>
      </c>
      <c r="B129" s="766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">
      <c r="A130" s="332"/>
      <c r="B130" s="766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">
      <c r="A131" s="68" t="s">
        <v>1029</v>
      </c>
      <c r="B131" s="766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">
      <c r="A132" s="67"/>
      <c r="B132" s="760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">
      <c r="A133" s="68" t="s">
        <v>1024</v>
      </c>
      <c r="B133" s="766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">
      <c r="A134" s="332"/>
      <c r="B134" s="766"/>
      <c r="C134" s="332"/>
    </row>
    <row r="135" spans="1:56" x14ac:dyDescent="0.2">
      <c r="A135" s="68" t="s">
        <v>1030</v>
      </c>
      <c r="B135" s="766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">
      <c r="A136" s="332"/>
      <c r="B136" s="766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">
      <c r="A137" s="68" t="s">
        <v>991</v>
      </c>
      <c r="B137" s="766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5" customHeight="1" x14ac:dyDescent="0.2">
      <c r="A138" s="332"/>
      <c r="B138" s="766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">
      <c r="A139" s="331" t="s">
        <v>960</v>
      </c>
      <c r="B139" s="766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">
      <c r="A142" s="68" t="s">
        <v>1025</v>
      </c>
      <c r="B142" s="760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">
      <c r="A143" s="68" t="s">
        <v>962</v>
      </c>
      <c r="B143" s="760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">
      <c r="A144" s="67"/>
      <c r="B144" s="760"/>
    </row>
    <row r="145" spans="1:56" x14ac:dyDescent="0.2">
      <c r="A145" s="66" t="s">
        <v>1031</v>
      </c>
      <c r="B145" s="761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">
      <c r="A146" s="67"/>
      <c r="B146" s="760"/>
    </row>
    <row r="147" spans="1:56" x14ac:dyDescent="0.2">
      <c r="A147" s="66" t="s">
        <v>964</v>
      </c>
      <c r="B147" s="760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">
      <c r="B150" s="763"/>
    </row>
    <row r="151" spans="1:56" customFormat="1" x14ac:dyDescent="0.2">
      <c r="B151" s="763"/>
    </row>
    <row r="152" spans="1:56" customFormat="1" x14ac:dyDescent="0.2">
      <c r="B152" s="763"/>
    </row>
    <row r="153" spans="1:56" x14ac:dyDescent="0.2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">
      <c r="A154" s="557" t="str">
        <f ca="1">A1</f>
        <v>P:\Finance\2001CE\[TW3rdCEEM.XLS]DataBase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">
      <c r="A155" s="327" t="s">
        <v>1032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">
      <c r="A156" s="342" t="str">
        <f>A3</f>
        <v>2001 CURRENT ESTIMATE</v>
      </c>
      <c r="B156" s="758">
        <f ca="1">NOW()</f>
        <v>37154.402540162038</v>
      </c>
      <c r="C156" s="61" t="s">
        <v>1033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5" customHeight="1" x14ac:dyDescent="0.2">
      <c r="A157" s="62"/>
      <c r="B157" s="759">
        <f ca="1">NOW()</f>
        <v>37154.402540162038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5" customHeight="1" x14ac:dyDescent="0.2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">
      <c r="A159" s="337" t="s">
        <v>1034</v>
      </c>
      <c r="B159" s="760"/>
    </row>
    <row r="160" spans="1:56" x14ac:dyDescent="0.2">
      <c r="A160" s="68" t="s">
        <v>939</v>
      </c>
      <c r="B160" s="760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">
      <c r="A161" s="338" t="s">
        <v>1001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">
      <c r="A162" s="338" t="s">
        <v>1002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5" customHeight="1" x14ac:dyDescent="0.2">
      <c r="A163" s="80"/>
    </row>
    <row r="164" spans="1:17" x14ac:dyDescent="0.2">
      <c r="A164" s="68" t="s">
        <v>942</v>
      </c>
      <c r="B164" s="760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5" customHeight="1" x14ac:dyDescent="0.2">
      <c r="A165" s="332"/>
    </row>
    <row r="166" spans="1:17" x14ac:dyDescent="0.2">
      <c r="A166" s="338" t="s">
        <v>1035</v>
      </c>
      <c r="B166" s="760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5" customHeight="1" x14ac:dyDescent="0.2">
      <c r="A167" s="332"/>
    </row>
    <row r="168" spans="1:17" x14ac:dyDescent="0.2">
      <c r="A168" s="337" t="s">
        <v>1036</v>
      </c>
      <c r="B168" s="761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">
      <c r="A169" s="67"/>
      <c r="B169" s="760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">
      <c r="A170" s="337" t="s">
        <v>1037</v>
      </c>
      <c r="B170" s="761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">
      <c r="Q171" s="77"/>
    </row>
    <row r="172" spans="1:17" x14ac:dyDescent="0.2">
      <c r="A172" s="68" t="s">
        <v>985</v>
      </c>
      <c r="B172" s="760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">
      <c r="A173" s="78" t="s">
        <v>920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">
      <c r="A174" s="78" t="s">
        <v>920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">
      <c r="A175" s="68" t="s">
        <v>951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5" customHeight="1" x14ac:dyDescent="0.2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">
      <c r="A177" s="333" t="s">
        <v>952</v>
      </c>
      <c r="B177" s="764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">
      <c r="A178" s="67"/>
      <c r="B178" s="76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">
      <c r="A179" s="337" t="s">
        <v>1038</v>
      </c>
      <c r="B179" s="761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">
      <c r="A180" s="67"/>
      <c r="B180" s="760"/>
    </row>
    <row r="181" spans="1:17" x14ac:dyDescent="0.2">
      <c r="A181" s="82"/>
      <c r="B181" s="76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">
      <c r="A183" s="346" t="s">
        <v>1039</v>
      </c>
      <c r="B183" s="760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5" customHeight="1" x14ac:dyDescent="0.2">
      <c r="A184" s="67"/>
      <c r="B184" s="760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">
      <c r="A185" s="331" t="s">
        <v>955</v>
      </c>
      <c r="B185" s="760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">
      <c r="A186" s="332"/>
      <c r="B186" s="766"/>
      <c r="C186" s="332"/>
    </row>
    <row r="187" spans="1:17" x14ac:dyDescent="0.2">
      <c r="A187" s="78" t="s">
        <v>1022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">
      <c r="A188" s="67"/>
      <c r="B188" s="760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">
      <c r="A189" s="68" t="s">
        <v>957</v>
      </c>
      <c r="B189" s="760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">
      <c r="A190" s="67"/>
      <c r="B190" s="760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">
      <c r="A191" s="338" t="s">
        <v>1040</v>
      </c>
      <c r="B191" s="760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">
      <c r="A192" s="67"/>
      <c r="B192" s="760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">
      <c r="A193" s="68" t="s">
        <v>991</v>
      </c>
      <c r="B193" s="760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5" customHeight="1" x14ac:dyDescent="0.2">
      <c r="A194" s="67"/>
      <c r="B194" s="760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">
      <c r="A195" s="331" t="s">
        <v>960</v>
      </c>
      <c r="B195" s="766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">
      <c r="A196" s="67"/>
      <c r="B196" s="76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">
      <c r="A198" s="68" t="s">
        <v>1025</v>
      </c>
      <c r="B198" s="760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">
      <c r="A199" s="68" t="s">
        <v>962</v>
      </c>
      <c r="B199" s="760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">
      <c r="A200" s="67"/>
      <c r="B200" s="760"/>
    </row>
    <row r="201" spans="1:17" x14ac:dyDescent="0.2">
      <c r="A201" s="66" t="s">
        <v>963</v>
      </c>
      <c r="B201" s="761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">
      <c r="A202" s="67"/>
      <c r="B202" s="760"/>
    </row>
    <row r="203" spans="1:17" x14ac:dyDescent="0.2">
      <c r="A203" s="66" t="s">
        <v>964</v>
      </c>
      <c r="B203" s="760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">
      <c r="B204" s="763"/>
    </row>
    <row r="205" spans="1:17" customFormat="1" x14ac:dyDescent="0.2">
      <c r="B205" s="763"/>
    </row>
    <row r="206" spans="1:17" customFormat="1" x14ac:dyDescent="0.2">
      <c r="B206" s="763"/>
    </row>
    <row r="207" spans="1:17" x14ac:dyDescent="0.2">
      <c r="A207" s="557" t="str">
        <f ca="1">A1</f>
        <v>P:\Finance\2001CE\[TW3rdCEEM.XLS]DataBase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">
      <c r="A208" s="327" t="s">
        <v>1041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">
      <c r="A209" s="342" t="str">
        <f>A3</f>
        <v>2001 CURRENT ESTIMATE</v>
      </c>
      <c r="B209" s="758">
        <f ca="1">NOW()</f>
        <v>37154.402540162038</v>
      </c>
      <c r="C209" s="61" t="s">
        <v>1042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5" customHeight="1" x14ac:dyDescent="0.2">
      <c r="A210" s="62"/>
      <c r="B210" s="759">
        <f ca="1">NOW()</f>
        <v>37154.402540162038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5" customHeight="1" x14ac:dyDescent="0.2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">
      <c r="A212" s="331" t="s">
        <v>1043</v>
      </c>
      <c r="B212" s="760"/>
    </row>
    <row r="213" spans="1:17" x14ac:dyDescent="0.2">
      <c r="A213" s="68" t="s">
        <v>939</v>
      </c>
      <c r="B213" s="760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">
      <c r="A214" s="338" t="s">
        <v>1001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">
      <c r="A215" s="338" t="s">
        <v>1002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5" customHeight="1" x14ac:dyDescent="0.2"/>
    <row r="217" spans="1:17" x14ac:dyDescent="0.2">
      <c r="A217" s="68" t="s">
        <v>942</v>
      </c>
      <c r="B217" s="760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5" customHeight="1" x14ac:dyDescent="0.2"/>
    <row r="219" spans="1:17" x14ac:dyDescent="0.2">
      <c r="A219" s="68" t="s">
        <v>1044</v>
      </c>
      <c r="B219" s="760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5" customHeight="1" x14ac:dyDescent="0.2"/>
    <row r="221" spans="1:17" x14ac:dyDescent="0.2">
      <c r="A221" s="337" t="s">
        <v>1045</v>
      </c>
      <c r="B221" s="761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">
      <c r="A222" s="67"/>
      <c r="B222" s="760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">
      <c r="A223" s="337" t="s">
        <v>1046</v>
      </c>
      <c r="B223" s="761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"/>
    <row r="225" spans="1:17" x14ac:dyDescent="0.2">
      <c r="A225" s="68" t="s">
        <v>985</v>
      </c>
      <c r="B225" s="760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">
      <c r="A226" s="78" t="s">
        <v>920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">
      <c r="A227" s="98" t="s">
        <v>1047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">
      <c r="A228" s="68" t="s">
        <v>951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5" customHeight="1" x14ac:dyDescent="0.2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">
      <c r="A230" s="333" t="s">
        <v>952</v>
      </c>
      <c r="B230" s="767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">
      <c r="A231" s="67"/>
      <c r="B231" s="760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">
      <c r="A232" s="331" t="s">
        <v>1048</v>
      </c>
      <c r="B232" s="768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">
      <c r="A233" s="67"/>
      <c r="B233" s="760"/>
      <c r="C233" s="332"/>
    </row>
    <row r="234" spans="1:17" x14ac:dyDescent="0.2">
      <c r="A234" s="82"/>
      <c r="B234" s="762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">
      <c r="A235" s="332"/>
      <c r="B235" s="766"/>
      <c r="C235" s="332"/>
    </row>
    <row r="236" spans="1:17" x14ac:dyDescent="0.2">
      <c r="A236" s="343" t="s">
        <v>1049</v>
      </c>
      <c r="B236" s="760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5" customHeight="1" x14ac:dyDescent="0.2">
      <c r="A237" s="67"/>
      <c r="B237" s="760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">
      <c r="A238" s="331" t="s">
        <v>955</v>
      </c>
      <c r="B238" s="760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">
      <c r="A239" s="332"/>
      <c r="B239" s="766"/>
      <c r="C239" s="332"/>
    </row>
    <row r="240" spans="1:17" x14ac:dyDescent="0.2">
      <c r="A240" s="78" t="s">
        <v>956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">
      <c r="A241" s="67"/>
      <c r="B241" s="760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">
      <c r="A242" s="68" t="s">
        <v>957</v>
      </c>
      <c r="B242" s="760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">
      <c r="A243" s="67"/>
      <c r="B243" s="760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">
      <c r="A244" s="338" t="s">
        <v>1050</v>
      </c>
      <c r="B244" s="760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">
      <c r="A245" s="67"/>
      <c r="B245" s="760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">
      <c r="A246" s="68" t="s">
        <v>959</v>
      </c>
      <c r="B246" s="760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5" customHeight="1" x14ac:dyDescent="0.2">
      <c r="A247" s="67"/>
      <c r="B247" s="760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">
      <c r="A248" s="331" t="s">
        <v>960</v>
      </c>
      <c r="B248" s="766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">
      <c r="A249" s="67"/>
      <c r="B249" s="76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">
      <c r="A251" s="68" t="s">
        <v>961</v>
      </c>
      <c r="B251" s="760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">
      <c r="A252" s="68" t="s">
        <v>962</v>
      </c>
      <c r="B252" s="760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">
      <c r="A253" s="67"/>
      <c r="B253" s="760"/>
    </row>
    <row r="254" spans="1:17" x14ac:dyDescent="0.2">
      <c r="A254" s="66" t="s">
        <v>963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">
      <c r="A255" s="67"/>
      <c r="B255" s="760"/>
    </row>
    <row r="256" spans="1:17" x14ac:dyDescent="0.2">
      <c r="A256" s="66" t="s">
        <v>964</v>
      </c>
      <c r="B256" s="760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">
      <c r="B257" s="763"/>
    </row>
    <row r="258" spans="1:56" customFormat="1" x14ac:dyDescent="0.2">
      <c r="B258" s="763"/>
    </row>
    <row r="259" spans="1:56" customFormat="1" x14ac:dyDescent="0.2">
      <c r="B259" s="763"/>
    </row>
    <row r="260" spans="1:56" x14ac:dyDescent="0.2">
      <c r="A260" s="557" t="str">
        <f ca="1">A1</f>
        <v>P:\Finance\2001CE\[TW3rdCEEM.XLS]DataBase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">
      <c r="A261" s="327" t="s">
        <v>1051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">
      <c r="A262" s="342" t="str">
        <f>A3</f>
        <v>2001 CURRENT ESTIMATE</v>
      </c>
      <c r="B262" s="758">
        <f ca="1">NOW()</f>
        <v>37154.402540162038</v>
      </c>
      <c r="C262" s="61" t="s">
        <v>1052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5" customHeight="1" x14ac:dyDescent="0.2">
      <c r="A263" s="62"/>
      <c r="B263" s="759">
        <f ca="1">NOW()</f>
        <v>37154.402540162038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5" customHeight="1" x14ac:dyDescent="0.2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">
      <c r="A265" s="331" t="s">
        <v>1053</v>
      </c>
      <c r="B265" s="760"/>
    </row>
    <row r="266" spans="1:56" x14ac:dyDescent="0.2">
      <c r="A266" s="68" t="s">
        <v>939</v>
      </c>
      <c r="B266" s="760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">
      <c r="A267" s="338" t="s">
        <v>1001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">
      <c r="A268" s="338" t="s">
        <v>1002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5" customHeight="1" x14ac:dyDescent="0.2"/>
    <row r="270" spans="1:56" x14ac:dyDescent="0.2">
      <c r="A270" s="68" t="s">
        <v>942</v>
      </c>
      <c r="B270" s="760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"/>
    <row r="272" spans="1:56" x14ac:dyDescent="0.2">
      <c r="A272" s="338" t="s">
        <v>1004</v>
      </c>
      <c r="B272" s="760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5" customHeight="1" x14ac:dyDescent="0.2"/>
    <row r="274" spans="1:18" x14ac:dyDescent="0.2">
      <c r="A274" s="338" t="s">
        <v>1054</v>
      </c>
      <c r="B274" s="760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">
      <c r="A275" s="78" t="s">
        <v>1007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">
      <c r="A276" s="78" t="s">
        <v>921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5" customHeight="1" x14ac:dyDescent="0.2">
      <c r="A277" s="59"/>
    </row>
    <row r="278" spans="1:18" x14ac:dyDescent="0.2">
      <c r="A278" s="337" t="s">
        <v>1055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">
      <c r="A279" s="345"/>
    </row>
    <row r="280" spans="1:18" x14ac:dyDescent="0.2">
      <c r="A280" s="337" t="s">
        <v>1056</v>
      </c>
      <c r="B280" s="760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">
      <c r="A281" s="98" t="s">
        <v>1057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">
      <c r="A282" s="98" t="s">
        <v>921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5" customHeight="1" x14ac:dyDescent="0.2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">
      <c r="A284" s="337" t="s">
        <v>1058</v>
      </c>
      <c r="B284" s="761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">
      <c r="Q285" s="77"/>
    </row>
    <row r="286" spans="1:18" x14ac:dyDescent="0.2">
      <c r="A286" s="68" t="s">
        <v>985</v>
      </c>
      <c r="B286" s="760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">
      <c r="A287" s="98" t="s">
        <v>1059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">
      <c r="A288" s="78" t="s">
        <v>920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">
      <c r="A289" s="68" t="s">
        <v>951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5" customHeight="1" x14ac:dyDescent="0.2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">
      <c r="A291" s="333" t="s">
        <v>952</v>
      </c>
      <c r="B291" s="764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">
      <c r="A292" s="67"/>
      <c r="B292" s="76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">
      <c r="A293" s="337" t="s">
        <v>1060</v>
      </c>
      <c r="B293" s="761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">
      <c r="A294" s="67"/>
      <c r="B294" s="760"/>
    </row>
    <row r="295" spans="1:17" x14ac:dyDescent="0.2">
      <c r="A295" s="82"/>
      <c r="B295" s="762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">
      <c r="A297" s="346" t="s">
        <v>1061</v>
      </c>
      <c r="B297" s="760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5" customHeight="1" x14ac:dyDescent="0.2">
      <c r="A298" s="67"/>
      <c r="B298" s="76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">
      <c r="A299" s="331" t="s">
        <v>955</v>
      </c>
      <c r="B299" s="760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">
      <c r="A300" s="332"/>
    </row>
    <row r="301" spans="1:17" x14ac:dyDescent="0.2">
      <c r="A301" s="78" t="s">
        <v>1022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">
      <c r="A302" s="67"/>
      <c r="B302" s="76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">
      <c r="A303" s="338" t="s">
        <v>1062</v>
      </c>
      <c r="B303" s="760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">
      <c r="A304" s="67"/>
      <c r="B304" s="76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">
      <c r="A305" s="338" t="s">
        <v>1040</v>
      </c>
      <c r="B305" s="760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">
      <c r="A306" s="67"/>
      <c r="B306" s="76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">
      <c r="A307" s="68" t="s">
        <v>991</v>
      </c>
      <c r="B307" s="760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5" customHeight="1" x14ac:dyDescent="0.2">
      <c r="A308" s="67"/>
      <c r="B308" s="76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">
      <c r="A309" s="331" t="s">
        <v>960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">
      <c r="A310" s="67"/>
      <c r="B310" s="76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">
      <c r="A312" s="68" t="s">
        <v>1025</v>
      </c>
      <c r="B312" s="760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">
      <c r="A313" s="68" t="s">
        <v>962</v>
      </c>
      <c r="B313" s="760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">
      <c r="A314" s="67"/>
      <c r="B314" s="760"/>
    </row>
    <row r="315" spans="1:17" x14ac:dyDescent="0.2">
      <c r="A315" s="66" t="s">
        <v>963</v>
      </c>
      <c r="B315" s="761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">
      <c r="A316" s="67"/>
      <c r="B316" s="760"/>
    </row>
    <row r="317" spans="1:17" x14ac:dyDescent="0.2">
      <c r="A317" s="66" t="s">
        <v>964</v>
      </c>
      <c r="B317" s="760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">
      <c r="B318" s="763"/>
    </row>
    <row r="319" spans="1:17" customFormat="1" ht="5.25" customHeight="1" x14ac:dyDescent="0.2">
      <c r="B319" s="763"/>
    </row>
    <row r="320" spans="1:17" customFormat="1" ht="5.25" customHeight="1" x14ac:dyDescent="0.2">
      <c r="B320" s="763"/>
    </row>
    <row r="321" spans="1:16" x14ac:dyDescent="0.2">
      <c r="A321" s="557" t="str">
        <f ca="1">A1</f>
        <v>P:\Finance\2001CE\[TW3rdCEEM.XLS]DataBase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">
      <c r="A322" s="327" t="s">
        <v>1063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">
      <c r="A323" s="342" t="str">
        <f>A3</f>
        <v>2001 CURRENT ESTIMATE</v>
      </c>
      <c r="B323" s="758">
        <f ca="1">NOW()</f>
        <v>37154.402540162038</v>
      </c>
      <c r="C323" s="61" t="s">
        <v>1064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5" customHeight="1" x14ac:dyDescent="0.2">
      <c r="A324" s="62"/>
      <c r="B324" s="759">
        <f ca="1">NOW()</f>
        <v>37154.402540162038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5" customHeight="1" x14ac:dyDescent="0.2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">
      <c r="A326" s="331" t="s">
        <v>1065</v>
      </c>
      <c r="B326" s="760"/>
    </row>
    <row r="327" spans="1:16" x14ac:dyDescent="0.2">
      <c r="A327" s="68" t="s">
        <v>939</v>
      </c>
      <c r="B327" s="760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">
      <c r="A328" s="338" t="s">
        <v>1001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">
      <c r="A329" s="338" t="s">
        <v>1002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5" customHeight="1" x14ac:dyDescent="0.2"/>
    <row r="331" spans="1:16" x14ac:dyDescent="0.2">
      <c r="A331" s="68" t="s">
        <v>942</v>
      </c>
      <c r="B331" s="760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5" customHeight="1" x14ac:dyDescent="0.2"/>
    <row r="333" spans="1:16" x14ac:dyDescent="0.2">
      <c r="A333" s="338" t="s">
        <v>1066</v>
      </c>
      <c r="B333" s="760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5" customHeight="1" x14ac:dyDescent="0.2"/>
    <row r="335" spans="1:16" x14ac:dyDescent="0.2">
      <c r="A335" s="338" t="s">
        <v>1067</v>
      </c>
      <c r="B335" s="760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">
      <c r="A336" s="78" t="s">
        <v>1007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">
      <c r="A337" s="98" t="s">
        <v>1068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">
      <c r="A338" s="78" t="s">
        <v>921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">
      <c r="A339" s="78" t="s">
        <v>921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5" customHeight="1" x14ac:dyDescent="0.2"/>
    <row r="341" spans="1:16" x14ac:dyDescent="0.2">
      <c r="A341" s="337" t="s">
        <v>1069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">
      <c r="A342" s="345"/>
    </row>
    <row r="343" spans="1:16" x14ac:dyDescent="0.2">
      <c r="A343" s="337" t="s">
        <v>1070</v>
      </c>
      <c r="B343" s="760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">
      <c r="A344" s="98" t="s">
        <v>1071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">
      <c r="A345" s="78" t="s">
        <v>1074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">
      <c r="A346" s="78" t="s">
        <v>921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">
      <c r="A347" s="78" t="s">
        <v>921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5" customHeight="1" x14ac:dyDescent="0.2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">
      <c r="A349" s="337" t="s">
        <v>1075</v>
      </c>
      <c r="B349" s="761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"/>
    <row r="351" spans="1:16" x14ac:dyDescent="0.2">
      <c r="A351" s="68" t="s">
        <v>985</v>
      </c>
      <c r="B351" s="760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">
      <c r="A352" s="78" t="s">
        <v>920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">
      <c r="A353" s="78" t="s">
        <v>920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">
      <c r="A354" s="68" t="s">
        <v>951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5" customHeight="1" x14ac:dyDescent="0.2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">
      <c r="A356" s="57" t="s">
        <v>952</v>
      </c>
      <c r="B356" s="764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">
      <c r="A357" s="67"/>
      <c r="B357" s="76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">
      <c r="A358" s="66" t="s">
        <v>1076</v>
      </c>
      <c r="B358" s="761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">
      <c r="A359" s="67"/>
      <c r="B359" s="760"/>
    </row>
    <row r="360" spans="1:16" ht="6" customHeight="1" x14ac:dyDescent="0.2">
      <c r="A360" s="82"/>
      <c r="B360" s="762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"/>
    <row r="362" spans="1:16" x14ac:dyDescent="0.2">
      <c r="A362" s="343" t="s">
        <v>1077</v>
      </c>
      <c r="B362" s="760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5" customHeight="1" x14ac:dyDescent="0.2">
      <c r="A363" s="67"/>
      <c r="B363" s="76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">
      <c r="A364" s="331" t="s">
        <v>955</v>
      </c>
      <c r="B364" s="760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">
      <c r="A365" s="332"/>
    </row>
    <row r="366" spans="1:16" x14ac:dyDescent="0.2">
      <c r="A366" s="98" t="s">
        <v>1022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">
      <c r="A367" s="67"/>
      <c r="B367" s="76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">
      <c r="A368" s="338" t="s">
        <v>1062</v>
      </c>
      <c r="B368" s="760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">
      <c r="A369" s="67"/>
      <c r="B369" s="76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">
      <c r="A370" s="338" t="s">
        <v>1078</v>
      </c>
      <c r="B370" s="760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">
      <c r="A371" s="67"/>
      <c r="B371" s="76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">
      <c r="A372" s="68" t="s">
        <v>991</v>
      </c>
      <c r="B372" s="760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5" customHeight="1" x14ac:dyDescent="0.2">
      <c r="A373" s="67"/>
      <c r="B373" s="76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">
      <c r="A374" s="331" t="s">
        <v>960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"/>
    <row r="377" spans="1:16" x14ac:dyDescent="0.2">
      <c r="A377" s="68" t="s">
        <v>1079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">
      <c r="A378" s="68" t="s">
        <v>962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">
      <c r="A379" s="67"/>
      <c r="C379" s="67"/>
    </row>
    <row r="380" spans="1:16" x14ac:dyDescent="0.2">
      <c r="A380" s="66" t="s">
        <v>963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">
      <c r="A381" s="67"/>
      <c r="B381" s="760"/>
    </row>
    <row r="382" spans="1:16" x14ac:dyDescent="0.2">
      <c r="A382" s="66" t="s">
        <v>964</v>
      </c>
      <c r="B382" s="760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">
      <c r="B384" s="763"/>
    </row>
    <row r="385" spans="1:16" customFormat="1" x14ac:dyDescent="0.2">
      <c r="B385" s="763"/>
    </row>
    <row r="386" spans="1:16" x14ac:dyDescent="0.2">
      <c r="A386" s="557" t="str">
        <f ca="1">A1</f>
        <v>P:\Finance\2001CE\[TW3rdCEEM.XLS]DataBase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">
      <c r="A387" s="327" t="s">
        <v>1080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">
      <c r="A388" s="342" t="str">
        <f>A3</f>
        <v>2001 CURRENT ESTIMATE</v>
      </c>
      <c r="B388" s="758">
        <f ca="1">NOW()</f>
        <v>37154.402540162038</v>
      </c>
      <c r="C388" s="61" t="s">
        <v>1064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">
      <c r="A389" s="62"/>
      <c r="B389" s="759">
        <f ca="1">NOW()</f>
        <v>37154.402540162038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5" customHeight="1" x14ac:dyDescent="0.2"/>
    <row r="391" spans="1:16" x14ac:dyDescent="0.2">
      <c r="A391" s="343" t="s">
        <v>1081</v>
      </c>
      <c r="B391" s="760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5" customHeight="1" x14ac:dyDescent="0.2">
      <c r="A392" s="67"/>
      <c r="B392" s="76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">
      <c r="A393" s="331" t="s">
        <v>955</v>
      </c>
      <c r="B393" s="760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"/>
    <row r="395" spans="1:16" x14ac:dyDescent="0.2">
      <c r="A395" s="98" t="s">
        <v>1022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">
      <c r="A396" s="67"/>
      <c r="B396" s="76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">
      <c r="A397" s="338" t="s">
        <v>1062</v>
      </c>
      <c r="B397" s="760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">
      <c r="A398" s="67"/>
      <c r="B398" s="76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">
      <c r="A399" s="338" t="s">
        <v>1082</v>
      </c>
      <c r="B399" s="760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">
      <c r="A400" s="67"/>
      <c r="B400" s="76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">
      <c r="A401" s="68" t="s">
        <v>991</v>
      </c>
      <c r="B401" s="760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5" customHeight="1" x14ac:dyDescent="0.2">
      <c r="A402" s="67"/>
      <c r="B402" s="76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">
      <c r="A403" s="331" t="s">
        <v>960</v>
      </c>
      <c r="B403" s="766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">
      <c r="A405" s="68" t="s">
        <v>961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">
      <c r="A406" s="68" t="s">
        <v>962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">
      <c r="A407" s="67"/>
      <c r="C407" s="67"/>
    </row>
    <row r="408" spans="1:16" x14ac:dyDescent="0.2">
      <c r="A408" s="331" t="s">
        <v>963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">
      <c r="A409" s="67"/>
      <c r="B409" s="760"/>
    </row>
    <row r="410" spans="1:16" x14ac:dyDescent="0.2">
      <c r="A410" s="331" t="s">
        <v>964</v>
      </c>
      <c r="B410" s="760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">
      <c r="A413" s="343" t="s">
        <v>0</v>
      </c>
      <c r="B413" s="760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5" customHeight="1" x14ac:dyDescent="0.2">
      <c r="A414" s="67"/>
      <c r="B414" s="76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">
      <c r="A415" s="331" t="s">
        <v>955</v>
      </c>
      <c r="B415" s="760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"/>
    <row r="417" spans="1:16" x14ac:dyDescent="0.2">
      <c r="A417" s="78" t="s">
        <v>1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">
      <c r="A418" s="67"/>
      <c r="B418" s="76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">
      <c r="A419" s="338" t="s">
        <v>2</v>
      </c>
      <c r="B419" s="760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">
      <c r="A420" s="67"/>
      <c r="B420" s="76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">
      <c r="A421" s="68" t="s">
        <v>3</v>
      </c>
      <c r="B421" s="760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">
      <c r="A422" s="67"/>
      <c r="B422" s="76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">
      <c r="A423" s="68" t="s">
        <v>991</v>
      </c>
      <c r="B423" s="760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5" customHeight="1" x14ac:dyDescent="0.2">
      <c r="A424" s="67"/>
      <c r="B424" s="76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">
      <c r="A425" s="331" t="s">
        <v>960</v>
      </c>
      <c r="B425" s="766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">
      <c r="A427" s="68" t="s">
        <v>4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">
      <c r="A428" s="68" t="s">
        <v>962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">
      <c r="A429" s="67"/>
      <c r="C429" s="67"/>
    </row>
    <row r="430" spans="1:16" x14ac:dyDescent="0.2">
      <c r="A430" s="331" t="s">
        <v>963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">
      <c r="A431" s="67"/>
      <c r="B431" s="760"/>
    </row>
    <row r="432" spans="1:16" x14ac:dyDescent="0.2">
      <c r="A432" s="331" t="s">
        <v>964</v>
      </c>
      <c r="B432" s="760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">
      <c r="A433" s="332"/>
    </row>
    <row r="434" spans="1:16" x14ac:dyDescent="0.2">
      <c r="A434" s="332"/>
    </row>
    <row r="435" spans="1:16" x14ac:dyDescent="0.2">
      <c r="A435" s="343" t="s">
        <v>5</v>
      </c>
      <c r="B435" s="760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5" customHeight="1" x14ac:dyDescent="0.2">
      <c r="A436" s="67"/>
      <c r="B436" s="76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">
      <c r="A437" s="331" t="s">
        <v>955</v>
      </c>
      <c r="B437" s="760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"/>
    <row r="439" spans="1:16" x14ac:dyDescent="0.2">
      <c r="A439" s="78" t="s">
        <v>1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">
      <c r="A440" s="67"/>
      <c r="B440" s="76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">
      <c r="A441" s="68" t="s">
        <v>957</v>
      </c>
      <c r="B441" s="760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">
      <c r="A442" s="67"/>
      <c r="B442" s="76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">
      <c r="A443" s="68" t="s">
        <v>3</v>
      </c>
      <c r="B443" s="760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">
      <c r="A444" s="67"/>
      <c r="B444" s="76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">
      <c r="A445" s="68" t="s">
        <v>991</v>
      </c>
      <c r="B445" s="760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5" customHeight="1" x14ac:dyDescent="0.2">
      <c r="A446" s="67"/>
      <c r="B446" s="76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">
      <c r="A447" s="331" t="s">
        <v>960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">
      <c r="A449" s="68" t="s">
        <v>1079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">
      <c r="A450" s="68" t="s">
        <v>962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">
      <c r="A451" s="67"/>
      <c r="C451" s="67"/>
    </row>
    <row r="452" spans="1:16" x14ac:dyDescent="0.2">
      <c r="A452" s="66" t="s">
        <v>963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">
      <c r="A453" s="67"/>
      <c r="B453" s="760"/>
    </row>
    <row r="454" spans="1:16" x14ac:dyDescent="0.2">
      <c r="A454" s="66" t="s">
        <v>964</v>
      </c>
      <c r="B454" s="760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">
      <c r="B456" s="769"/>
    </row>
    <row r="458" spans="1:16" x14ac:dyDescent="0.2">
      <c r="A458" s="557" t="str">
        <f ca="1">A1</f>
        <v>P:\Finance\2001CE\[TW3rdCEEM.XLS]DataBase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">
      <c r="A459" s="327" t="s">
        <v>6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">
      <c r="A460" s="342" t="str">
        <f>A3</f>
        <v>2001 CURRENT ESTIMATE</v>
      </c>
      <c r="B460" s="758">
        <f ca="1">NOW()</f>
        <v>37154.402540162038</v>
      </c>
      <c r="C460" s="61" t="s">
        <v>7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5" customHeight="1" x14ac:dyDescent="0.2">
      <c r="A461" s="62"/>
      <c r="B461" s="759">
        <f ca="1">NOW()</f>
        <v>37154.402540162038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5" customHeight="1" x14ac:dyDescent="0.2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">
      <c r="A463" s="337" t="s">
        <v>8</v>
      </c>
      <c r="B463" s="760"/>
    </row>
    <row r="464" spans="1:16" x14ac:dyDescent="0.2">
      <c r="A464" s="68" t="s">
        <v>939</v>
      </c>
      <c r="B464" s="760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">
      <c r="A465" s="338" t="s">
        <v>1001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">
      <c r="A466" s="338" t="s">
        <v>1002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5" customHeight="1" x14ac:dyDescent="0.2"/>
    <row r="468" spans="1:16" x14ac:dyDescent="0.2">
      <c r="A468" s="68" t="s">
        <v>942</v>
      </c>
      <c r="B468" s="760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5" customHeight="1" x14ac:dyDescent="0.2"/>
    <row r="470" spans="1:16" x14ac:dyDescent="0.2">
      <c r="A470" s="68" t="s">
        <v>9</v>
      </c>
      <c r="B470" s="760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5" customHeight="1" x14ac:dyDescent="0.2"/>
    <row r="472" spans="1:16" x14ac:dyDescent="0.2">
      <c r="A472" s="338" t="s">
        <v>10</v>
      </c>
      <c r="B472" s="760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">
      <c r="A473" s="78" t="s">
        <v>921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">
      <c r="A474" s="78" t="s">
        <v>921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5" customHeight="1" x14ac:dyDescent="0.2"/>
    <row r="476" spans="1:16" x14ac:dyDescent="0.2">
      <c r="A476" s="337" t="s">
        <v>11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">
      <c r="A477" s="345"/>
    </row>
    <row r="478" spans="1:16" x14ac:dyDescent="0.2">
      <c r="A478" s="337" t="s">
        <v>12</v>
      </c>
      <c r="B478" s="760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">
      <c r="A479" s="98" t="s">
        <v>13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">
      <c r="A480" s="98" t="s">
        <v>14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">
      <c r="A481" s="98" t="s">
        <v>921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">
      <c r="A482" s="98" t="s">
        <v>921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5" customHeight="1" x14ac:dyDescent="0.2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">
      <c r="A484" s="337" t="s">
        <v>15</v>
      </c>
      <c r="B484" s="761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"/>
    <row r="486" spans="1:16" x14ac:dyDescent="0.2">
      <c r="A486" s="68" t="s">
        <v>985</v>
      </c>
      <c r="B486" s="760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">
      <c r="A487" s="78" t="s">
        <v>16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">
      <c r="A488" s="78" t="s">
        <v>920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">
      <c r="A489" s="68" t="s">
        <v>951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5" customHeight="1" x14ac:dyDescent="0.2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">
      <c r="A491" s="333" t="s">
        <v>952</v>
      </c>
      <c r="B491" s="764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">
      <c r="A492" s="67"/>
      <c r="B492" s="76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">
      <c r="A493" s="337" t="s">
        <v>17</v>
      </c>
      <c r="B493" s="761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">
      <c r="A494" s="67"/>
      <c r="B494" s="760"/>
    </row>
    <row r="495" spans="1:16" x14ac:dyDescent="0.2">
      <c r="A495" s="82"/>
      <c r="B495" s="762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">
      <c r="A496" s="332"/>
    </row>
    <row r="497" spans="1:16" x14ac:dyDescent="0.2">
      <c r="A497" s="343" t="s">
        <v>18</v>
      </c>
      <c r="B497" s="760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5" customHeight="1" x14ac:dyDescent="0.2">
      <c r="A498" s="67"/>
      <c r="B498" s="76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">
      <c r="A499" s="331" t="s">
        <v>955</v>
      </c>
      <c r="B499" s="760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">
      <c r="A500" s="332"/>
    </row>
    <row r="501" spans="1:16" x14ac:dyDescent="0.2">
      <c r="A501" s="98" t="s">
        <v>19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">
      <c r="A502" s="67"/>
      <c r="B502" s="76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">
      <c r="A503" s="338" t="s">
        <v>1062</v>
      </c>
      <c r="B503" s="760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">
      <c r="A504" s="67"/>
      <c r="B504" s="76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">
      <c r="A505" s="338" t="s">
        <v>1050</v>
      </c>
      <c r="B505" s="760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">
      <c r="A506" s="67"/>
      <c r="B506" s="76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">
      <c r="A507" s="68" t="s">
        <v>991</v>
      </c>
      <c r="B507" s="760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5" customHeight="1" x14ac:dyDescent="0.2">
      <c r="A508" s="67"/>
      <c r="B508" s="76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">
      <c r="A509" s="331" t="s">
        <v>960</v>
      </c>
      <c r="B509" s="766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">
      <c r="A512" s="68" t="s">
        <v>1025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">
      <c r="A513" s="68" t="s">
        <v>962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">
      <c r="A514" s="67"/>
      <c r="C514" s="67"/>
    </row>
    <row r="515" spans="1:16" x14ac:dyDescent="0.2">
      <c r="A515" s="331" t="s">
        <v>963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">
      <c r="A516" s="67"/>
      <c r="B516" s="760"/>
    </row>
    <row r="517" spans="1:16" x14ac:dyDescent="0.2">
      <c r="A517" s="331" t="s">
        <v>964</v>
      </c>
      <c r="B517" s="760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">
      <c r="B519" s="763"/>
    </row>
    <row r="520" spans="1:16" x14ac:dyDescent="0.2">
      <c r="A520" s="342" t="str">
        <f ca="1">A1</f>
        <v>P:\Finance\2001CE\[TW3rdCEEM.XLS]DataBase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">
      <c r="A521" s="327" t="s">
        <v>20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">
      <c r="A522" s="342" t="str">
        <f>A3</f>
        <v>2001 CURRENT ESTIMATE</v>
      </c>
      <c r="B522" s="758">
        <f ca="1">NOW()</f>
        <v>37154.402540162038</v>
      </c>
      <c r="C522" s="61" t="s">
        <v>21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5" customHeight="1" x14ac:dyDescent="0.2">
      <c r="A523" s="62"/>
      <c r="B523" s="759">
        <f ca="1">NOW()</f>
        <v>37154.402540162038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5" customHeight="1" x14ac:dyDescent="0.2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">
      <c r="A525" s="331" t="s">
        <v>22</v>
      </c>
      <c r="B525" s="760"/>
    </row>
    <row r="526" spans="1:16" x14ac:dyDescent="0.2">
      <c r="A526" s="68" t="s">
        <v>939</v>
      </c>
      <c r="B526" s="760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">
      <c r="A527" s="338" t="s">
        <v>1001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">
      <c r="A528" s="338" t="s">
        <v>1002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5" customHeight="1" x14ac:dyDescent="0.2"/>
    <row r="530" spans="1:16" x14ac:dyDescent="0.2">
      <c r="A530" s="68" t="s">
        <v>942</v>
      </c>
      <c r="B530" s="760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5" customHeight="1" x14ac:dyDescent="0.2"/>
    <row r="532" spans="1:16" x14ac:dyDescent="0.2">
      <c r="A532" s="338" t="s">
        <v>23</v>
      </c>
      <c r="B532" s="760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5" customHeight="1" x14ac:dyDescent="0.2"/>
    <row r="534" spans="1:16" x14ac:dyDescent="0.2">
      <c r="A534" s="337" t="s">
        <v>24</v>
      </c>
      <c r="B534" s="761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">
      <c r="A535" s="67"/>
      <c r="B535" s="760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">
      <c r="A536" s="337" t="s">
        <v>26</v>
      </c>
      <c r="B536" s="761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"/>
    <row r="538" spans="1:16" x14ac:dyDescent="0.2">
      <c r="A538" s="68" t="s">
        <v>985</v>
      </c>
      <c r="B538" s="760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">
      <c r="A539" s="78" t="s">
        <v>920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">
      <c r="A540" s="78" t="s">
        <v>920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">
      <c r="A541" s="68" t="s">
        <v>951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5" customHeight="1" x14ac:dyDescent="0.2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">
      <c r="A543" s="333" t="s">
        <v>952</v>
      </c>
      <c r="B543" s="764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">
      <c r="A544" s="67"/>
      <c r="B544" s="76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">
      <c r="A545" s="331" t="s">
        <v>27</v>
      </c>
      <c r="B545" s="761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">
      <c r="A546" s="67"/>
      <c r="B546" s="760"/>
    </row>
    <row r="547" spans="1:16" x14ac:dyDescent="0.2">
      <c r="A547" s="82"/>
      <c r="B547" s="762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">
      <c r="A548" s="332"/>
    </row>
    <row r="549" spans="1:16" x14ac:dyDescent="0.2">
      <c r="A549" s="343" t="s">
        <v>28</v>
      </c>
      <c r="B549" s="760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5" customHeight="1" x14ac:dyDescent="0.2">
      <c r="A550" s="67"/>
      <c r="B550" s="76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">
      <c r="A551" s="331" t="s">
        <v>955</v>
      </c>
      <c r="B551" s="760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">
      <c r="A552" s="332"/>
    </row>
    <row r="553" spans="1:16" x14ac:dyDescent="0.2">
      <c r="A553" s="78" t="s">
        <v>956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">
      <c r="A554" s="67"/>
      <c r="B554" s="76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">
      <c r="A555" s="338" t="s">
        <v>1062</v>
      </c>
      <c r="B555" s="760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">
      <c r="A556" s="67"/>
      <c r="B556" s="76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">
      <c r="A557" s="338" t="s">
        <v>1050</v>
      </c>
      <c r="B557" s="760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">
      <c r="A558" s="67"/>
      <c r="B558" s="76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">
      <c r="A559" s="68" t="s">
        <v>959</v>
      </c>
      <c r="B559" s="760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5" customHeight="1" x14ac:dyDescent="0.2">
      <c r="A560" s="67"/>
      <c r="B560" s="76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">
      <c r="A561" s="331" t="s">
        <v>960</v>
      </c>
      <c r="B561" s="766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">
      <c r="A562" s="67"/>
      <c r="B562" s="76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">
      <c r="A564" s="68" t="s">
        <v>1025</v>
      </c>
      <c r="B564" s="760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">
      <c r="A565" s="68" t="s">
        <v>962</v>
      </c>
      <c r="B565" s="760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">
      <c r="A566" s="67"/>
      <c r="B566" s="760"/>
    </row>
    <row r="567" spans="1:16" x14ac:dyDescent="0.2">
      <c r="A567" s="331" t="s">
        <v>963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">
      <c r="A568" s="67"/>
      <c r="B568" s="760"/>
    </row>
    <row r="569" spans="1:16" x14ac:dyDescent="0.2">
      <c r="A569" s="331" t="s">
        <v>964</v>
      </c>
      <c r="B569" s="760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">
      <c r="B571" s="763"/>
    </row>
    <row r="572" spans="1:16" x14ac:dyDescent="0.2">
      <c r="A572" s="342" t="str">
        <f ca="1">A1</f>
        <v>P:\Finance\2001CE\[TW3rdCEEM.XLS]DataBase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">
      <c r="A573" s="327" t="s">
        <v>29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">
      <c r="A574" s="342" t="str">
        <f>A3</f>
        <v>2001 CURRENT ESTIMATE</v>
      </c>
      <c r="B574" s="758">
        <f ca="1">NOW()</f>
        <v>37154.402540162038</v>
      </c>
      <c r="C574" s="61" t="s">
        <v>30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5" customHeight="1" x14ac:dyDescent="0.2">
      <c r="A575" s="62"/>
      <c r="B575" s="759">
        <f ca="1">NOW()</f>
        <v>37154.402540162038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5" customHeight="1" x14ac:dyDescent="0.2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">
      <c r="A577" s="331" t="s">
        <v>31</v>
      </c>
      <c r="B577" s="760"/>
    </row>
    <row r="578" spans="1:16" x14ac:dyDescent="0.2">
      <c r="A578" s="68" t="s">
        <v>939</v>
      </c>
      <c r="B578" s="760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">
      <c r="A579" s="338" t="s">
        <v>1001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">
      <c r="A580" s="338" t="s">
        <v>1002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5" customHeight="1" x14ac:dyDescent="0.2"/>
    <row r="582" spans="1:16" x14ac:dyDescent="0.2">
      <c r="A582" s="68" t="s">
        <v>942</v>
      </c>
      <c r="B582" s="760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5" customHeight="1" x14ac:dyDescent="0.2"/>
    <row r="584" spans="1:16" x14ac:dyDescent="0.2">
      <c r="A584" s="338" t="s">
        <v>32</v>
      </c>
      <c r="B584" s="760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5" customHeight="1" x14ac:dyDescent="0.2"/>
    <row r="586" spans="1:16" x14ac:dyDescent="0.2">
      <c r="A586" s="337" t="s">
        <v>33</v>
      </c>
      <c r="B586" s="761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">
      <c r="A587" s="67"/>
      <c r="B587" s="760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">
      <c r="A588" s="337" t="s">
        <v>34</v>
      </c>
      <c r="B588" s="761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">
      <c r="A590" s="68" t="s">
        <v>985</v>
      </c>
      <c r="B590" s="760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">
      <c r="A591" s="78" t="s">
        <v>920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">
      <c r="A592" s="78" t="s">
        <v>920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">
      <c r="A593" s="68" t="s">
        <v>951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5" customHeight="1" x14ac:dyDescent="0.2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">
      <c r="A595" s="333" t="s">
        <v>952</v>
      </c>
      <c r="B595" s="764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">
      <c r="A596" s="67"/>
      <c r="B596" s="76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">
      <c r="A597" s="331" t="s">
        <v>35</v>
      </c>
      <c r="B597" s="761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">
      <c r="A598" s="67"/>
      <c r="B598" s="760"/>
    </row>
    <row r="599" spans="1:16" x14ac:dyDescent="0.2">
      <c r="A599" s="82"/>
      <c r="B599" s="762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">
      <c r="A600" s="332"/>
    </row>
    <row r="601" spans="1:16" x14ac:dyDescent="0.2">
      <c r="A601" s="343" t="s">
        <v>36</v>
      </c>
      <c r="B601" s="760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5" customHeight="1" x14ac:dyDescent="0.2">
      <c r="A602" s="67"/>
      <c r="B602" s="76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">
      <c r="A603" s="331" t="s">
        <v>955</v>
      </c>
      <c r="B603" s="760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"/>
    <row r="605" spans="1:16" x14ac:dyDescent="0.2">
      <c r="A605" s="78" t="s">
        <v>956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">
      <c r="A606" s="67"/>
      <c r="B606" s="76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">
      <c r="A607" s="338" t="s">
        <v>1062</v>
      </c>
      <c r="B607" s="760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">
      <c r="A608" s="67"/>
      <c r="B608" s="76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">
      <c r="A609" s="78" t="s">
        <v>958</v>
      </c>
      <c r="B609" s="760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">
      <c r="A610" s="67"/>
      <c r="B610" s="76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">
      <c r="A611" s="68" t="s">
        <v>959</v>
      </c>
      <c r="B611" s="760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5" customHeight="1" x14ac:dyDescent="0.2">
      <c r="A612" s="67"/>
      <c r="B612" s="76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">
      <c r="A613" s="331" t="s">
        <v>960</v>
      </c>
      <c r="B613" s="766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">
      <c r="A616" s="68" t="s">
        <v>1025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">
      <c r="A617" s="68" t="s">
        <v>962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">
      <c r="A618" s="67"/>
      <c r="C618" s="67"/>
    </row>
    <row r="619" spans="1:16" x14ac:dyDescent="0.2">
      <c r="A619" s="66" t="s">
        <v>963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">
      <c r="A620" s="67"/>
      <c r="B620" s="760"/>
    </row>
    <row r="621" spans="1:16" x14ac:dyDescent="0.2">
      <c r="A621" s="66" t="s">
        <v>964</v>
      </c>
      <c r="B621" s="760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">
      <c r="A623" s="342" t="str">
        <f ca="1">A1</f>
        <v>P:\Finance\2001CE\[TW3rdCEEM.XLS]DataBase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">
      <c r="A624" s="326" t="s">
        <v>58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">
      <c r="A625" s="342" t="str">
        <f>A3</f>
        <v>2001 CURRENT ESTIMATE</v>
      </c>
      <c r="B625" s="758">
        <f ca="1">NOW()</f>
        <v>37154.402540162038</v>
      </c>
      <c r="C625" s="482" t="s">
        <v>59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">
      <c r="A626" s="62"/>
      <c r="B626" s="759">
        <f ca="1">NOW()</f>
        <v>37154.402540162038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5" customHeight="1" x14ac:dyDescent="0.2"/>
    <row r="628" spans="1:16" x14ac:dyDescent="0.2">
      <c r="A628" s="343" t="s">
        <v>60</v>
      </c>
      <c r="B628" s="760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5" customHeight="1" x14ac:dyDescent="0.2">
      <c r="A629" s="67"/>
      <c r="B629" s="76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">
      <c r="A630" s="331" t="s">
        <v>955</v>
      </c>
      <c r="B630" s="760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"/>
    <row r="632" spans="1:16" x14ac:dyDescent="0.2">
      <c r="A632" s="78" t="s">
        <v>956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">
      <c r="A633" s="67"/>
      <c r="B633" s="760"/>
    </row>
    <row r="634" spans="1:16" x14ac:dyDescent="0.2">
      <c r="A634" s="338" t="s">
        <v>335</v>
      </c>
      <c r="B634" s="760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">
      <c r="A635" s="67"/>
      <c r="B635" s="76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">
      <c r="A636" s="78" t="s">
        <v>958</v>
      </c>
      <c r="B636" s="760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">
      <c r="A637" s="67"/>
      <c r="B637" s="76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">
      <c r="A638" s="68" t="s">
        <v>959</v>
      </c>
      <c r="B638" s="760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5" customHeight="1" x14ac:dyDescent="0.2">
      <c r="A639" s="67"/>
      <c r="B639" s="76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">
      <c r="A640" s="331" t="s">
        <v>960</v>
      </c>
      <c r="B640" s="766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">
      <c r="A643" s="68" t="s">
        <v>1025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">
      <c r="A644" s="68" t="s">
        <v>962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">
      <c r="A645" s="67"/>
      <c r="C645" s="67"/>
    </row>
    <row r="646" spans="1:16" x14ac:dyDescent="0.2">
      <c r="A646" s="66" t="s">
        <v>963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">
      <c r="A647" s="67"/>
      <c r="B647" s="760"/>
    </row>
    <row r="648" spans="1:16" x14ac:dyDescent="0.2">
      <c r="A648" s="66" t="s">
        <v>964</v>
      </c>
      <c r="B648" s="760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">
      <c r="A655" s="107"/>
    </row>
    <row r="656" spans="1:16" x14ac:dyDescent="0.2">
      <c r="A656" s="107"/>
    </row>
    <row r="657" spans="1:1" x14ac:dyDescent="0.2">
      <c r="A657" s="107"/>
    </row>
    <row r="658" spans="1:1" x14ac:dyDescent="0.2">
      <c r="A658" s="107"/>
    </row>
    <row r="659" spans="1:1" x14ac:dyDescent="0.2">
      <c r="A659" s="107"/>
    </row>
    <row r="660" spans="1:1" x14ac:dyDescent="0.2">
      <c r="A660" s="107"/>
    </row>
    <row r="661" spans="1:1" x14ac:dyDescent="0.2">
      <c r="A661" s="107"/>
    </row>
    <row r="662" spans="1:1" x14ac:dyDescent="0.2">
      <c r="A662" s="107"/>
    </row>
    <row r="663" spans="1:1" x14ac:dyDescent="0.2">
      <c r="A663" s="107"/>
    </row>
    <row r="664" spans="1:1" x14ac:dyDescent="0.2">
      <c r="A664" s="107"/>
    </row>
    <row r="665" spans="1:1" x14ac:dyDescent="0.2">
      <c r="A665" s="107"/>
    </row>
    <row r="668" spans="1:1" x14ac:dyDescent="0.2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I31" activePane="bottomRight" state="frozen"/>
      <selection activeCell="A28" sqref="A28"/>
      <selection pane="topRight" activeCell="C28" sqref="C28"/>
      <selection pane="bottomLeft" activeCell="A31" sqref="A31"/>
      <selection pane="bottomRight" activeCell="J32" sqref="J32"/>
    </sheetView>
  </sheetViews>
  <sheetFormatPr defaultColWidth="10.7109375" defaultRowHeight="12.75" x14ac:dyDescent="0.2"/>
  <cols>
    <col min="1" max="1" width="45.7109375" style="109" customWidth="1"/>
    <col min="2" max="2" width="8.7109375" style="778" customWidth="1"/>
    <col min="3" max="14" width="8.7109375" style="109" customWidth="1"/>
    <col min="15" max="17" width="9.7109375" style="109" customWidth="1"/>
    <col min="18" max="16384" width="10.7109375" style="109"/>
  </cols>
  <sheetData>
    <row r="1" spans="1:18" x14ac:dyDescent="0.2">
      <c r="A1" s="551" t="str">
        <f ca="1">CELL("FILENAME")</f>
        <v>P:\Finance\2001CE\[TW3rdCEEM.XLS]DataBase</v>
      </c>
    </row>
    <row r="2" spans="1:18" x14ac:dyDescent="0.2">
      <c r="A2" s="375" t="s">
        <v>931</v>
      </c>
      <c r="C2" s="110" t="s">
        <v>905</v>
      </c>
      <c r="D2" s="110" t="s">
        <v>905</v>
      </c>
      <c r="E2" s="110" t="s">
        <v>905</v>
      </c>
      <c r="F2" s="110" t="s">
        <v>905</v>
      </c>
      <c r="G2" s="488"/>
      <c r="H2" s="110" t="s">
        <v>905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">
      <c r="A3" s="554" t="str">
        <f>IncomeState!A3</f>
        <v>2001 CURRENT ESTIMATE</v>
      </c>
      <c r="B3" s="779">
        <f ca="1">NOW()</f>
        <v>37154.402540162038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 t="str">
        <f>DataBase!J2</f>
        <v>ACT.</v>
      </c>
      <c r="K3" s="560" t="str">
        <f>DataBase!K2</f>
        <v>3rd CE</v>
      </c>
      <c r="L3" s="560" t="str">
        <f>DataBase!L2</f>
        <v>3rd CE</v>
      </c>
      <c r="M3" s="560" t="str">
        <f>DataBase!M2</f>
        <v>3rd CE</v>
      </c>
      <c r="N3" s="560" t="str">
        <f>DataBase!N2</f>
        <v>3rd CE</v>
      </c>
      <c r="O3" s="560" t="str">
        <f>DataBase!O2</f>
        <v>TOTAL</v>
      </c>
      <c r="P3" s="560" t="str">
        <f>IncomeState!P6</f>
        <v>AUGUST</v>
      </c>
      <c r="Q3" s="560" t="str">
        <f>IncomeState!Q6</f>
        <v>ESTIMATE</v>
      </c>
      <c r="R3" s="112"/>
    </row>
    <row r="4" spans="1:18" x14ac:dyDescent="0.2">
      <c r="A4" s="114"/>
      <c r="B4" s="780">
        <f ca="1">NOW()</f>
        <v>37154.402540162038</v>
      </c>
      <c r="C4" s="376" t="s">
        <v>906</v>
      </c>
      <c r="D4" s="376" t="s">
        <v>907</v>
      </c>
      <c r="E4" s="376" t="s">
        <v>908</v>
      </c>
      <c r="F4" s="376" t="s">
        <v>909</v>
      </c>
      <c r="G4" s="376" t="s">
        <v>910</v>
      </c>
      <c r="H4" s="376" t="s">
        <v>911</v>
      </c>
      <c r="I4" s="376" t="s">
        <v>912</v>
      </c>
      <c r="J4" s="376" t="s">
        <v>913</v>
      </c>
      <c r="K4" s="376" t="s">
        <v>914</v>
      </c>
      <c r="L4" s="376" t="s">
        <v>915</v>
      </c>
      <c r="M4" s="376" t="s">
        <v>916</v>
      </c>
      <c r="N4" s="376" t="s">
        <v>917</v>
      </c>
      <c r="O4" s="561">
        <f>IncomeState!O7</f>
        <v>2001</v>
      </c>
      <c r="P4" s="561" t="str">
        <f>IncomeState!P7</f>
        <v>Y-T-D</v>
      </c>
      <c r="Q4" s="561" t="str">
        <f>IncomeState!Q7</f>
        <v>R.M.</v>
      </c>
      <c r="R4" s="116"/>
    </row>
    <row r="5" spans="1:18" ht="3.95" customHeight="1" x14ac:dyDescent="0.2"/>
    <row r="6" spans="1:18" x14ac:dyDescent="0.2">
      <c r="A6" s="378" t="s">
        <v>92</v>
      </c>
    </row>
    <row r="7" spans="1:18" ht="3.95" customHeight="1" x14ac:dyDescent="0.2">
      <c r="A7" s="117"/>
    </row>
    <row r="8" spans="1:18" x14ac:dyDescent="0.2">
      <c r="A8" s="253" t="s">
        <v>255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5" customHeight="1" x14ac:dyDescent="0.2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">
      <c r="A10" s="253" t="s">
        <v>256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">
      <c r="A11" s="253" t="s">
        <v>161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">
      <c r="A12" s="253" t="s">
        <v>93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">
      <c r="A14" s="253" t="s">
        <v>257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">
      <c r="A16" s="253" t="s">
        <v>94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">
      <c r="A18" s="253" t="s">
        <v>95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">
      <c r="A19" s="253" t="s">
        <v>96</v>
      </c>
      <c r="C19" s="653">
        <f t="shared" ref="C19:N19" si="4">ROUND(C8*C16,0)</f>
        <v>0</v>
      </c>
      <c r="D19" s="653">
        <f t="shared" si="4"/>
        <v>0</v>
      </c>
      <c r="E19" s="653">
        <f t="shared" si="4"/>
        <v>0</v>
      </c>
      <c r="F19" s="653">
        <f t="shared" si="4"/>
        <v>0</v>
      </c>
      <c r="G19" s="653">
        <f t="shared" si="4"/>
        <v>0</v>
      </c>
      <c r="H19" s="653">
        <f t="shared" si="4"/>
        <v>0</v>
      </c>
      <c r="I19" s="653">
        <f t="shared" si="4"/>
        <v>0</v>
      </c>
      <c r="J19" s="653">
        <f t="shared" si="4"/>
        <v>0</v>
      </c>
      <c r="K19" s="653">
        <f t="shared" si="4"/>
        <v>0</v>
      </c>
      <c r="L19" s="653">
        <f t="shared" si="4"/>
        <v>0</v>
      </c>
      <c r="M19" s="653">
        <f t="shared" si="4"/>
        <v>0</v>
      </c>
      <c r="N19" s="653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5" customHeight="1" x14ac:dyDescent="0.2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">
      <c r="A21" s="380" t="s">
        <v>97</v>
      </c>
      <c r="B21" s="781"/>
      <c r="C21" s="653">
        <f t="shared" ref="C21:N21" si="5">SUM(C18:C19)</f>
        <v>0</v>
      </c>
      <c r="D21" s="653">
        <f t="shared" si="5"/>
        <v>0</v>
      </c>
      <c r="E21" s="653">
        <f t="shared" si="5"/>
        <v>0</v>
      </c>
      <c r="F21" s="653">
        <f t="shared" si="5"/>
        <v>0</v>
      </c>
      <c r="G21" s="653">
        <f t="shared" si="5"/>
        <v>0</v>
      </c>
      <c r="H21" s="653">
        <f t="shared" si="5"/>
        <v>0</v>
      </c>
      <c r="I21" s="653">
        <f t="shared" si="5"/>
        <v>0</v>
      </c>
      <c r="J21" s="653">
        <f t="shared" si="5"/>
        <v>0</v>
      </c>
      <c r="K21" s="653">
        <f t="shared" si="5"/>
        <v>0</v>
      </c>
      <c r="L21" s="653">
        <f t="shared" si="5"/>
        <v>0</v>
      </c>
      <c r="M21" s="653">
        <f t="shared" si="5"/>
        <v>0</v>
      </c>
      <c r="N21" s="653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">
      <c r="A23" s="253" t="s">
        <v>258</v>
      </c>
      <c r="C23" s="831">
        <v>0</v>
      </c>
      <c r="D23" s="831">
        <v>0</v>
      </c>
      <c r="E23" s="831">
        <v>0</v>
      </c>
      <c r="F23" s="831">
        <v>0</v>
      </c>
      <c r="G23" s="831">
        <v>0</v>
      </c>
      <c r="H23" s="831">
        <v>0</v>
      </c>
      <c r="I23" s="831">
        <v>0</v>
      </c>
      <c r="J23" s="831">
        <v>0</v>
      </c>
      <c r="K23" s="831">
        <v>0</v>
      </c>
      <c r="L23" s="831">
        <v>0</v>
      </c>
      <c r="M23" s="831">
        <v>0</v>
      </c>
      <c r="N23" s="831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">
      <c r="A25" s="378" t="s">
        <v>98</v>
      </c>
      <c r="B25" s="782"/>
      <c r="C25" s="654">
        <f>C21+C23</f>
        <v>0</v>
      </c>
      <c r="D25" s="654">
        <f t="shared" ref="D25:Q25" si="6">D21+D23</f>
        <v>0</v>
      </c>
      <c r="E25" s="654">
        <f t="shared" si="6"/>
        <v>0</v>
      </c>
      <c r="F25" s="654">
        <f t="shared" si="6"/>
        <v>0</v>
      </c>
      <c r="G25" s="654">
        <f t="shared" si="6"/>
        <v>0</v>
      </c>
      <c r="H25" s="654">
        <f t="shared" si="6"/>
        <v>0</v>
      </c>
      <c r="I25" s="654">
        <f t="shared" si="6"/>
        <v>0</v>
      </c>
      <c r="J25" s="654">
        <f t="shared" si="6"/>
        <v>0</v>
      </c>
      <c r="K25" s="654">
        <f t="shared" si="6"/>
        <v>0</v>
      </c>
      <c r="L25" s="654">
        <f t="shared" si="6"/>
        <v>0</v>
      </c>
      <c r="M25" s="654">
        <f t="shared" si="6"/>
        <v>0</v>
      </c>
      <c r="N25" s="654">
        <f t="shared" si="6"/>
        <v>0</v>
      </c>
      <c r="O25" s="654">
        <f t="shared" si="6"/>
        <v>0</v>
      </c>
      <c r="P25" s="654">
        <f t="shared" si="6"/>
        <v>0</v>
      </c>
      <c r="Q25" s="654">
        <f t="shared" si="6"/>
        <v>0</v>
      </c>
      <c r="R25" s="112"/>
      <c r="S25" s="112"/>
      <c r="T25" s="112"/>
      <c r="U25" s="112"/>
    </row>
    <row r="26" spans="1:21" ht="12.75" customHeight="1" x14ac:dyDescent="0.2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">
      <c r="A27" s="836"/>
      <c r="B27" s="837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</row>
    <row r="28" spans="1:21" ht="12.75" customHeight="1" x14ac:dyDescent="0.2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">
      <c r="A29" s="111"/>
      <c r="B29" s="782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ACT.</v>
      </c>
      <c r="J29" s="113" t="str">
        <f t="shared" si="7"/>
        <v>ACT.</v>
      </c>
      <c r="K29" s="113" t="str">
        <f t="shared" si="7"/>
        <v>3rd CE</v>
      </c>
      <c r="L29" s="113" t="str">
        <f t="shared" si="7"/>
        <v>3rd CE</v>
      </c>
      <c r="M29" s="113" t="str">
        <f t="shared" si="7"/>
        <v>3rd CE</v>
      </c>
      <c r="N29" s="113" t="str">
        <f t="shared" si="7"/>
        <v>3rd CE</v>
      </c>
      <c r="O29" s="113" t="str">
        <f t="shared" si="7"/>
        <v>TOTAL</v>
      </c>
      <c r="P29" s="113" t="str">
        <f t="shared" si="7"/>
        <v>AUGUST</v>
      </c>
      <c r="Q29" s="113" t="str">
        <f t="shared" si="7"/>
        <v>ESTIMATE</v>
      </c>
      <c r="R29" s="112"/>
      <c r="S29" s="112"/>
    </row>
    <row r="30" spans="1:21" x14ac:dyDescent="0.2">
      <c r="A30" s="111"/>
      <c r="B30" s="782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">
      <c r="A31" s="377" t="s">
        <v>99</v>
      </c>
    </row>
    <row r="32" spans="1:21" x14ac:dyDescent="0.2">
      <c r="A32" s="500" t="s">
        <v>165</v>
      </c>
      <c r="B32" s="847" t="s">
        <v>261</v>
      </c>
      <c r="C32" s="1004">
        <f>-DataBase!C59</f>
        <v>10</v>
      </c>
      <c r="D32" s="1004">
        <f>-DataBase!D59</f>
        <v>10</v>
      </c>
      <c r="E32" s="1004">
        <f>-DataBase!E59</f>
        <v>10</v>
      </c>
      <c r="F32" s="1004">
        <f>-DataBase!F59</f>
        <v>10</v>
      </c>
      <c r="G32" s="1004">
        <f>-DataBase!G59</f>
        <v>10</v>
      </c>
      <c r="H32" s="1004">
        <f>-DataBase!H59</f>
        <v>10</v>
      </c>
      <c r="I32" s="1004">
        <f>-DataBase!I59</f>
        <v>10</v>
      </c>
      <c r="J32" s="1004">
        <f>-DataBase!J59</f>
        <v>10</v>
      </c>
      <c r="K32" s="1004">
        <f>-DataBase!K59</f>
        <v>10</v>
      </c>
      <c r="L32" s="1004">
        <f>-DataBase!L59</f>
        <v>10</v>
      </c>
      <c r="M32" s="1004">
        <f>-DataBase!M59</f>
        <v>10</v>
      </c>
      <c r="N32" s="1004">
        <f>-DataBase!N59</f>
        <v>10</v>
      </c>
      <c r="O32" s="118">
        <f>SUM(C32:N32)</f>
        <v>120</v>
      </c>
      <c r="P32" s="119">
        <f>SUM(C32:J32)</f>
        <v>80</v>
      </c>
      <c r="Q32" s="118">
        <f>(O32-P32)</f>
        <v>40</v>
      </c>
    </row>
    <row r="33" spans="1:17" x14ac:dyDescent="0.2">
      <c r="A33" s="872" t="s">
        <v>164</v>
      </c>
      <c r="B33" s="847" t="s">
        <v>261</v>
      </c>
      <c r="C33" s="1004">
        <f>-DataBase!C60</f>
        <v>97</v>
      </c>
      <c r="D33" s="1004">
        <f>-DataBase!D60</f>
        <v>97</v>
      </c>
      <c r="E33" s="1004">
        <f>-DataBase!E60</f>
        <v>678</v>
      </c>
      <c r="F33" s="1004">
        <f>-DataBase!F60</f>
        <v>0</v>
      </c>
      <c r="G33" s="1004">
        <f>-DataBase!G60</f>
        <v>0</v>
      </c>
      <c r="H33" s="1004">
        <f>-DataBase!H60</f>
        <v>0</v>
      </c>
      <c r="I33" s="1004">
        <f>-DataBase!I60</f>
        <v>0</v>
      </c>
      <c r="J33" s="1004">
        <f>-DataBase!J60</f>
        <v>0</v>
      </c>
      <c r="K33" s="1004">
        <f>-DataBase!K60</f>
        <v>0</v>
      </c>
      <c r="L33" s="1004">
        <f>-DataBase!L60</f>
        <v>109</v>
      </c>
      <c r="M33" s="1004">
        <f>-DataBase!M60</f>
        <v>109</v>
      </c>
      <c r="N33" s="1004">
        <f>-DataBase!N60</f>
        <v>109</v>
      </c>
      <c r="O33" s="118">
        <f>SUM(C33:N33)</f>
        <v>1199</v>
      </c>
      <c r="P33" s="119">
        <f t="shared" ref="P33:P54" si="9">SUM(C33:J33)</f>
        <v>872</v>
      </c>
      <c r="Q33" s="118">
        <f>(O33-P33)</f>
        <v>327</v>
      </c>
    </row>
    <row r="34" spans="1:17" x14ac:dyDescent="0.2">
      <c r="A34" s="500" t="s">
        <v>163</v>
      </c>
      <c r="C34" s="1004">
        <f>-DataBase!C61</f>
        <v>238</v>
      </c>
      <c r="D34" s="1004">
        <f>-DataBase!D61</f>
        <v>175</v>
      </c>
      <c r="E34" s="1004">
        <f>-DataBase!E61</f>
        <v>195</v>
      </c>
      <c r="F34" s="1004">
        <f>-DataBase!F61</f>
        <v>176</v>
      </c>
      <c r="G34" s="1004">
        <f>-DataBase!G61</f>
        <v>169</v>
      </c>
      <c r="H34" s="1004">
        <f>-DataBase!H61</f>
        <v>150</v>
      </c>
      <c r="I34" s="1004">
        <f>-DataBase!I61</f>
        <v>157</v>
      </c>
      <c r="J34" s="1004">
        <f>-DataBase!J61</f>
        <v>162</v>
      </c>
      <c r="K34" s="1004">
        <f>-DataBase!K61</f>
        <v>228</v>
      </c>
      <c r="L34" s="1004">
        <f>-DataBase!L61</f>
        <v>243</v>
      </c>
      <c r="M34" s="1004">
        <f>-DataBase!M61</f>
        <v>239</v>
      </c>
      <c r="N34" s="1004">
        <f>-DataBase!N61</f>
        <v>267</v>
      </c>
      <c r="O34" s="118">
        <f>SUM(C34:N34)</f>
        <v>2399</v>
      </c>
      <c r="P34" s="119">
        <f t="shared" si="9"/>
        <v>1422</v>
      </c>
      <c r="Q34" s="118">
        <f t="shared" ref="Q34:Q43" si="10">(O34-P34)</f>
        <v>977</v>
      </c>
    </row>
    <row r="35" spans="1:17" x14ac:dyDescent="0.2">
      <c r="A35" s="380" t="s">
        <v>100</v>
      </c>
      <c r="B35" s="781"/>
      <c r="C35" s="1004">
        <f>-DataBase!C62</f>
        <v>0</v>
      </c>
      <c r="D35" s="1004">
        <f>-DataBase!D62</f>
        <v>0</v>
      </c>
      <c r="E35" s="1004">
        <f>-DataBase!E62</f>
        <v>0</v>
      </c>
      <c r="F35" s="1004">
        <f>-DataBase!F62</f>
        <v>0</v>
      </c>
      <c r="G35" s="1004">
        <f>-DataBase!G62</f>
        <v>0</v>
      </c>
      <c r="H35" s="1004">
        <f>-DataBase!H62</f>
        <v>0</v>
      </c>
      <c r="I35" s="1004">
        <f>-DataBase!I62</f>
        <v>0</v>
      </c>
      <c r="J35" s="1004">
        <f>-DataBase!J62</f>
        <v>0</v>
      </c>
      <c r="K35" s="1004">
        <f>-DataBase!K62</f>
        <v>0</v>
      </c>
      <c r="L35" s="1004">
        <f>-DataBase!L62</f>
        <v>0</v>
      </c>
      <c r="M35" s="1004">
        <f>-DataBase!M62</f>
        <v>0</v>
      </c>
      <c r="N35" s="1004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">
      <c r="A36" s="253" t="s">
        <v>893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">
      <c r="A37" s="253" t="s">
        <v>162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">
      <c r="A38" s="500" t="s">
        <v>282</v>
      </c>
      <c r="B38" s="847" t="s">
        <v>261</v>
      </c>
      <c r="C38" s="1004">
        <f>-DataBase!C63</f>
        <v>107</v>
      </c>
      <c r="D38" s="1004">
        <f>-DataBase!D63</f>
        <v>108</v>
      </c>
      <c r="E38" s="1004">
        <f>-DataBase!E63</f>
        <v>107</v>
      </c>
      <c r="F38" s="1004">
        <f>-DataBase!F63</f>
        <v>107</v>
      </c>
      <c r="G38" s="1004">
        <f>-DataBase!G63</f>
        <v>107</v>
      </c>
      <c r="H38" s="1004">
        <f>-DataBase!H63</f>
        <v>107</v>
      </c>
      <c r="I38" s="1004">
        <f>-DataBase!I63</f>
        <v>107</v>
      </c>
      <c r="J38" s="1004">
        <f>-DataBase!J63</f>
        <v>107</v>
      </c>
      <c r="K38" s="1004">
        <f>-DataBase!K63</f>
        <v>107</v>
      </c>
      <c r="L38" s="1004">
        <f>-DataBase!L63</f>
        <v>107</v>
      </c>
      <c r="M38" s="1004">
        <f>-DataBase!M63</f>
        <v>107</v>
      </c>
      <c r="N38" s="1004">
        <f>-DataBase!N63</f>
        <v>107</v>
      </c>
      <c r="O38" s="118">
        <f t="shared" si="11"/>
        <v>1285</v>
      </c>
      <c r="P38" s="119">
        <f t="shared" si="9"/>
        <v>857</v>
      </c>
      <c r="Q38" s="118">
        <f t="shared" si="10"/>
        <v>428</v>
      </c>
    </row>
    <row r="39" spans="1:17" x14ac:dyDescent="0.2">
      <c r="A39" s="500" t="s">
        <v>166</v>
      </c>
      <c r="B39" s="847" t="s">
        <v>261</v>
      </c>
      <c r="C39" s="1004">
        <f>-DataBase!C64</f>
        <v>4</v>
      </c>
      <c r="D39" s="1004">
        <f>-DataBase!D64</f>
        <v>4</v>
      </c>
      <c r="E39" s="1004">
        <f>-DataBase!E64</f>
        <v>4</v>
      </c>
      <c r="F39" s="1004">
        <f>-DataBase!F64</f>
        <v>4</v>
      </c>
      <c r="G39" s="1004">
        <f>-DataBase!G64</f>
        <v>4</v>
      </c>
      <c r="H39" s="1004">
        <f>-DataBase!H64</f>
        <v>4</v>
      </c>
      <c r="I39" s="1004">
        <f>-DataBase!I64</f>
        <v>4</v>
      </c>
      <c r="J39" s="1004">
        <f>-DataBase!J64</f>
        <v>4</v>
      </c>
      <c r="K39" s="1004">
        <f>-DataBase!K64</f>
        <v>4</v>
      </c>
      <c r="L39" s="1004">
        <f>-DataBase!L64</f>
        <v>4</v>
      </c>
      <c r="M39" s="1004">
        <f>-DataBase!M64</f>
        <v>4</v>
      </c>
      <c r="N39" s="1004">
        <f>-DataBase!N64</f>
        <v>4</v>
      </c>
      <c r="O39" s="118">
        <f t="shared" si="11"/>
        <v>48</v>
      </c>
      <c r="P39" s="119">
        <f t="shared" si="9"/>
        <v>32</v>
      </c>
      <c r="Q39" s="118">
        <f t="shared" si="10"/>
        <v>16</v>
      </c>
    </row>
    <row r="40" spans="1:17" x14ac:dyDescent="0.2">
      <c r="A40" s="501" t="s">
        <v>101</v>
      </c>
      <c r="B40" s="847" t="s">
        <v>261</v>
      </c>
      <c r="C40" s="1004">
        <f>-DataBase!C65</f>
        <v>30</v>
      </c>
      <c r="D40" s="1004">
        <f>-DataBase!D65</f>
        <v>30</v>
      </c>
      <c r="E40" s="1004">
        <f>-DataBase!E65</f>
        <v>31</v>
      </c>
      <c r="F40" s="1004">
        <f>-DataBase!F65</f>
        <v>30</v>
      </c>
      <c r="G40" s="1004">
        <f>-DataBase!G65</f>
        <v>30</v>
      </c>
      <c r="H40" s="1004">
        <f>-DataBase!H65</f>
        <v>30</v>
      </c>
      <c r="I40" s="1004">
        <f>-DataBase!I65</f>
        <v>30</v>
      </c>
      <c r="J40" s="1004">
        <f>-DataBase!J65</f>
        <v>30</v>
      </c>
      <c r="K40" s="1004">
        <f>-DataBase!K65</f>
        <v>30</v>
      </c>
      <c r="L40" s="1004">
        <f>-DataBase!L65</f>
        <v>30</v>
      </c>
      <c r="M40" s="1004">
        <f>-DataBase!M65</f>
        <v>30</v>
      </c>
      <c r="N40" s="1004">
        <f>-DataBase!N65</f>
        <v>30</v>
      </c>
      <c r="O40" s="118">
        <f t="shared" si="11"/>
        <v>361</v>
      </c>
      <c r="P40" s="119">
        <f t="shared" si="9"/>
        <v>241</v>
      </c>
      <c r="Q40" s="118">
        <f t="shared" si="10"/>
        <v>120</v>
      </c>
    </row>
    <row r="41" spans="1:17" x14ac:dyDescent="0.2">
      <c r="A41" s="253" t="s">
        <v>102</v>
      </c>
      <c r="B41" s="847" t="s">
        <v>261</v>
      </c>
      <c r="C41" s="1004">
        <f>-DataBase!C66</f>
        <v>42</v>
      </c>
      <c r="D41" s="1004">
        <f>-DataBase!D66</f>
        <v>42</v>
      </c>
      <c r="E41" s="1004">
        <f>-DataBase!E66</f>
        <v>42</v>
      </c>
      <c r="F41" s="1004">
        <f>-DataBase!F66</f>
        <v>42</v>
      </c>
      <c r="G41" s="1004">
        <f>-DataBase!G66</f>
        <v>42</v>
      </c>
      <c r="H41" s="1004">
        <f>-DataBase!H66</f>
        <v>42</v>
      </c>
      <c r="I41" s="1004">
        <f>-DataBase!I66</f>
        <v>42</v>
      </c>
      <c r="J41" s="1004">
        <f>-DataBase!J66</f>
        <v>43</v>
      </c>
      <c r="K41" s="1004">
        <f>-DataBase!K66</f>
        <v>42</v>
      </c>
      <c r="L41" s="1004">
        <f>-DataBase!L66</f>
        <v>43</v>
      </c>
      <c r="M41" s="1004">
        <f>-DataBase!M66</f>
        <v>43</v>
      </c>
      <c r="N41" s="1004">
        <f>-DataBase!N66</f>
        <v>43</v>
      </c>
      <c r="O41" s="118">
        <f t="shared" si="11"/>
        <v>508</v>
      </c>
      <c r="P41" s="119">
        <f t="shared" si="9"/>
        <v>337</v>
      </c>
      <c r="Q41" s="118">
        <f t="shared" si="10"/>
        <v>171</v>
      </c>
    </row>
    <row r="42" spans="1:17" x14ac:dyDescent="0.2">
      <c r="A42" s="253" t="s">
        <v>103</v>
      </c>
      <c r="B42" s="847" t="s">
        <v>261</v>
      </c>
      <c r="C42" s="1004">
        <f>-DataBase!C67</f>
        <v>10</v>
      </c>
      <c r="D42" s="1004">
        <f>-DataBase!D67</f>
        <v>10</v>
      </c>
      <c r="E42" s="1004">
        <f>-DataBase!E67</f>
        <v>10</v>
      </c>
      <c r="F42" s="1004">
        <f>-DataBase!F67</f>
        <v>10</v>
      </c>
      <c r="G42" s="1004">
        <f>-DataBase!G67</f>
        <v>10</v>
      </c>
      <c r="H42" s="1004">
        <f>-DataBase!H67</f>
        <v>10</v>
      </c>
      <c r="I42" s="1004">
        <f>-DataBase!I67</f>
        <v>10</v>
      </c>
      <c r="J42" s="1004">
        <f>-DataBase!J67</f>
        <v>10</v>
      </c>
      <c r="K42" s="1004">
        <f>-DataBase!K67</f>
        <v>11</v>
      </c>
      <c r="L42" s="1004">
        <f>-DataBase!L67</f>
        <v>10</v>
      </c>
      <c r="M42" s="1004">
        <f>-DataBase!M67</f>
        <v>11</v>
      </c>
      <c r="N42" s="1004">
        <f>-DataBase!N67</f>
        <v>10</v>
      </c>
      <c r="O42" s="118">
        <f t="shared" si="11"/>
        <v>122</v>
      </c>
      <c r="P42" s="119">
        <f t="shared" si="9"/>
        <v>80</v>
      </c>
      <c r="Q42" s="118">
        <f t="shared" si="10"/>
        <v>42</v>
      </c>
    </row>
    <row r="43" spans="1:17" x14ac:dyDescent="0.2">
      <c r="A43" s="253" t="s">
        <v>104</v>
      </c>
      <c r="B43" s="847" t="s">
        <v>261</v>
      </c>
      <c r="C43" s="1004">
        <f>-DataBase!C68</f>
        <v>31</v>
      </c>
      <c r="D43" s="1004">
        <f>-DataBase!D68</f>
        <v>31</v>
      </c>
      <c r="E43" s="1004">
        <f>-DataBase!E68</f>
        <v>31</v>
      </c>
      <c r="F43" s="1004">
        <f>-DataBase!F68</f>
        <v>31</v>
      </c>
      <c r="G43" s="1004">
        <f>-DataBase!G68</f>
        <v>31</v>
      </c>
      <c r="H43" s="1004">
        <f>-DataBase!H68</f>
        <v>31</v>
      </c>
      <c r="I43" s="1004">
        <f>-DataBase!I68</f>
        <v>31</v>
      </c>
      <c r="J43" s="1004">
        <f>-DataBase!J68</f>
        <v>32</v>
      </c>
      <c r="K43" s="1004">
        <f>-DataBase!K68</f>
        <v>31</v>
      </c>
      <c r="L43" s="1004">
        <f>-DataBase!L68</f>
        <v>32</v>
      </c>
      <c r="M43" s="1004">
        <f>-DataBase!M68</f>
        <v>31</v>
      </c>
      <c r="N43" s="1004">
        <f>-DataBase!N68</f>
        <v>32</v>
      </c>
      <c r="O43" s="118">
        <f t="shared" si="11"/>
        <v>375</v>
      </c>
      <c r="P43" s="119">
        <f t="shared" si="9"/>
        <v>249</v>
      </c>
      <c r="Q43" s="118">
        <f t="shared" si="10"/>
        <v>126</v>
      </c>
    </row>
    <row r="44" spans="1:17" x14ac:dyDescent="0.2">
      <c r="A44" s="253" t="s">
        <v>105</v>
      </c>
      <c r="B44" s="847" t="s">
        <v>261</v>
      </c>
      <c r="C44" s="1004">
        <f>-DataBase!C69</f>
        <v>45</v>
      </c>
      <c r="D44" s="1004">
        <f>-DataBase!D69</f>
        <v>45</v>
      </c>
      <c r="E44" s="1004">
        <f>-DataBase!E69</f>
        <v>45</v>
      </c>
      <c r="F44" s="1004">
        <f>-DataBase!F69</f>
        <v>45</v>
      </c>
      <c r="G44" s="1004">
        <f>-DataBase!G69</f>
        <v>45</v>
      </c>
      <c r="H44" s="1004">
        <f>-DataBase!H69</f>
        <v>45</v>
      </c>
      <c r="I44" s="1004">
        <f>-DataBase!I69</f>
        <v>45</v>
      </c>
      <c r="J44" s="1004">
        <f>-DataBase!J69</f>
        <v>45</v>
      </c>
      <c r="K44" s="1004">
        <f>-DataBase!K69</f>
        <v>45</v>
      </c>
      <c r="L44" s="1004">
        <f>-DataBase!L69</f>
        <v>45</v>
      </c>
      <c r="M44" s="1004">
        <f>-DataBase!M69</f>
        <v>44</v>
      </c>
      <c r="N44" s="1004">
        <f>-DataBase!N69</f>
        <v>45</v>
      </c>
      <c r="O44" s="118">
        <f t="shared" ref="O44:O49" si="12">SUM(C44:N44)</f>
        <v>539</v>
      </c>
      <c r="P44" s="119">
        <f t="shared" si="9"/>
        <v>360</v>
      </c>
      <c r="Q44" s="118">
        <f t="shared" ref="Q44:Q50" si="13">(O44-P44)</f>
        <v>179</v>
      </c>
    </row>
    <row r="45" spans="1:17" x14ac:dyDescent="0.2">
      <c r="A45" s="253" t="s">
        <v>106</v>
      </c>
      <c r="B45" s="847" t="s">
        <v>261</v>
      </c>
      <c r="C45" s="1004">
        <f>-DataBase!C70</f>
        <v>53</v>
      </c>
      <c r="D45" s="1004">
        <f>-DataBase!D70</f>
        <v>53</v>
      </c>
      <c r="E45" s="1004">
        <f>-DataBase!E70</f>
        <v>53</v>
      </c>
      <c r="F45" s="1004">
        <f>-DataBase!F70</f>
        <v>53</v>
      </c>
      <c r="G45" s="1004">
        <f>-DataBase!G70</f>
        <v>53</v>
      </c>
      <c r="H45" s="1004">
        <f>-DataBase!H70</f>
        <v>53</v>
      </c>
      <c r="I45" s="1004">
        <f>-DataBase!I70</f>
        <v>53</v>
      </c>
      <c r="J45" s="1004">
        <f>-DataBase!J70</f>
        <v>52</v>
      </c>
      <c r="K45" s="1004">
        <f>-DataBase!K70</f>
        <v>53</v>
      </c>
      <c r="L45" s="1004">
        <f>-DataBase!L70</f>
        <v>53</v>
      </c>
      <c r="M45" s="1004">
        <f>-DataBase!M70</f>
        <v>52</v>
      </c>
      <c r="N45" s="1004">
        <f>-DataBase!N70</f>
        <v>53</v>
      </c>
      <c r="O45" s="118">
        <f t="shared" si="12"/>
        <v>634</v>
      </c>
      <c r="P45" s="119">
        <f t="shared" si="9"/>
        <v>423</v>
      </c>
      <c r="Q45" s="118">
        <f t="shared" si="13"/>
        <v>211</v>
      </c>
    </row>
    <row r="46" spans="1:17" x14ac:dyDescent="0.2">
      <c r="A46" s="253" t="s">
        <v>107</v>
      </c>
      <c r="B46" s="847" t="s">
        <v>261</v>
      </c>
      <c r="C46" s="1004">
        <f>-DataBase!C71</f>
        <v>11</v>
      </c>
      <c r="D46" s="1004">
        <f>-DataBase!D71</f>
        <v>11</v>
      </c>
      <c r="E46" s="1004">
        <f>-DataBase!E71</f>
        <v>11</v>
      </c>
      <c r="F46" s="1004">
        <f>-DataBase!F71</f>
        <v>11</v>
      </c>
      <c r="G46" s="1004">
        <f>-DataBase!G71</f>
        <v>11</v>
      </c>
      <c r="H46" s="1004">
        <f>-DataBase!H71</f>
        <v>11</v>
      </c>
      <c r="I46" s="1004">
        <f>-DataBase!I71</f>
        <v>11</v>
      </c>
      <c r="J46" s="1004">
        <f>-DataBase!J71</f>
        <v>11</v>
      </c>
      <c r="K46" s="1004">
        <f>-DataBase!K71</f>
        <v>10</v>
      </c>
      <c r="L46" s="1004">
        <f>-DataBase!L71</f>
        <v>11</v>
      </c>
      <c r="M46" s="1004">
        <f>-DataBase!M71</f>
        <v>11</v>
      </c>
      <c r="N46" s="1004">
        <f>-DataBase!N71</f>
        <v>10</v>
      </c>
      <c r="O46" s="118">
        <f t="shared" si="12"/>
        <v>130</v>
      </c>
      <c r="P46" s="119">
        <f t="shared" si="9"/>
        <v>88</v>
      </c>
      <c r="Q46" s="118">
        <f t="shared" si="13"/>
        <v>42</v>
      </c>
    </row>
    <row r="47" spans="1:17" x14ac:dyDescent="0.2">
      <c r="A47" s="253" t="s">
        <v>108</v>
      </c>
      <c r="B47" s="847" t="s">
        <v>261</v>
      </c>
      <c r="C47" s="1004">
        <f>-DataBase!C72</f>
        <v>7</v>
      </c>
      <c r="D47" s="1004">
        <f>-DataBase!D72</f>
        <v>7</v>
      </c>
      <c r="E47" s="1004">
        <f>-DataBase!E72</f>
        <v>7</v>
      </c>
      <c r="F47" s="1004">
        <f>-DataBase!F72</f>
        <v>7</v>
      </c>
      <c r="G47" s="1004">
        <f>-DataBase!G72</f>
        <v>7</v>
      </c>
      <c r="H47" s="1004">
        <f>-DataBase!H72</f>
        <v>7</v>
      </c>
      <c r="I47" s="1004">
        <f>-DataBase!I72</f>
        <v>7</v>
      </c>
      <c r="J47" s="1004">
        <f>-DataBase!J72</f>
        <v>7</v>
      </c>
      <c r="K47" s="1004">
        <f>-DataBase!K72</f>
        <v>7</v>
      </c>
      <c r="L47" s="1004">
        <f>-DataBase!L72</f>
        <v>7</v>
      </c>
      <c r="M47" s="1004">
        <f>-DataBase!M72</f>
        <v>7</v>
      </c>
      <c r="N47" s="1004">
        <f>-DataBase!N72</f>
        <v>7</v>
      </c>
      <c r="O47" s="118">
        <f t="shared" si="12"/>
        <v>84</v>
      </c>
      <c r="P47" s="119">
        <f t="shared" si="9"/>
        <v>56</v>
      </c>
      <c r="Q47" s="118">
        <f t="shared" si="13"/>
        <v>28</v>
      </c>
    </row>
    <row r="48" spans="1:17" x14ac:dyDescent="0.2">
      <c r="A48" s="253" t="s">
        <v>109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">
      <c r="A49" s="253" t="s">
        <v>110</v>
      </c>
      <c r="B49" s="847" t="s">
        <v>261</v>
      </c>
      <c r="C49" s="1004">
        <f>-DataBase!C73</f>
        <v>7</v>
      </c>
      <c r="D49" s="1004">
        <f>-DataBase!D73</f>
        <v>7</v>
      </c>
      <c r="E49" s="1004">
        <f>-DataBase!E73</f>
        <v>7</v>
      </c>
      <c r="F49" s="1004">
        <f>-DataBase!F73</f>
        <v>7</v>
      </c>
      <c r="G49" s="1004">
        <f>-DataBase!G73</f>
        <v>7</v>
      </c>
      <c r="H49" s="1004">
        <f>-DataBase!H73</f>
        <v>7</v>
      </c>
      <c r="I49" s="1004">
        <f>-DataBase!I73</f>
        <v>7</v>
      </c>
      <c r="J49" s="1004">
        <f>-DataBase!J73</f>
        <v>8</v>
      </c>
      <c r="K49" s="1004">
        <f>-DataBase!K73</f>
        <v>7</v>
      </c>
      <c r="L49" s="1004">
        <f>-DataBase!L73</f>
        <v>8</v>
      </c>
      <c r="M49" s="1004">
        <f>-DataBase!M73</f>
        <v>7</v>
      </c>
      <c r="N49" s="1004">
        <f>-DataBase!N73</f>
        <v>8</v>
      </c>
      <c r="O49" s="118">
        <f t="shared" si="12"/>
        <v>87</v>
      </c>
      <c r="P49" s="119">
        <f t="shared" si="9"/>
        <v>57</v>
      </c>
      <c r="Q49" s="118">
        <f t="shared" si="13"/>
        <v>30</v>
      </c>
    </row>
    <row r="50" spans="1:19" x14ac:dyDescent="0.2">
      <c r="A50" s="253" t="s">
        <v>111</v>
      </c>
      <c r="B50" s="847" t="s">
        <v>261</v>
      </c>
      <c r="C50" s="1004">
        <f>-DataBase!C74</f>
        <v>38</v>
      </c>
      <c r="D50" s="1004">
        <f>-DataBase!D74</f>
        <v>38</v>
      </c>
      <c r="E50" s="1004">
        <f>-DataBase!E74</f>
        <v>38</v>
      </c>
      <c r="F50" s="1004">
        <f>-DataBase!F74</f>
        <v>38</v>
      </c>
      <c r="G50" s="1004">
        <f>-DataBase!G74</f>
        <v>38</v>
      </c>
      <c r="H50" s="1004">
        <f>-DataBase!H74</f>
        <v>38</v>
      </c>
      <c r="I50" s="1004">
        <f>-DataBase!I74</f>
        <v>38</v>
      </c>
      <c r="J50" s="1004">
        <f>-DataBase!J74</f>
        <v>38</v>
      </c>
      <c r="K50" s="1004">
        <f>-DataBase!K74</f>
        <v>38</v>
      </c>
      <c r="L50" s="1004">
        <f>-DataBase!L74</f>
        <v>38</v>
      </c>
      <c r="M50" s="1004">
        <f>-DataBase!M74</f>
        <v>38</v>
      </c>
      <c r="N50" s="1004">
        <f>-DataBase!N74</f>
        <v>37</v>
      </c>
      <c r="O50" s="118">
        <f>SUM(C50:N50)</f>
        <v>455</v>
      </c>
      <c r="P50" s="119">
        <f t="shared" si="9"/>
        <v>304</v>
      </c>
      <c r="Q50" s="118">
        <f t="shared" si="13"/>
        <v>151</v>
      </c>
    </row>
    <row r="51" spans="1:19" x14ac:dyDescent="0.2">
      <c r="A51" s="897" t="s">
        <v>231</v>
      </c>
      <c r="B51" s="847"/>
      <c r="C51" s="1004">
        <f>-DataBase!C75</f>
        <v>0</v>
      </c>
      <c r="D51" s="1004">
        <f>-DataBase!D75</f>
        <v>0</v>
      </c>
      <c r="E51" s="1004">
        <f>-DataBase!E75</f>
        <v>0</v>
      </c>
      <c r="F51" s="1004">
        <f>-DataBase!F75</f>
        <v>0</v>
      </c>
      <c r="G51" s="1004">
        <f>-DataBase!G75</f>
        <v>0</v>
      </c>
      <c r="H51" s="1004">
        <f>-DataBase!H75</f>
        <v>0</v>
      </c>
      <c r="I51" s="1004">
        <f>-DataBase!I75</f>
        <v>0</v>
      </c>
      <c r="J51" s="1004">
        <f>-DataBase!J75</f>
        <v>0</v>
      </c>
      <c r="K51" s="1004">
        <f>-DataBase!K75</f>
        <v>0</v>
      </c>
      <c r="L51" s="1004">
        <f>-DataBase!L75</f>
        <v>0</v>
      </c>
      <c r="M51" s="1004">
        <f>-DataBase!M75</f>
        <v>0</v>
      </c>
      <c r="N51" s="1004">
        <f>-DataBase!N75</f>
        <v>0</v>
      </c>
      <c r="O51" s="118">
        <f>SUM(C51:N51)</f>
        <v>0</v>
      </c>
      <c r="P51" s="119">
        <f t="shared" si="9"/>
        <v>0</v>
      </c>
      <c r="Q51" s="118">
        <f>(O51-P51)</f>
        <v>0</v>
      </c>
    </row>
    <row r="52" spans="1:19" x14ac:dyDescent="0.2">
      <c r="A52" s="897" t="s">
        <v>216</v>
      </c>
      <c r="B52" s="847"/>
      <c r="C52" s="1004">
        <f>-DataBase!C76</f>
        <v>0</v>
      </c>
      <c r="D52" s="1004">
        <f>-DataBase!D76</f>
        <v>0</v>
      </c>
      <c r="E52" s="1004">
        <f>-DataBase!E76</f>
        <v>0</v>
      </c>
      <c r="F52" s="1004">
        <f>-DataBase!F76</f>
        <v>0</v>
      </c>
      <c r="G52" s="1004">
        <f>-DataBase!G76</f>
        <v>0</v>
      </c>
      <c r="H52" s="1004">
        <f>-DataBase!H76</f>
        <v>0</v>
      </c>
      <c r="I52" s="1004">
        <f>-DataBase!I76</f>
        <v>0</v>
      </c>
      <c r="J52" s="1004">
        <f>-DataBase!J76</f>
        <v>0</v>
      </c>
      <c r="K52" s="1004">
        <f>-DataBase!K76</f>
        <v>0</v>
      </c>
      <c r="L52" s="1004">
        <f>-DataBase!L76</f>
        <v>0</v>
      </c>
      <c r="M52" s="1004">
        <f>-DataBase!M76</f>
        <v>0</v>
      </c>
      <c r="N52" s="1004">
        <f>-DataBase!N76</f>
        <v>0</v>
      </c>
      <c r="O52" s="118">
        <f>SUM(C52:N52)</f>
        <v>0</v>
      </c>
      <c r="P52" s="119">
        <f t="shared" si="9"/>
        <v>0</v>
      </c>
      <c r="Q52" s="118">
        <f>(O52-P52)</f>
        <v>0</v>
      </c>
    </row>
    <row r="53" spans="1:19" x14ac:dyDescent="0.2">
      <c r="A53" s="897" t="s">
        <v>225</v>
      </c>
      <c r="C53" s="1004">
        <f>-DataBase!C77</f>
        <v>0</v>
      </c>
      <c r="D53" s="1004">
        <f>-DataBase!D77</f>
        <v>0</v>
      </c>
      <c r="E53" s="1004">
        <f>-DataBase!E77</f>
        <v>0</v>
      </c>
      <c r="F53" s="1004">
        <f>-DataBase!F77</f>
        <v>0</v>
      </c>
      <c r="G53" s="1004">
        <f>-DataBase!G77</f>
        <v>0</v>
      </c>
      <c r="H53" s="1004">
        <f>-DataBase!H77</f>
        <v>0</v>
      </c>
      <c r="I53" s="1004">
        <f>-DataBase!I77</f>
        <v>0</v>
      </c>
      <c r="J53" s="1004">
        <f>-DataBase!J77</f>
        <v>0</v>
      </c>
      <c r="K53" s="1004">
        <f>-DataBase!K77</f>
        <v>0</v>
      </c>
      <c r="L53" s="1004">
        <f>-DataBase!L77</f>
        <v>0</v>
      </c>
      <c r="M53" s="1004">
        <f>-DataBase!M77</f>
        <v>0</v>
      </c>
      <c r="N53" s="1004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">
      <c r="A54" s="253" t="s">
        <v>919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5" customHeight="1" x14ac:dyDescent="0.2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">
      <c r="A56" s="378" t="s">
        <v>194</v>
      </c>
      <c r="B56" s="782"/>
      <c r="C56" s="121">
        <f t="shared" ref="C56:Q56" si="14">SUM(C32:C54)</f>
        <v>730</v>
      </c>
      <c r="D56" s="121">
        <f t="shared" si="14"/>
        <v>668</v>
      </c>
      <c r="E56" s="121">
        <f t="shared" si="14"/>
        <v>1269</v>
      </c>
      <c r="F56" s="121">
        <f t="shared" si="14"/>
        <v>571</v>
      </c>
      <c r="G56" s="121">
        <f t="shared" si="14"/>
        <v>564</v>
      </c>
      <c r="H56" s="121">
        <f t="shared" si="14"/>
        <v>545</v>
      </c>
      <c r="I56" s="121">
        <f t="shared" si="14"/>
        <v>552</v>
      </c>
      <c r="J56" s="121">
        <f t="shared" si="14"/>
        <v>559</v>
      </c>
      <c r="K56" s="121">
        <f t="shared" si="14"/>
        <v>623</v>
      </c>
      <c r="L56" s="121">
        <f t="shared" si="14"/>
        <v>750</v>
      </c>
      <c r="M56" s="121">
        <f t="shared" si="14"/>
        <v>743</v>
      </c>
      <c r="N56" s="121">
        <f t="shared" si="14"/>
        <v>772</v>
      </c>
      <c r="O56" s="121">
        <f t="shared" si="14"/>
        <v>8346</v>
      </c>
      <c r="P56" s="121">
        <f t="shared" si="14"/>
        <v>5458</v>
      </c>
      <c r="Q56" s="121">
        <f t="shared" si="14"/>
        <v>2888</v>
      </c>
      <c r="R56" s="112"/>
      <c r="S56" s="112"/>
    </row>
    <row r="57" spans="1:19" ht="8.1" customHeight="1" x14ac:dyDescent="0.2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">
      <c r="A60" s="122"/>
    </row>
    <row r="61" spans="1:19" x14ac:dyDescent="0.2">
      <c r="A61" s="117"/>
    </row>
    <row r="62" spans="1:19" x14ac:dyDescent="0.2">
      <c r="A62" s="117"/>
    </row>
    <row r="63" spans="1:19" x14ac:dyDescent="0.2">
      <c r="A63" s="122"/>
    </row>
    <row r="64" spans="1:19" x14ac:dyDescent="0.2">
      <c r="A64" s="117"/>
    </row>
    <row r="65" spans="1:17" x14ac:dyDescent="0.2">
      <c r="A65" s="117"/>
    </row>
    <row r="66" spans="1:17" x14ac:dyDescent="0.2">
      <c r="A66" s="117"/>
    </row>
    <row r="67" spans="1:17" x14ac:dyDescent="0.2">
      <c r="A67" s="117"/>
    </row>
    <row r="68" spans="1:17" x14ac:dyDescent="0.2">
      <c r="A68" s="117"/>
    </row>
    <row r="69" spans="1:17" x14ac:dyDescent="0.2">
      <c r="A69" s="253" t="s">
        <v>112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I5" activePane="bottomRight" state="frozen"/>
      <selection activeCell="V47" sqref="V47"/>
      <selection pane="topRight" activeCell="V47" sqref="V47"/>
      <selection pane="bottomLeft" activeCell="V47" sqref="V47"/>
      <selection pane="bottomRight" activeCell="J8" sqref="J8"/>
    </sheetView>
  </sheetViews>
  <sheetFormatPr defaultColWidth="10.7109375" defaultRowHeight="12.75" x14ac:dyDescent="0.2"/>
  <cols>
    <col min="1" max="1" width="45.7109375" style="23" customWidth="1"/>
    <col min="2" max="2" width="8.7109375" style="777" customWidth="1"/>
    <col min="3" max="14" width="8.7109375" style="23" customWidth="1"/>
    <col min="15" max="17" width="9.7109375" style="23" customWidth="1"/>
    <col min="18" max="24" width="8.7109375" style="23" customWidth="1"/>
    <col min="25" max="35" width="10.7109375" style="23"/>
    <col min="36" max="36" width="30.7109375" style="23" customWidth="1"/>
    <col min="37" max="16384" width="10.7109375" style="23"/>
  </cols>
  <sheetData>
    <row r="1" spans="1:50" x14ac:dyDescent="0.2">
      <c r="A1" s="551" t="str">
        <f ca="1">CELL("FILENAME")</f>
        <v>P:\Finance\2001CE\[TW3rdCEEM.XLS]DataBase</v>
      </c>
      <c r="B1" s="77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">
      <c r="A2" s="367" t="s">
        <v>61</v>
      </c>
      <c r="B2" s="770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">
      <c r="A3" s="554" t="str">
        <f>IncomeState!A3</f>
        <v>2001 CURRENT ESTIMATE</v>
      </c>
      <c r="B3" s="771">
        <f ca="1">NOW()</f>
        <v>37154.402540162038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 t="str">
        <f>DataBase!J2</f>
        <v>ACT.</v>
      </c>
      <c r="K3" s="558" t="str">
        <f>DataBase!K2</f>
        <v>3rd CE</v>
      </c>
      <c r="L3" s="558" t="str">
        <f>DataBase!L2</f>
        <v>3rd CE</v>
      </c>
      <c r="M3" s="558" t="str">
        <f>DataBase!M2</f>
        <v>3rd CE</v>
      </c>
      <c r="N3" s="558" t="str">
        <f>DataBase!N2</f>
        <v>3rd CE</v>
      </c>
      <c r="O3" s="558" t="str">
        <f>DataBase!O2</f>
        <v>TOTAL</v>
      </c>
      <c r="P3" s="558" t="str">
        <f>IncomeState!P6</f>
        <v>AUGUST</v>
      </c>
      <c r="Q3" s="558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x14ac:dyDescent="0.2">
      <c r="A4" s="354"/>
      <c r="B4" s="772">
        <f ca="1">NOW()</f>
        <v>37154.402540162038</v>
      </c>
      <c r="C4" s="368" t="s">
        <v>906</v>
      </c>
      <c r="D4" s="368" t="s">
        <v>907</v>
      </c>
      <c r="E4" s="368" t="s">
        <v>908</v>
      </c>
      <c r="F4" s="368" t="s">
        <v>909</v>
      </c>
      <c r="G4" s="368" t="s">
        <v>910</v>
      </c>
      <c r="H4" s="368" t="s">
        <v>911</v>
      </c>
      <c r="I4" s="368" t="s">
        <v>912</v>
      </c>
      <c r="J4" s="368" t="s">
        <v>913</v>
      </c>
      <c r="K4" s="368" t="s">
        <v>914</v>
      </c>
      <c r="L4" s="368" t="s">
        <v>915</v>
      </c>
      <c r="M4" s="368" t="s">
        <v>916</v>
      </c>
      <c r="N4" s="368" t="s">
        <v>917</v>
      </c>
      <c r="O4" s="559">
        <f>IncomeState!O7</f>
        <v>2001</v>
      </c>
      <c r="P4" s="559" t="str">
        <f>IncomeState!P7</f>
        <v>Y-T-D</v>
      </c>
      <c r="Q4" s="559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5" customHeight="1" x14ac:dyDescent="0.2">
      <c r="A5" s="351"/>
      <c r="B5" s="77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x14ac:dyDescent="0.2">
      <c r="A6" s="369" t="s">
        <v>62</v>
      </c>
      <c r="B6" s="770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x14ac:dyDescent="0.2">
      <c r="A7" s="374" t="s">
        <v>63</v>
      </c>
      <c r="B7" s="773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x14ac:dyDescent="0.2">
      <c r="A8" s="359" t="str">
        <f>Trackers!A74</f>
        <v xml:space="preserve">      Many Islands (Canadian) FULLY ASSIGNED</v>
      </c>
      <c r="B8" s="848" t="s">
        <v>283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SUM(C8:J8)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x14ac:dyDescent="0.2">
      <c r="A9" s="359" t="str">
        <f>Trackers!A75</f>
        <v xml:space="preserve">      Great Lakes FULLY ASSIGNED</v>
      </c>
      <c r="B9" s="848" t="s">
        <v>283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SUM(C9:J9)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x14ac:dyDescent="0.2">
      <c r="A10" s="359" t="str">
        <f>Trackers!A76</f>
        <v xml:space="preserve">      Trailblazer System (Including WIC)</v>
      </c>
      <c r="B10" s="848" t="s">
        <v>283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x14ac:dyDescent="0.2">
      <c r="A11" s="359" t="str">
        <f>Trackers!A77</f>
        <v xml:space="preserve">      Settlement Credit</v>
      </c>
      <c r="B11" s="848" t="s">
        <v>283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x14ac:dyDescent="0.2">
      <c r="A12" s="359" t="str">
        <f>Trackers!A78</f>
        <v xml:space="preserve">      Rocky Mountain (Questar)</v>
      </c>
      <c r="B12" s="848" t="s">
        <v>283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x14ac:dyDescent="0.2">
      <c r="A13" s="359" t="str">
        <f>Trackers!A79</f>
        <v xml:space="preserve">      Gulf Coast / Dakota Gas (Columbia Gulf / HPL)</v>
      </c>
      <c r="B13" s="848" t="s">
        <v>283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3" customFormat="1" x14ac:dyDescent="0.2">
      <c r="A14" s="542" t="str">
        <f>Trackers!A80</f>
        <v xml:space="preserve">      Other</v>
      </c>
      <c r="B14" s="848" t="s">
        <v>283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5" customHeight="1" x14ac:dyDescent="0.2">
      <c r="A15" s="351"/>
      <c r="B15" s="770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x14ac:dyDescent="0.2">
      <c r="A16" s="365" t="s">
        <v>64</v>
      </c>
      <c r="B16" s="774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">
      <c r="A17" s="357"/>
      <c r="B17" s="770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x14ac:dyDescent="0.2">
      <c r="A18" s="374" t="s">
        <v>65</v>
      </c>
      <c r="B18" s="770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x14ac:dyDescent="0.2">
      <c r="A19" s="363" t="str">
        <f>Trackers!A281</f>
        <v xml:space="preserve">      ANR (4.2) Storage</v>
      </c>
      <c r="B19" s="848" t="s">
        <v>283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SUM(C19:J19)</f>
        <v>0</v>
      </c>
      <c r="Q19" s="359">
        <f>(O19-P19)</f>
        <v>0</v>
      </c>
    </row>
    <row r="20" spans="1:50" x14ac:dyDescent="0.2">
      <c r="A20" s="363" t="str">
        <f>Trackers!A282</f>
        <v xml:space="preserve">      Other</v>
      </c>
      <c r="B20" s="848" t="s">
        <v>283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SUM(C20:J20)</f>
        <v>0</v>
      </c>
      <c r="Q20" s="360">
        <f>(O20-P20)</f>
        <v>0</v>
      </c>
      <c r="R20" s="33"/>
    </row>
    <row r="21" spans="1:50" ht="3.95" customHeight="1" x14ac:dyDescent="0.2">
      <c r="A21" s="351"/>
      <c r="B21" s="770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x14ac:dyDescent="0.2">
      <c r="A22" s="365" t="s">
        <v>66</v>
      </c>
      <c r="B22" s="770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">
      <c r="A23" s="357"/>
      <c r="B23" s="770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x14ac:dyDescent="0.2">
      <c r="A24" s="374" t="s">
        <v>67</v>
      </c>
      <c r="B24" s="770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x14ac:dyDescent="0.2">
      <c r="A25" s="365" t="s">
        <v>233</v>
      </c>
      <c r="B25" s="770"/>
      <c r="C25" s="1005">
        <f>DataBase!C82</f>
        <v>0</v>
      </c>
      <c r="D25" s="1005">
        <f>DataBase!D82</f>
        <v>0</v>
      </c>
      <c r="E25" s="1005">
        <f>DataBase!E82</f>
        <v>0</v>
      </c>
      <c r="F25" s="1005">
        <f>DataBase!F82</f>
        <v>0</v>
      </c>
      <c r="G25" s="1005">
        <f>DataBase!G82</f>
        <v>0</v>
      </c>
      <c r="H25" s="1005">
        <f>DataBase!H82</f>
        <v>0</v>
      </c>
      <c r="I25" s="1005">
        <f>DataBase!I82</f>
        <v>0</v>
      </c>
      <c r="J25" s="1005">
        <f>DataBase!J82</f>
        <v>0</v>
      </c>
      <c r="K25" s="1005">
        <f>DataBase!K82</f>
        <v>0</v>
      </c>
      <c r="L25" s="1005">
        <f>DataBase!L82</f>
        <v>0</v>
      </c>
      <c r="M25" s="1005">
        <f>DataBase!M82</f>
        <v>0</v>
      </c>
      <c r="N25" s="1005">
        <f>DataBase!N82</f>
        <v>0</v>
      </c>
      <c r="O25" s="359">
        <f>SUM(C25:N25)</f>
        <v>0</v>
      </c>
      <c r="P25" s="358">
        <f>SUM(C25:J25)</f>
        <v>0</v>
      </c>
      <c r="Q25" s="359">
        <f>(O25-P25)</f>
        <v>0</v>
      </c>
      <c r="R25" s="31"/>
    </row>
    <row r="26" spans="1:50" s="26" customFormat="1" x14ac:dyDescent="0.2">
      <c r="A26" s="365" t="s">
        <v>402</v>
      </c>
      <c r="B26" s="774"/>
      <c r="C26" s="1005">
        <f>DataBase!C83</f>
        <v>0</v>
      </c>
      <c r="D26" s="1005">
        <f>DataBase!D83</f>
        <v>0</v>
      </c>
      <c r="E26" s="1005">
        <f>DataBase!E83</f>
        <v>0</v>
      </c>
      <c r="F26" s="1005">
        <f>DataBase!F83</f>
        <v>0</v>
      </c>
      <c r="G26" s="1005">
        <f>DataBase!G83</f>
        <v>0</v>
      </c>
      <c r="H26" s="1005">
        <f>DataBase!H83</f>
        <v>0</v>
      </c>
      <c r="I26" s="1005">
        <f>DataBase!I83</f>
        <v>0</v>
      </c>
      <c r="J26" s="1005">
        <f>DataBase!J83</f>
        <v>0</v>
      </c>
      <c r="K26" s="1005">
        <f>DataBase!K83</f>
        <v>0</v>
      </c>
      <c r="L26" s="1005">
        <f>DataBase!L83</f>
        <v>0</v>
      </c>
      <c r="M26" s="1005">
        <f>DataBase!M83</f>
        <v>0</v>
      </c>
      <c r="N26" s="1005">
        <f>DataBase!N83</f>
        <v>0</v>
      </c>
      <c r="O26" s="542">
        <f>SUM(C26:N26)</f>
        <v>0</v>
      </c>
      <c r="P26" s="358">
        <f>SUM(C26:J26)</f>
        <v>0</v>
      </c>
      <c r="Q26" s="542">
        <f>(O26-P26)</f>
        <v>0</v>
      </c>
    </row>
    <row r="27" spans="1:50" x14ac:dyDescent="0.2">
      <c r="A27" s="365" t="s">
        <v>403</v>
      </c>
      <c r="B27" s="770"/>
      <c r="C27" s="1005">
        <f>DataBase!C84</f>
        <v>0</v>
      </c>
      <c r="D27" s="1005">
        <f>DataBase!D84</f>
        <v>0</v>
      </c>
      <c r="E27" s="1005">
        <f>DataBase!E84</f>
        <v>0</v>
      </c>
      <c r="F27" s="1005">
        <f>DataBase!F84</f>
        <v>0</v>
      </c>
      <c r="G27" s="1005">
        <f>DataBase!G84</f>
        <v>0</v>
      </c>
      <c r="H27" s="1005">
        <f>DataBase!H84</f>
        <v>0</v>
      </c>
      <c r="I27" s="1005">
        <f>DataBase!I84</f>
        <v>0</v>
      </c>
      <c r="J27" s="1005">
        <f>DataBase!J84</f>
        <v>0</v>
      </c>
      <c r="K27" s="1005">
        <f>DataBase!K84</f>
        <v>0</v>
      </c>
      <c r="L27" s="1005">
        <f>DataBase!L84</f>
        <v>0</v>
      </c>
      <c r="M27" s="1005">
        <f>DataBase!M84</f>
        <v>0</v>
      </c>
      <c r="N27" s="1005">
        <f>DataBase!N84</f>
        <v>0</v>
      </c>
      <c r="O27" s="359">
        <f>SUM(C27:N27)</f>
        <v>0</v>
      </c>
      <c r="P27" s="358">
        <f>SUM(C27:J27)</f>
        <v>0</v>
      </c>
      <c r="Q27" s="359">
        <f>(O27-P27)</f>
        <v>0</v>
      </c>
      <c r="R27" s="31"/>
    </row>
    <row r="28" spans="1:50" x14ac:dyDescent="0.2">
      <c r="A28" s="365" t="s">
        <v>68</v>
      </c>
      <c r="B28" s="770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SUM(C28:J28)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5" customHeight="1" x14ac:dyDescent="0.2">
      <c r="A29" s="365"/>
      <c r="B29" s="770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x14ac:dyDescent="0.2">
      <c r="A30" s="373" t="s">
        <v>69</v>
      </c>
      <c r="B30" s="770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">
      <c r="A31" s="357"/>
      <c r="B31" s="770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x14ac:dyDescent="0.2">
      <c r="A32" s="372" t="s">
        <v>160</v>
      </c>
      <c r="B32" s="774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">
      <c r="A33" s="357"/>
      <c r="B33" s="770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x14ac:dyDescent="0.2">
      <c r="A34" s="356" t="s">
        <v>70</v>
      </c>
      <c r="B34" s="770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SUM(C34:J34)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x14ac:dyDescent="0.2">
      <c r="A35" s="356" t="s">
        <v>71</v>
      </c>
      <c r="B35" s="770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SUM(C35:J35)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">
      <c r="A36" s="357"/>
      <c r="B36" s="770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x14ac:dyDescent="0.2">
      <c r="A37" s="372" t="s">
        <v>72</v>
      </c>
      <c r="B37" s="770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x14ac:dyDescent="0.2">
      <c r="A38" s="365" t="s">
        <v>73</v>
      </c>
      <c r="B38" s="775" t="s">
        <v>927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SUM(C38:J38)</f>
        <v>0</v>
      </c>
      <c r="Q38" s="359">
        <f t="shared" ref="Q38:Q43" si="10">(O38-P38)</f>
        <v>0</v>
      </c>
      <c r="R38" s="31"/>
    </row>
    <row r="39" spans="1:46" x14ac:dyDescent="0.2">
      <c r="A39" s="365" t="s">
        <v>74</v>
      </c>
      <c r="B39" s="848" t="s">
        <v>283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x14ac:dyDescent="0.2">
      <c r="A40" s="365" t="s">
        <v>75</v>
      </c>
      <c r="B40" s="848" t="s">
        <v>283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x14ac:dyDescent="0.2">
      <c r="A41" s="365" t="s">
        <v>76</v>
      </c>
      <c r="B41" s="848" t="s">
        <v>283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x14ac:dyDescent="0.2">
      <c r="A42" s="365" t="s">
        <v>78</v>
      </c>
      <c r="B42" s="848" t="s">
        <v>283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x14ac:dyDescent="0.2">
      <c r="A43" s="365" t="s">
        <v>79</v>
      </c>
      <c r="B43" s="775" t="s">
        <v>927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5" customHeight="1" x14ac:dyDescent="0.2">
      <c r="A44" s="351"/>
      <c r="B44" s="770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x14ac:dyDescent="0.2">
      <c r="A45" s="372" t="s">
        <v>80</v>
      </c>
      <c r="B45" s="776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">
      <c r="A46" s="357"/>
      <c r="B46" s="770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2">
      <c r="A47" s="372" t="s">
        <v>81</v>
      </c>
      <c r="B47" s="770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x14ac:dyDescent="0.2">
      <c r="A48" s="365" t="s">
        <v>73</v>
      </c>
      <c r="B48" s="775" t="s">
        <v>927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SUM(C48:J48)</f>
        <v>0</v>
      </c>
      <c r="Q48" s="359">
        <f t="shared" ref="Q48:Q55" si="14">(O48-P48)</f>
        <v>0</v>
      </c>
    </row>
    <row r="49" spans="1:24" x14ac:dyDescent="0.2">
      <c r="A49" s="365" t="s">
        <v>74</v>
      </c>
      <c r="B49" s="848" t="s">
        <v>283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x14ac:dyDescent="0.2">
      <c r="A50" s="365" t="s">
        <v>82</v>
      </c>
      <c r="B50" s="848" t="s">
        <v>283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x14ac:dyDescent="0.2">
      <c r="A51" s="365" t="s">
        <v>83</v>
      </c>
      <c r="B51" s="848" t="s">
        <v>283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x14ac:dyDescent="0.2">
      <c r="A52" s="365" t="s">
        <v>84</v>
      </c>
      <c r="B52" s="848" t="s">
        <v>283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x14ac:dyDescent="0.2">
      <c r="A53" s="365" t="s">
        <v>85</v>
      </c>
      <c r="B53" s="848" t="s">
        <v>283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x14ac:dyDescent="0.2">
      <c r="A54" s="365" t="s">
        <v>86</v>
      </c>
      <c r="B54" s="848" t="s">
        <v>283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x14ac:dyDescent="0.2">
      <c r="A55" s="365" t="s">
        <v>87</v>
      </c>
      <c r="B55" s="848" t="s">
        <v>283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5" customHeight="1" x14ac:dyDescent="0.2">
      <c r="A56" s="351"/>
      <c r="B56" s="770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x14ac:dyDescent="0.2">
      <c r="A57" s="372" t="s">
        <v>88</v>
      </c>
      <c r="B57" s="774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">
      <c r="A58" s="357"/>
      <c r="B58" s="773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">
      <c r="A59" s="306" t="s">
        <v>284</v>
      </c>
      <c r="B59" s="773"/>
      <c r="C59" s="849">
        <v>0</v>
      </c>
      <c r="D59" s="849">
        <v>0</v>
      </c>
      <c r="E59" s="849">
        <v>0</v>
      </c>
      <c r="F59" s="849">
        <v>0</v>
      </c>
      <c r="G59" s="849">
        <v>0</v>
      </c>
      <c r="H59" s="849">
        <v>0</v>
      </c>
      <c r="I59" s="849">
        <v>0</v>
      </c>
      <c r="J59" s="849">
        <v>0</v>
      </c>
      <c r="K59" s="849">
        <v>0</v>
      </c>
      <c r="L59" s="849">
        <v>0</v>
      </c>
      <c r="M59" s="849">
        <v>0</v>
      </c>
      <c r="N59" s="849">
        <v>0</v>
      </c>
      <c r="O59" s="359">
        <f>SUM(C59:N59)</f>
        <v>0</v>
      </c>
      <c r="P59" s="358">
        <f>SUM(C59:J59)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">
      <c r="A60" s="365" t="s">
        <v>285</v>
      </c>
      <c r="B60" s="848" t="s">
        <v>283</v>
      </c>
      <c r="C60" s="470">
        <f>'Transport-OtherRev'!C78</f>
        <v>0</v>
      </c>
      <c r="D60" s="470">
        <f>'Transport-OtherRev'!D78</f>
        <v>0</v>
      </c>
      <c r="E60" s="470">
        <f>'Transport-OtherRev'!E78</f>
        <v>0</v>
      </c>
      <c r="F60" s="470">
        <f>'Transport-OtherRev'!F78</f>
        <v>0</v>
      </c>
      <c r="G60" s="470">
        <f>'Transport-OtherRev'!G78</f>
        <v>0</v>
      </c>
      <c r="H60" s="470">
        <f>'Transport-OtherRev'!H78</f>
        <v>0</v>
      </c>
      <c r="I60" s="470">
        <f>'Transport-OtherRev'!I78</f>
        <v>0</v>
      </c>
      <c r="J60" s="470">
        <f>'Transport-OtherRev'!J78</f>
        <v>0</v>
      </c>
      <c r="K60" s="470">
        <f>'Transport-OtherRev'!K78</f>
        <v>0</v>
      </c>
      <c r="L60" s="470">
        <f>'Transport-OtherRev'!L78</f>
        <v>0</v>
      </c>
      <c r="M60" s="470">
        <f>'Transport-OtherRev'!M78</f>
        <v>0</v>
      </c>
      <c r="N60" s="470">
        <f>'Transport-OtherRev'!N78</f>
        <v>0</v>
      </c>
      <c r="O60" s="359">
        <f>SUM(C60:N60)</f>
        <v>0</v>
      </c>
      <c r="P60" s="358">
        <f>SUM(C60:J60)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">
      <c r="A61" s="365" t="s">
        <v>286</v>
      </c>
      <c r="B61" s="848" t="s">
        <v>283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60">
        <f>SUM(C61:N61)</f>
        <v>0</v>
      </c>
      <c r="P61" s="364">
        <f>SUM(C61:J61)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5" customHeight="1" x14ac:dyDescent="0.2">
      <c r="A62" s="357"/>
      <c r="B62" s="773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">
      <c r="A63" s="372" t="s">
        <v>90</v>
      </c>
      <c r="B63" s="773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">
      <c r="A64" s="357"/>
      <c r="B64" s="773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">
      <c r="A65" s="369" t="s">
        <v>91</v>
      </c>
      <c r="B65" s="774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">
      <c r="A66" s="351"/>
      <c r="B66" s="770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/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I5" activePane="bottomRight" state="frozen"/>
      <selection activeCell="AA56" sqref="AA56"/>
      <selection pane="topRight" activeCell="AA56" sqref="AA56"/>
      <selection pane="bottomLeft" activeCell="AA56" sqref="AA56"/>
      <selection pane="bottomRight" activeCell="J7" sqref="J7"/>
    </sheetView>
  </sheetViews>
  <sheetFormatPr defaultColWidth="10.7109375" defaultRowHeight="12.75" x14ac:dyDescent="0.2"/>
  <cols>
    <col min="1" max="1" width="45.7109375" style="123" customWidth="1"/>
    <col min="2" max="14" width="8.7109375" style="123" customWidth="1"/>
    <col min="15" max="17" width="9.7109375" style="123" customWidth="1"/>
    <col min="18" max="16384" width="10.7109375" style="123"/>
  </cols>
  <sheetData>
    <row r="1" spans="1:19" x14ac:dyDescent="0.2">
      <c r="A1" s="551" t="str">
        <f ca="1">CELL("FILENAME")</f>
        <v>P:\Finance\2001CE\[TW3rdCEEM.XLS]DataBase</v>
      </c>
    </row>
    <row r="2" spans="1:19" x14ac:dyDescent="0.2">
      <c r="A2" s="381" t="s">
        <v>113</v>
      </c>
      <c r="C2" s="124" t="s">
        <v>905</v>
      </c>
      <c r="D2" s="124" t="s">
        <v>905</v>
      </c>
      <c r="E2" s="124" t="s">
        <v>905</v>
      </c>
      <c r="F2" s="125"/>
      <c r="G2" s="489"/>
      <c r="H2" s="124" t="s">
        <v>905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">
      <c r="A3" s="554" t="str">
        <f>IncomeState!A3</f>
        <v>2001 CURRENT ESTIMATE</v>
      </c>
      <c r="B3" s="783">
        <f ca="1">NOW()</f>
        <v>37154.4025400463</v>
      </c>
      <c r="C3" s="562" t="str">
        <f>DataBase!C2</f>
        <v>ACT.</v>
      </c>
      <c r="D3" s="562" t="str">
        <f>DataBase!D2</f>
        <v>ACT.</v>
      </c>
      <c r="E3" s="562" t="str">
        <f>DataBase!E2</f>
        <v>ACT.</v>
      </c>
      <c r="F3" s="562" t="str">
        <f>DataBase!F2</f>
        <v>ACT.</v>
      </c>
      <c r="G3" s="562" t="str">
        <f>DataBase!G2</f>
        <v>ACT.</v>
      </c>
      <c r="H3" s="562" t="str">
        <f>DataBase!H2</f>
        <v>ACT.</v>
      </c>
      <c r="I3" s="562" t="str">
        <f>DataBase!I2</f>
        <v>ACT.</v>
      </c>
      <c r="J3" s="562" t="str">
        <f>DataBase!J2</f>
        <v>ACT.</v>
      </c>
      <c r="K3" s="562" t="str">
        <f>DataBase!K2</f>
        <v>3rd CE</v>
      </c>
      <c r="L3" s="562" t="str">
        <f>DataBase!L2</f>
        <v>3rd CE</v>
      </c>
      <c r="M3" s="562" t="str">
        <f>DataBase!M2</f>
        <v>3rd CE</v>
      </c>
      <c r="N3" s="562" t="str">
        <f>DataBase!N2</f>
        <v>3rd CE</v>
      </c>
      <c r="O3" s="562" t="str">
        <f>DataBase!O2</f>
        <v>TOTAL</v>
      </c>
      <c r="P3" s="562" t="str">
        <f>IncomeState!P6</f>
        <v>AUGUST</v>
      </c>
      <c r="Q3" s="562" t="str">
        <f>IncomeState!Q6</f>
        <v>ESTIMATE</v>
      </c>
      <c r="R3" s="126"/>
      <c r="S3" s="126"/>
    </row>
    <row r="4" spans="1:19" x14ac:dyDescent="0.2">
      <c r="A4" s="382"/>
      <c r="B4" s="784">
        <f ca="1">NOW()</f>
        <v>37154.4025400463</v>
      </c>
      <c r="C4" s="385" t="s">
        <v>906</v>
      </c>
      <c r="D4" s="385" t="s">
        <v>907</v>
      </c>
      <c r="E4" s="385" t="s">
        <v>908</v>
      </c>
      <c r="F4" s="385" t="s">
        <v>909</v>
      </c>
      <c r="G4" s="385" t="s">
        <v>910</v>
      </c>
      <c r="H4" s="385" t="s">
        <v>911</v>
      </c>
      <c r="I4" s="385" t="s">
        <v>912</v>
      </c>
      <c r="J4" s="385" t="s">
        <v>913</v>
      </c>
      <c r="K4" s="385" t="s">
        <v>914</v>
      </c>
      <c r="L4" s="385" t="s">
        <v>915</v>
      </c>
      <c r="M4" s="385" t="s">
        <v>916</v>
      </c>
      <c r="N4" s="385" t="s">
        <v>917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26"/>
      <c r="S4" s="126"/>
    </row>
    <row r="5" spans="1:19" ht="3.95" customHeight="1" x14ac:dyDescent="0.2">
      <c r="A5" s="383"/>
      <c r="B5" s="785"/>
    </row>
    <row r="6" spans="1:19" x14ac:dyDescent="0.2">
      <c r="A6" s="384" t="s">
        <v>170</v>
      </c>
      <c r="B6" s="786"/>
    </row>
    <row r="7" spans="1:19" x14ac:dyDescent="0.2">
      <c r="A7" s="548" t="s">
        <v>201</v>
      </c>
      <c r="B7" s="787"/>
      <c r="C7" s="1001">
        <f>-DataBase!C30-DataBase!C31</f>
        <v>-4940</v>
      </c>
      <c r="D7" s="1001">
        <f>-DataBase!D30-DataBase!D31</f>
        <v>-3634</v>
      </c>
      <c r="E7" s="1001">
        <f>-DataBase!E30-DataBase!E31</f>
        <v>-3808</v>
      </c>
      <c r="F7" s="1001">
        <f>-DataBase!F30-DataBase!F31</f>
        <v>18467</v>
      </c>
      <c r="G7" s="1001">
        <f>-DataBase!G30-DataBase!G31</f>
        <v>-407</v>
      </c>
      <c r="H7" s="1001">
        <f>-DataBase!H30-DataBase!H31</f>
        <v>379</v>
      </c>
      <c r="I7" s="1001">
        <f>-DataBase!I30-DataBase!I31</f>
        <v>1188</v>
      </c>
      <c r="J7" s="1001">
        <f>-DataBase!J30-DataBase!J31</f>
        <v>754</v>
      </c>
      <c r="K7" s="1001">
        <f>-DataBase!K30-DataBase!K31</f>
        <v>-3100</v>
      </c>
      <c r="L7" s="1001">
        <f>-DataBase!L30-DataBase!L31</f>
        <v>-2818</v>
      </c>
      <c r="M7" s="1001">
        <f>-DataBase!M30-DataBase!M31</f>
        <v>-2744</v>
      </c>
      <c r="N7" s="1001">
        <f>-DataBase!N30-DataBase!N31</f>
        <v>-2679</v>
      </c>
      <c r="O7" s="129">
        <f t="shared" ref="O7:O12" si="0">SUM(C7:N7)</f>
        <v>-3342</v>
      </c>
      <c r="P7" s="128">
        <f t="shared" ref="P7:P12" si="1">SUM(C7:J7)</f>
        <v>7999</v>
      </c>
      <c r="Q7" s="129">
        <f t="shared" ref="Q7:Q12" si="2">(O7-P7)</f>
        <v>-11341</v>
      </c>
    </row>
    <row r="8" spans="1:19" x14ac:dyDescent="0.2">
      <c r="A8" s="897" t="s">
        <v>222</v>
      </c>
      <c r="B8" s="787"/>
      <c r="C8" s="1001">
        <f>-DataBase!C32-DataBase!C33</f>
        <v>0</v>
      </c>
      <c r="D8" s="1001">
        <f>-DataBase!D32-DataBase!D33</f>
        <v>0</v>
      </c>
      <c r="E8" s="1001">
        <f>-DataBase!E32-DataBase!E33</f>
        <v>0</v>
      </c>
      <c r="F8" s="1001">
        <f>-DataBase!F32-DataBase!F33</f>
        <v>-7815</v>
      </c>
      <c r="G8" s="1001">
        <f>-DataBase!G32-DataBase!G33</f>
        <v>0</v>
      </c>
      <c r="H8" s="1001">
        <f>-DataBase!H32-DataBase!H33</f>
        <v>0</v>
      </c>
      <c r="I8" s="1001">
        <f>-DataBase!I32-DataBase!I33</f>
        <v>0</v>
      </c>
      <c r="J8" s="1001">
        <f>-DataBase!J32-DataBase!J33</f>
        <v>0</v>
      </c>
      <c r="K8" s="1001">
        <f>-DataBase!K32-DataBase!K33</f>
        <v>0</v>
      </c>
      <c r="L8" s="1001">
        <f>-DataBase!L32-DataBase!L33</f>
        <v>0</v>
      </c>
      <c r="M8" s="1001">
        <f>-DataBase!M32-DataBase!M33</f>
        <v>0</v>
      </c>
      <c r="N8" s="1001">
        <f>-DataBase!N32-DataBase!N33</f>
        <v>0</v>
      </c>
      <c r="O8" s="129">
        <f t="shared" si="0"/>
        <v>-7815</v>
      </c>
      <c r="P8" s="128">
        <f t="shared" si="1"/>
        <v>-7815</v>
      </c>
      <c r="Q8" s="129">
        <f t="shared" si="2"/>
        <v>0</v>
      </c>
    </row>
    <row r="9" spans="1:19" x14ac:dyDescent="0.2">
      <c r="A9" s="564" t="s">
        <v>202</v>
      </c>
      <c r="B9" s="787"/>
      <c r="C9" s="1001">
        <f>-DataBase!C97</f>
        <v>52</v>
      </c>
      <c r="D9" s="1001">
        <f>-DataBase!D97</f>
        <v>-1032</v>
      </c>
      <c r="E9" s="1001">
        <f>-DataBase!E97</f>
        <v>-138</v>
      </c>
      <c r="F9" s="1001">
        <f>-DataBase!F97</f>
        <v>413</v>
      </c>
      <c r="G9" s="1001">
        <f>-DataBase!G97</f>
        <v>80</v>
      </c>
      <c r="H9" s="1001">
        <f>-DataBase!H97</f>
        <v>-760</v>
      </c>
      <c r="I9" s="1001">
        <f>-DataBase!I97</f>
        <v>-995</v>
      </c>
      <c r="J9" s="1001">
        <f>-DataBase!J97</f>
        <v>-248</v>
      </c>
      <c r="K9" s="1001">
        <f>-DataBase!K97</f>
        <v>148</v>
      </c>
      <c r="L9" s="1001">
        <f>-DataBase!L97</f>
        <v>71</v>
      </c>
      <c r="M9" s="1001">
        <f>-DataBase!M97</f>
        <v>-81</v>
      </c>
      <c r="N9" s="1001">
        <f>-DataBase!N97</f>
        <v>103</v>
      </c>
      <c r="O9" s="129">
        <f t="shared" si="0"/>
        <v>-2387</v>
      </c>
      <c r="P9" s="128">
        <f t="shared" si="1"/>
        <v>-2628</v>
      </c>
      <c r="Q9" s="129">
        <f t="shared" si="2"/>
        <v>241</v>
      </c>
    </row>
    <row r="10" spans="1:19" x14ac:dyDescent="0.2">
      <c r="A10" s="131" t="s">
        <v>323</v>
      </c>
      <c r="B10" s="763"/>
      <c r="C10" s="1001">
        <f>-DataBase!C98</f>
        <v>0</v>
      </c>
      <c r="D10" s="1001">
        <f>-DataBase!D98</f>
        <v>0</v>
      </c>
      <c r="E10" s="1001">
        <f>-DataBase!E98</f>
        <v>1100</v>
      </c>
      <c r="F10" s="1001">
        <f>-DataBase!F98</f>
        <v>-402</v>
      </c>
      <c r="G10" s="1001">
        <f>-DataBase!G98</f>
        <v>0</v>
      </c>
      <c r="H10" s="1001">
        <f>-DataBase!H98</f>
        <v>753</v>
      </c>
      <c r="I10" s="1001">
        <f>-DataBase!I98</f>
        <v>1003</v>
      </c>
      <c r="J10" s="1001">
        <f>-DataBase!J98</f>
        <v>0</v>
      </c>
      <c r="K10" s="1001">
        <f>-DataBase!K98</f>
        <v>0</v>
      </c>
      <c r="L10" s="1001">
        <f>-DataBase!L98</f>
        <v>0</v>
      </c>
      <c r="M10" s="1001">
        <f>-DataBase!M98</f>
        <v>0</v>
      </c>
      <c r="N10" s="1001">
        <f>-DataBase!N98</f>
        <v>0</v>
      </c>
      <c r="O10" s="129">
        <f t="shared" si="0"/>
        <v>2454</v>
      </c>
      <c r="P10" s="128">
        <f t="shared" si="1"/>
        <v>2454</v>
      </c>
      <c r="Q10" s="129">
        <f t="shared" si="2"/>
        <v>0</v>
      </c>
    </row>
    <row r="11" spans="1:19" x14ac:dyDescent="0.2">
      <c r="A11" s="131" t="s">
        <v>234</v>
      </c>
      <c r="B11" s="763"/>
      <c r="C11" s="1001">
        <f>-DataBase!C99-DataBase!C100</f>
        <v>0</v>
      </c>
      <c r="D11" s="1001">
        <f>-DataBase!D99-DataBase!D100</f>
        <v>0</v>
      </c>
      <c r="E11" s="1001">
        <f>-DataBase!E99-DataBase!E100</f>
        <v>950</v>
      </c>
      <c r="F11" s="1001">
        <f>-DataBase!F99-DataBase!F100</f>
        <v>0</v>
      </c>
      <c r="G11" s="1001">
        <f>-DataBase!G99-DataBase!G100</f>
        <v>0</v>
      </c>
      <c r="H11" s="1001">
        <f>-DataBase!H99-DataBase!H100</f>
        <v>0</v>
      </c>
      <c r="I11" s="1001">
        <f>-DataBase!I99-DataBase!I100</f>
        <v>0</v>
      </c>
      <c r="J11" s="1001">
        <f>-DataBase!J99-DataBase!J100</f>
        <v>0</v>
      </c>
      <c r="K11" s="1001">
        <f>-DataBase!K99-DataBase!K100</f>
        <v>0</v>
      </c>
      <c r="L11" s="1001">
        <f>-DataBase!L99-DataBase!L100</f>
        <v>0</v>
      </c>
      <c r="M11" s="1001">
        <f>-DataBase!M99-DataBase!M100</f>
        <v>0</v>
      </c>
      <c r="N11" s="1001">
        <f>-DataBase!N99-DataBase!N100</f>
        <v>0</v>
      </c>
      <c r="O11" s="129">
        <f t="shared" si="0"/>
        <v>950</v>
      </c>
      <c r="P11" s="128">
        <f t="shared" si="1"/>
        <v>950</v>
      </c>
      <c r="Q11" s="129">
        <f t="shared" si="2"/>
        <v>0</v>
      </c>
    </row>
    <row r="12" spans="1:19" x14ac:dyDescent="0.2">
      <c r="A12" s="131" t="s">
        <v>919</v>
      </c>
      <c r="B12" s="786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5" customHeight="1" x14ac:dyDescent="0.2">
      <c r="B13" s="785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">
      <c r="A14" s="386" t="s">
        <v>168</v>
      </c>
      <c r="B14" s="124"/>
      <c r="C14" s="132">
        <f t="shared" ref="C14:Q14" si="3">ROUND(SUM(C7:C12),0)</f>
        <v>-4888</v>
      </c>
      <c r="D14" s="132">
        <f t="shared" si="3"/>
        <v>-4666</v>
      </c>
      <c r="E14" s="132">
        <f t="shared" si="3"/>
        <v>-1896</v>
      </c>
      <c r="F14" s="132">
        <f t="shared" si="3"/>
        <v>10663</v>
      </c>
      <c r="G14" s="132">
        <f t="shared" si="3"/>
        <v>-327</v>
      </c>
      <c r="H14" s="132">
        <f t="shared" si="3"/>
        <v>372</v>
      </c>
      <c r="I14" s="132">
        <f t="shared" si="3"/>
        <v>1196</v>
      </c>
      <c r="J14" s="132">
        <f t="shared" si="3"/>
        <v>506</v>
      </c>
      <c r="K14" s="132">
        <f t="shared" si="3"/>
        <v>-2952</v>
      </c>
      <c r="L14" s="132">
        <f t="shared" si="3"/>
        <v>-2747</v>
      </c>
      <c r="M14" s="132">
        <f t="shared" si="3"/>
        <v>-2825</v>
      </c>
      <c r="N14" s="132">
        <f t="shared" si="3"/>
        <v>-2576</v>
      </c>
      <c r="O14" s="132">
        <f t="shared" si="3"/>
        <v>-10140</v>
      </c>
      <c r="P14" s="132">
        <f t="shared" si="3"/>
        <v>960</v>
      </c>
      <c r="Q14" s="132">
        <f t="shared" si="3"/>
        <v>-11100</v>
      </c>
      <c r="R14" s="126"/>
    </row>
    <row r="15" spans="1:19" x14ac:dyDescent="0.2">
      <c r="A15" s="127"/>
      <c r="B15" s="786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">
      <c r="A16" s="565" t="s">
        <v>171</v>
      </c>
      <c r="B16" s="78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">
      <c r="A17" s="131" t="s">
        <v>176</v>
      </c>
      <c r="B17" s="785"/>
      <c r="C17" s="1001">
        <f>-DataBase!C212</f>
        <v>949</v>
      </c>
      <c r="D17" s="1001">
        <f>-DataBase!D212</f>
        <v>950</v>
      </c>
      <c r="E17" s="1001">
        <f>-DataBase!E212</f>
        <v>924</v>
      </c>
      <c r="F17" s="1001">
        <f>-DataBase!F212</f>
        <v>972</v>
      </c>
      <c r="G17" s="1001">
        <f>-DataBase!G212</f>
        <v>928</v>
      </c>
      <c r="H17" s="1001">
        <f>-DataBase!H212</f>
        <v>1037</v>
      </c>
      <c r="I17" s="1001">
        <f>-DataBase!I212</f>
        <v>977</v>
      </c>
      <c r="J17" s="1001">
        <f>-DataBase!J212</f>
        <v>977</v>
      </c>
      <c r="K17" s="1001">
        <f>-DataBase!K212</f>
        <v>1028</v>
      </c>
      <c r="L17" s="1001">
        <f>-DataBase!L212</f>
        <v>1129</v>
      </c>
      <c r="M17" s="1001">
        <f>-DataBase!M212</f>
        <v>1227</v>
      </c>
      <c r="N17" s="1001">
        <f>-DataBase!N212</f>
        <v>1278</v>
      </c>
      <c r="O17" s="129">
        <f t="shared" ref="O17:O24" si="4">SUM(C17:N17)</f>
        <v>12376</v>
      </c>
      <c r="P17" s="128">
        <f t="shared" ref="P17:P27" si="5">SUM(C17:J17)</f>
        <v>7714</v>
      </c>
      <c r="Q17" s="129">
        <f t="shared" ref="Q17:Q24" si="6">O17-P17</f>
        <v>4662</v>
      </c>
    </row>
    <row r="18" spans="1:20" x14ac:dyDescent="0.2">
      <c r="A18" s="131" t="s">
        <v>175</v>
      </c>
      <c r="B18" s="848" t="s">
        <v>283</v>
      </c>
      <c r="C18" s="1001">
        <f>-DataBase!C213</f>
        <v>11</v>
      </c>
      <c r="D18" s="1001">
        <f>-DataBase!D213</f>
        <v>10</v>
      </c>
      <c r="E18" s="1001">
        <f>-DataBase!E213</f>
        <v>11</v>
      </c>
      <c r="F18" s="1001">
        <f>-DataBase!F213</f>
        <v>10</v>
      </c>
      <c r="G18" s="1001">
        <f>-DataBase!G213</f>
        <v>11</v>
      </c>
      <c r="H18" s="1001">
        <f>-DataBase!H213</f>
        <v>11</v>
      </c>
      <c r="I18" s="1001">
        <f>-DataBase!I213</f>
        <v>10</v>
      </c>
      <c r="J18" s="1001">
        <f>-DataBase!J213</f>
        <v>11</v>
      </c>
      <c r="K18" s="1001">
        <f>-DataBase!K213</f>
        <v>11</v>
      </c>
      <c r="L18" s="1001">
        <f>-DataBase!L213</f>
        <v>10</v>
      </c>
      <c r="M18" s="1001">
        <f>-DataBase!M213</f>
        <v>11</v>
      </c>
      <c r="N18" s="1001">
        <f>-DataBase!N213</f>
        <v>10</v>
      </c>
      <c r="O18" s="129">
        <f t="shared" si="4"/>
        <v>127</v>
      </c>
      <c r="P18" s="128">
        <f t="shared" si="5"/>
        <v>85</v>
      </c>
      <c r="Q18" s="129">
        <f t="shared" si="6"/>
        <v>42</v>
      </c>
    </row>
    <row r="19" spans="1:20" x14ac:dyDescent="0.2">
      <c r="A19" s="131" t="s">
        <v>174</v>
      </c>
      <c r="B19" s="850" t="s">
        <v>287</v>
      </c>
      <c r="C19" s="1001">
        <f>-DataBase!C214</f>
        <v>50</v>
      </c>
      <c r="D19" s="1001">
        <f>-DataBase!D214</f>
        <v>50</v>
      </c>
      <c r="E19" s="1001">
        <f>-DataBase!E214</f>
        <v>50</v>
      </c>
      <c r="F19" s="1001">
        <f>-DataBase!F214</f>
        <v>50</v>
      </c>
      <c r="G19" s="1001">
        <f>-DataBase!G214</f>
        <v>50</v>
      </c>
      <c r="H19" s="1001">
        <f>-DataBase!H214</f>
        <v>50</v>
      </c>
      <c r="I19" s="1001">
        <f>-DataBase!I214</f>
        <v>50</v>
      </c>
      <c r="J19" s="1001">
        <f>-DataBase!J214</f>
        <v>50</v>
      </c>
      <c r="K19" s="1001">
        <f>-DataBase!K214</f>
        <v>50</v>
      </c>
      <c r="L19" s="1001">
        <f>-DataBase!L214</f>
        <v>50</v>
      </c>
      <c r="M19" s="1001">
        <f>-DataBase!M214</f>
        <v>50</v>
      </c>
      <c r="N19" s="1001">
        <f>-DataBase!N214</f>
        <v>50</v>
      </c>
      <c r="O19" s="129">
        <f t="shared" si="4"/>
        <v>600</v>
      </c>
      <c r="P19" s="128">
        <f t="shared" si="5"/>
        <v>400</v>
      </c>
      <c r="Q19" s="129">
        <f t="shared" si="6"/>
        <v>200</v>
      </c>
    </row>
    <row r="20" spans="1:20" x14ac:dyDescent="0.2">
      <c r="A20" s="131" t="s">
        <v>173</v>
      </c>
      <c r="B20" s="850" t="s">
        <v>287</v>
      </c>
      <c r="C20" s="1001">
        <f>-DataBase!C215</f>
        <v>17</v>
      </c>
      <c r="D20" s="1001">
        <f>-DataBase!D215</f>
        <v>-17</v>
      </c>
      <c r="E20" s="1001">
        <f>-DataBase!E215</f>
        <v>52</v>
      </c>
      <c r="F20" s="1001">
        <f>-DataBase!F215</f>
        <v>17</v>
      </c>
      <c r="G20" s="1001">
        <f>-DataBase!G215</f>
        <v>17</v>
      </c>
      <c r="H20" s="1001">
        <f>-DataBase!H215</f>
        <v>18</v>
      </c>
      <c r="I20" s="1001">
        <f>-DataBase!I215</f>
        <v>17</v>
      </c>
      <c r="J20" s="1001">
        <f>-DataBase!J215</f>
        <v>18</v>
      </c>
      <c r="K20" s="1001">
        <f>-DataBase!K215</f>
        <v>17</v>
      </c>
      <c r="L20" s="1001">
        <f>-DataBase!L215</f>
        <v>17</v>
      </c>
      <c r="M20" s="1001">
        <f>-DataBase!M215</f>
        <v>18</v>
      </c>
      <c r="N20" s="1001">
        <f>-DataBase!N215</f>
        <v>18</v>
      </c>
      <c r="O20" s="129">
        <f t="shared" si="4"/>
        <v>209</v>
      </c>
      <c r="P20" s="128">
        <f t="shared" si="5"/>
        <v>139</v>
      </c>
      <c r="Q20" s="129">
        <f t="shared" si="6"/>
        <v>70</v>
      </c>
    </row>
    <row r="21" spans="1:20" x14ac:dyDescent="0.2">
      <c r="A21" s="548" t="s">
        <v>172</v>
      </c>
      <c r="B21" s="785"/>
      <c r="C21" s="1001">
        <f>-DataBase!C216</f>
        <v>0</v>
      </c>
      <c r="D21" s="1001">
        <f>-DataBase!D216</f>
        <v>0</v>
      </c>
      <c r="E21" s="1001">
        <f>-DataBase!E216</f>
        <v>0</v>
      </c>
      <c r="F21" s="1001">
        <f>-DataBase!F216</f>
        <v>0</v>
      </c>
      <c r="G21" s="1001">
        <f>-DataBase!G216</f>
        <v>0</v>
      </c>
      <c r="H21" s="1001">
        <f>-DataBase!H216</f>
        <v>0</v>
      </c>
      <c r="I21" s="1001">
        <f>-DataBase!I216</f>
        <v>0</v>
      </c>
      <c r="J21" s="1001">
        <f>-DataBase!J216</f>
        <v>0</v>
      </c>
      <c r="K21" s="1001">
        <f>-DataBase!K216</f>
        <v>0</v>
      </c>
      <c r="L21" s="1001">
        <f>-DataBase!L216</f>
        <v>0</v>
      </c>
      <c r="M21" s="1001">
        <f>-DataBase!M216</f>
        <v>0</v>
      </c>
      <c r="N21" s="1001">
        <f>-DataBase!N216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">
      <c r="A22" s="548" t="s">
        <v>172</v>
      </c>
      <c r="B22" s="785"/>
      <c r="C22" s="1001">
        <f>-DataBase!C217</f>
        <v>0</v>
      </c>
      <c r="D22" s="1001">
        <f>-DataBase!D217</f>
        <v>0</v>
      </c>
      <c r="E22" s="1001">
        <f>-DataBase!E217</f>
        <v>0</v>
      </c>
      <c r="F22" s="1001">
        <f>-DataBase!F217</f>
        <v>0</v>
      </c>
      <c r="G22" s="1001">
        <f>-DataBase!G217</f>
        <v>0</v>
      </c>
      <c r="H22" s="1001">
        <f>-DataBase!H217</f>
        <v>0</v>
      </c>
      <c r="I22" s="1001">
        <f>-DataBase!I217</f>
        <v>0</v>
      </c>
      <c r="J22" s="1001">
        <f>-DataBase!J217</f>
        <v>0</v>
      </c>
      <c r="K22" s="1001">
        <f>-DataBase!K217</f>
        <v>0</v>
      </c>
      <c r="L22" s="1001">
        <f>-DataBase!L217</f>
        <v>0</v>
      </c>
      <c r="M22" s="1001">
        <f>-DataBase!M217</f>
        <v>0</v>
      </c>
      <c r="N22" s="1001">
        <f>-DataBase!N217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">
      <c r="A23" s="131" t="s">
        <v>177</v>
      </c>
      <c r="B23" s="785"/>
      <c r="C23" s="1001">
        <f>-DataBase!C218</f>
        <v>94</v>
      </c>
      <c r="D23" s="1001">
        <f>-DataBase!D218</f>
        <v>94</v>
      </c>
      <c r="E23" s="1001">
        <f>-DataBase!E218</f>
        <v>94</v>
      </c>
      <c r="F23" s="1001">
        <f>-DataBase!F218</f>
        <v>94</v>
      </c>
      <c r="G23" s="1001">
        <f>-DataBase!G218</f>
        <v>94</v>
      </c>
      <c r="H23" s="1001">
        <f>-DataBase!H218</f>
        <v>94</v>
      </c>
      <c r="I23" s="1001">
        <f>-DataBase!I218</f>
        <v>94</v>
      </c>
      <c r="J23" s="1001">
        <f>-DataBase!J218</f>
        <v>94</v>
      </c>
      <c r="K23" s="1001">
        <f>-DataBase!K218</f>
        <v>94</v>
      </c>
      <c r="L23" s="1001">
        <f>-DataBase!L218</f>
        <v>94</v>
      </c>
      <c r="M23" s="1001">
        <f>-DataBase!M218</f>
        <v>94</v>
      </c>
      <c r="N23" s="1001">
        <f>-DataBase!N218</f>
        <v>94</v>
      </c>
      <c r="O23" s="129">
        <f t="shared" si="4"/>
        <v>1128</v>
      </c>
      <c r="P23" s="128">
        <f t="shared" si="5"/>
        <v>752</v>
      </c>
      <c r="Q23" s="129">
        <f t="shared" si="6"/>
        <v>376</v>
      </c>
    </row>
    <row r="24" spans="1:20" x14ac:dyDescent="0.2">
      <c r="A24" s="131" t="s">
        <v>178</v>
      </c>
      <c r="B24" s="785"/>
      <c r="C24" s="1001">
        <f>-DataBase!C219</f>
        <v>500</v>
      </c>
      <c r="D24" s="1001">
        <f>-DataBase!D219</f>
        <v>500</v>
      </c>
      <c r="E24" s="1001">
        <f>-DataBase!E219</f>
        <v>500</v>
      </c>
      <c r="F24" s="1001">
        <f>-DataBase!F219</f>
        <v>500</v>
      </c>
      <c r="G24" s="1001">
        <f>-DataBase!G219</f>
        <v>500</v>
      </c>
      <c r="H24" s="1001">
        <f>-DataBase!H219</f>
        <v>500</v>
      </c>
      <c r="I24" s="1001">
        <f>-DataBase!I219</f>
        <v>500</v>
      </c>
      <c r="J24" s="1001">
        <f>-DataBase!J219</f>
        <v>500</v>
      </c>
      <c r="K24" s="1001">
        <f>-DataBase!K219</f>
        <v>500</v>
      </c>
      <c r="L24" s="1001">
        <f>-DataBase!L219</f>
        <v>500</v>
      </c>
      <c r="M24" s="1001">
        <f>-DataBase!M219</f>
        <v>500</v>
      </c>
      <c r="N24" s="1001">
        <f>-DataBase!N219</f>
        <v>500</v>
      </c>
      <c r="O24" s="129">
        <f t="shared" si="4"/>
        <v>6000</v>
      </c>
      <c r="P24" s="128">
        <f t="shared" si="5"/>
        <v>4000</v>
      </c>
      <c r="Q24" s="129">
        <f t="shared" si="6"/>
        <v>2000</v>
      </c>
    </row>
    <row r="25" spans="1:20" x14ac:dyDescent="0.2">
      <c r="A25" s="548" t="s">
        <v>172</v>
      </c>
      <c r="B25" s="785"/>
      <c r="C25" s="1001">
        <f>-DataBase!C220</f>
        <v>0</v>
      </c>
      <c r="D25" s="1001">
        <f>-DataBase!D220</f>
        <v>0</v>
      </c>
      <c r="E25" s="1001">
        <f>-DataBase!E220</f>
        <v>0</v>
      </c>
      <c r="F25" s="1001">
        <f>-DataBase!F220</f>
        <v>0</v>
      </c>
      <c r="G25" s="1001">
        <f>-DataBase!G220</f>
        <v>0</v>
      </c>
      <c r="H25" s="1001">
        <f>-DataBase!H220</f>
        <v>0</v>
      </c>
      <c r="I25" s="1001">
        <f>-DataBase!I220</f>
        <v>0</v>
      </c>
      <c r="J25" s="1001">
        <f>-DataBase!J220</f>
        <v>0</v>
      </c>
      <c r="K25" s="1001">
        <f>-DataBase!K220</f>
        <v>0</v>
      </c>
      <c r="L25" s="1001">
        <f>-DataBase!L220</f>
        <v>0</v>
      </c>
      <c r="M25" s="1001">
        <f>-DataBase!M220</f>
        <v>0</v>
      </c>
      <c r="N25" s="1001">
        <f>-DataBase!N220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">
      <c r="A26" s="548" t="s">
        <v>172</v>
      </c>
      <c r="B26" s="785"/>
      <c r="C26" s="1001">
        <f>-DataBase!C221</f>
        <v>0</v>
      </c>
      <c r="D26" s="1001">
        <f>-DataBase!D221</f>
        <v>0</v>
      </c>
      <c r="E26" s="1001">
        <f>-DataBase!E221</f>
        <v>0</v>
      </c>
      <c r="F26" s="1001">
        <f>-DataBase!F221</f>
        <v>0</v>
      </c>
      <c r="G26" s="1001">
        <f>-DataBase!G221</f>
        <v>0</v>
      </c>
      <c r="H26" s="1001">
        <f>-DataBase!H221</f>
        <v>0</v>
      </c>
      <c r="I26" s="1001">
        <f>-DataBase!I221</f>
        <v>0</v>
      </c>
      <c r="J26" s="1001">
        <f>-DataBase!J221</f>
        <v>0</v>
      </c>
      <c r="K26" s="1001">
        <f>-DataBase!K221</f>
        <v>0</v>
      </c>
      <c r="L26" s="1001">
        <f>-DataBase!L221</f>
        <v>0</v>
      </c>
      <c r="M26" s="1001">
        <f>-DataBase!M221</f>
        <v>0</v>
      </c>
      <c r="N26" s="1001">
        <f>-DataBase!N221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">
      <c r="A27" s="131" t="s">
        <v>919</v>
      </c>
      <c r="B27" s="785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5" customHeight="1" x14ac:dyDescent="0.2">
      <c r="A28"/>
      <c r="B28" s="785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">
      <c r="A29" s="565" t="s">
        <v>114</v>
      </c>
      <c r="B29" s="788"/>
      <c r="C29" s="132">
        <f t="shared" ref="C29:Q29" si="7">SUM(C17:C27)</f>
        <v>1621</v>
      </c>
      <c r="D29" s="132">
        <f t="shared" si="7"/>
        <v>1587</v>
      </c>
      <c r="E29" s="132">
        <f t="shared" si="7"/>
        <v>1631</v>
      </c>
      <c r="F29" s="132">
        <f t="shared" si="7"/>
        <v>1643</v>
      </c>
      <c r="G29" s="132">
        <f t="shared" si="7"/>
        <v>1600</v>
      </c>
      <c r="H29" s="132">
        <f t="shared" si="7"/>
        <v>1710</v>
      </c>
      <c r="I29" s="132">
        <f t="shared" si="7"/>
        <v>1648</v>
      </c>
      <c r="J29" s="132">
        <f t="shared" si="7"/>
        <v>1650</v>
      </c>
      <c r="K29" s="132">
        <f t="shared" si="7"/>
        <v>1700</v>
      </c>
      <c r="L29" s="132">
        <f t="shared" si="7"/>
        <v>1800</v>
      </c>
      <c r="M29" s="132">
        <f t="shared" si="7"/>
        <v>1900</v>
      </c>
      <c r="N29" s="132">
        <f t="shared" si="7"/>
        <v>1950</v>
      </c>
      <c r="O29" s="132">
        <f t="shared" si="7"/>
        <v>20440</v>
      </c>
      <c r="P29" s="132">
        <f t="shared" si="7"/>
        <v>13090</v>
      </c>
      <c r="Q29" s="132">
        <f t="shared" si="7"/>
        <v>7350</v>
      </c>
      <c r="R29" s="126"/>
      <c r="S29" s="126"/>
    </row>
    <row r="30" spans="1:20" x14ac:dyDescent="0.2">
      <c r="A30" s="383"/>
      <c r="B30" s="785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">
      <c r="A31" s="386" t="s">
        <v>183</v>
      </c>
      <c r="B31" s="785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">
      <c r="A32" s="131" t="s">
        <v>179</v>
      </c>
      <c r="B32" s="785"/>
      <c r="C32" s="862">
        <f>-DataBase!C226-SUM(C33:C34)</f>
        <v>722</v>
      </c>
      <c r="D32" s="862">
        <f>-DataBase!D226-SUM(D33:D34)</f>
        <v>722</v>
      </c>
      <c r="E32" s="862">
        <f>-DataBase!E226-SUM(E33:E34)</f>
        <v>722</v>
      </c>
      <c r="F32" s="862">
        <f>-DataBase!F226-SUM(F33:F34)</f>
        <v>722</v>
      </c>
      <c r="G32" s="862">
        <f>-DataBase!G226-SUM(G33:G34)</f>
        <v>722</v>
      </c>
      <c r="H32" s="862">
        <f>-DataBase!H226-SUM(H33:H34)</f>
        <v>722</v>
      </c>
      <c r="I32" s="862">
        <f>-DataBase!I226-SUM(I33:I34)</f>
        <v>722</v>
      </c>
      <c r="J32" s="862">
        <f>-DataBase!J226-SUM(J33:J34)</f>
        <v>722</v>
      </c>
      <c r="K32" s="862">
        <f>-DataBase!K226-SUM(K33:K34)</f>
        <v>722</v>
      </c>
      <c r="L32" s="862">
        <f>-DataBase!L226-SUM(L33:L34)</f>
        <v>722</v>
      </c>
      <c r="M32" s="862">
        <f>-DataBase!M226-SUM(M33:M34)</f>
        <v>722</v>
      </c>
      <c r="N32" s="862">
        <f>-DataBase!N226-SUM(N33:N34)</f>
        <v>722</v>
      </c>
      <c r="O32" s="129">
        <f t="shared" ref="O32:O49" si="8">SUM(C32:N32)</f>
        <v>8664</v>
      </c>
      <c r="P32" s="128">
        <f t="shared" ref="P32:P49" si="9">SUM(C32:J32)</f>
        <v>5776</v>
      </c>
      <c r="Q32" s="129">
        <f t="shared" ref="Q32:Q49" si="10">O32-P32</f>
        <v>2888</v>
      </c>
    </row>
    <row r="33" spans="1:17" x14ac:dyDescent="0.2">
      <c r="A33" s="548" t="s">
        <v>180</v>
      </c>
      <c r="B33" s="785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">
      <c r="A34" s="548" t="s">
        <v>172</v>
      </c>
      <c r="B34" s="785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">
      <c r="A35" s="131" t="s">
        <v>181</v>
      </c>
      <c r="B35" s="785"/>
      <c r="C35" s="1001">
        <f>-DataBase!C227</f>
        <v>96</v>
      </c>
      <c r="D35" s="1001">
        <f>-DataBase!D227</f>
        <v>96</v>
      </c>
      <c r="E35" s="1001">
        <f>-DataBase!E227</f>
        <v>96</v>
      </c>
      <c r="F35" s="1001">
        <f>-DataBase!F227</f>
        <v>96</v>
      </c>
      <c r="G35" s="1001">
        <f>-DataBase!G227</f>
        <v>96</v>
      </c>
      <c r="H35" s="1001">
        <f>-DataBase!H227</f>
        <v>96</v>
      </c>
      <c r="I35" s="1001">
        <f>-DataBase!I227</f>
        <v>96</v>
      </c>
      <c r="J35" s="1001">
        <f>-DataBase!J227</f>
        <v>96</v>
      </c>
      <c r="K35" s="1001">
        <f>-DataBase!K227</f>
        <v>96</v>
      </c>
      <c r="L35" s="1001">
        <f>-DataBase!L227</f>
        <v>96</v>
      </c>
      <c r="M35" s="1001">
        <f>-DataBase!M227</f>
        <v>96</v>
      </c>
      <c r="N35" s="1001">
        <f>-DataBase!N227</f>
        <v>96</v>
      </c>
      <c r="O35" s="129">
        <f t="shared" si="8"/>
        <v>1152</v>
      </c>
      <c r="P35" s="128">
        <f t="shared" si="9"/>
        <v>768</v>
      </c>
      <c r="Q35" s="129">
        <f t="shared" si="10"/>
        <v>384</v>
      </c>
    </row>
    <row r="36" spans="1:17" x14ac:dyDescent="0.2">
      <c r="A36" s="131" t="s">
        <v>310</v>
      </c>
      <c r="B36" s="785"/>
    </row>
    <row r="37" spans="1:17" x14ac:dyDescent="0.2">
      <c r="A37" s="548" t="s">
        <v>311</v>
      </c>
      <c r="B37" s="785"/>
      <c r="C37" s="1001">
        <f>-DataBase!C102</f>
        <v>14</v>
      </c>
      <c r="D37" s="1001">
        <f>-DataBase!D102</f>
        <v>28</v>
      </c>
      <c r="E37" s="1001">
        <f>-DataBase!E102</f>
        <v>6</v>
      </c>
      <c r="F37" s="1001">
        <f>-DataBase!F102</f>
        <v>6</v>
      </c>
      <c r="G37" s="1001">
        <f>-DataBase!G102</f>
        <v>6</v>
      </c>
      <c r="H37" s="1001">
        <f>-DataBase!H102</f>
        <v>6</v>
      </c>
      <c r="I37" s="1001">
        <f>-DataBase!I102</f>
        <v>5</v>
      </c>
      <c r="J37" s="1001">
        <f>-DataBase!J102</f>
        <v>4</v>
      </c>
      <c r="K37" s="1001">
        <f>-DataBase!K102</f>
        <v>6</v>
      </c>
      <c r="L37" s="1001">
        <f>-DataBase!L102</f>
        <v>5</v>
      </c>
      <c r="M37" s="1001">
        <f>-DataBase!M102</f>
        <v>4</v>
      </c>
      <c r="N37" s="1001">
        <f>-DataBase!N102</f>
        <v>5</v>
      </c>
      <c r="O37" s="129">
        <f>SUM(C37:N37)</f>
        <v>95</v>
      </c>
      <c r="P37" s="128">
        <f t="shared" si="9"/>
        <v>75</v>
      </c>
      <c r="Q37" s="129">
        <f>O37-P37</f>
        <v>20</v>
      </c>
    </row>
    <row r="38" spans="1:17" x14ac:dyDescent="0.2">
      <c r="A38" s="548" t="s">
        <v>312</v>
      </c>
      <c r="B38" s="785"/>
      <c r="C38" s="1001">
        <f>-DataBase!C146</f>
        <v>17</v>
      </c>
      <c r="D38" s="1001">
        <f>-DataBase!D146</f>
        <v>17</v>
      </c>
      <c r="E38" s="1001">
        <f>-DataBase!E146</f>
        <v>9</v>
      </c>
      <c r="F38" s="1001">
        <f>-DataBase!F146</f>
        <v>9</v>
      </c>
      <c r="G38" s="1001">
        <f>-DataBase!G146</f>
        <v>9</v>
      </c>
      <c r="H38" s="1001">
        <f>-DataBase!H146</f>
        <v>9</v>
      </c>
      <c r="I38" s="1001">
        <f>-DataBase!I146</f>
        <v>9</v>
      </c>
      <c r="J38" s="1001">
        <f>-DataBase!J146</f>
        <v>9</v>
      </c>
      <c r="K38" s="1001">
        <f>-DataBase!K146</f>
        <v>9</v>
      </c>
      <c r="L38" s="1001">
        <f>-DataBase!L146</f>
        <v>9</v>
      </c>
      <c r="M38" s="1001">
        <f>-DataBase!M146</f>
        <v>9</v>
      </c>
      <c r="N38" s="1001">
        <f>-DataBase!N146</f>
        <v>9</v>
      </c>
      <c r="O38" s="129">
        <f t="shared" si="8"/>
        <v>124</v>
      </c>
      <c r="P38" s="128">
        <f t="shared" si="9"/>
        <v>88</v>
      </c>
      <c r="Q38" s="129">
        <f t="shared" si="10"/>
        <v>36</v>
      </c>
    </row>
    <row r="39" spans="1:17" x14ac:dyDescent="0.2">
      <c r="A39" s="548" t="s">
        <v>313</v>
      </c>
      <c r="B39" s="785"/>
      <c r="C39" s="1001">
        <f>-DataBase!C174</f>
        <v>77</v>
      </c>
      <c r="D39" s="1001">
        <f>-DataBase!D174</f>
        <v>109</v>
      </c>
      <c r="E39" s="1001">
        <f>-DataBase!E174</f>
        <v>61</v>
      </c>
      <c r="F39" s="1001">
        <f>-DataBase!F174</f>
        <v>60</v>
      </c>
      <c r="G39" s="1001">
        <f>-DataBase!G174</f>
        <v>64</v>
      </c>
      <c r="H39" s="1001">
        <f>-DataBase!H174</f>
        <v>65</v>
      </c>
      <c r="I39" s="1001">
        <f>-DataBase!I174</f>
        <v>55</v>
      </c>
      <c r="J39" s="1001">
        <f>-DataBase!J174</f>
        <v>54</v>
      </c>
      <c r="K39" s="1001">
        <f>-DataBase!K174</f>
        <v>57</v>
      </c>
      <c r="L39" s="1001">
        <f>-DataBase!L174</f>
        <v>56</v>
      </c>
      <c r="M39" s="1001">
        <f>-DataBase!M174</f>
        <v>57</v>
      </c>
      <c r="N39" s="1001">
        <f>-DataBase!N174</f>
        <v>56</v>
      </c>
      <c r="O39" s="129">
        <f t="shared" si="8"/>
        <v>771</v>
      </c>
      <c r="P39" s="128">
        <f t="shared" si="9"/>
        <v>545</v>
      </c>
      <c r="Q39" s="129">
        <f t="shared" si="10"/>
        <v>226</v>
      </c>
    </row>
    <row r="40" spans="1:17" x14ac:dyDescent="0.2">
      <c r="A40" s="548" t="s">
        <v>314</v>
      </c>
      <c r="B40" s="785"/>
      <c r="C40" s="1001">
        <f>-DataBase!C231</f>
        <v>16</v>
      </c>
      <c r="D40" s="1001">
        <f>-DataBase!D231</f>
        <v>18</v>
      </c>
      <c r="E40" s="1001">
        <f>-DataBase!E231</f>
        <v>8</v>
      </c>
      <c r="F40" s="1001">
        <f>-DataBase!F231</f>
        <v>6</v>
      </c>
      <c r="G40" s="1001">
        <f>-DataBase!G231</f>
        <v>7</v>
      </c>
      <c r="H40" s="1001">
        <f>-DataBase!H231</f>
        <v>5</v>
      </c>
      <c r="I40" s="1001">
        <f>-DataBase!I231</f>
        <v>7</v>
      </c>
      <c r="J40" s="1001">
        <f>-DataBase!J231</f>
        <v>7</v>
      </c>
      <c r="K40" s="1001">
        <f>-DataBase!K231</f>
        <v>7</v>
      </c>
      <c r="L40" s="1001">
        <f>-DataBase!L231</f>
        <v>7</v>
      </c>
      <c r="M40" s="1001">
        <f>-DataBase!M231</f>
        <v>7</v>
      </c>
      <c r="N40" s="1001">
        <f>-DataBase!N231</f>
        <v>7</v>
      </c>
      <c r="O40" s="129">
        <f t="shared" si="8"/>
        <v>102</v>
      </c>
      <c r="P40" s="128">
        <f t="shared" si="9"/>
        <v>74</v>
      </c>
      <c r="Q40" s="129">
        <f t="shared" si="10"/>
        <v>28</v>
      </c>
    </row>
    <row r="41" spans="1:17" x14ac:dyDescent="0.2">
      <c r="A41" s="548" t="s">
        <v>319</v>
      </c>
      <c r="B41" s="785"/>
      <c r="C41" s="128">
        <v>0</v>
      </c>
      <c r="D41" s="862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">
      <c r="A42" s="865" t="s">
        <v>338</v>
      </c>
      <c r="B42" s="785"/>
      <c r="C42" s="1001">
        <f>-DataBase!C230</f>
        <v>-15</v>
      </c>
      <c r="D42" s="1001">
        <f>-DataBase!D230</f>
        <v>-36</v>
      </c>
      <c r="E42" s="1001">
        <f>-DataBase!E230</f>
        <v>-12</v>
      </c>
      <c r="F42" s="1001">
        <f>-DataBase!F230</f>
        <v>-11</v>
      </c>
      <c r="G42" s="1001">
        <f>-DataBase!G230</f>
        <v>-10</v>
      </c>
      <c r="H42" s="1001">
        <f>-DataBase!H230</f>
        <v>-22</v>
      </c>
      <c r="I42" s="1001">
        <f>-DataBase!I230</f>
        <v>-9</v>
      </c>
      <c r="J42" s="1001">
        <f>-DataBase!J230</f>
        <v>-13</v>
      </c>
      <c r="K42" s="1001">
        <f>-DataBase!K230</f>
        <v>0</v>
      </c>
      <c r="L42" s="1001">
        <f>-DataBase!L230</f>
        <v>0</v>
      </c>
      <c r="M42" s="1001">
        <f>-DataBase!M230</f>
        <v>0</v>
      </c>
      <c r="N42" s="1001">
        <f>-DataBase!N230</f>
        <v>0</v>
      </c>
      <c r="O42" s="129">
        <f>SUM(C42:N42)</f>
        <v>-128</v>
      </c>
      <c r="P42" s="128">
        <f t="shared" si="9"/>
        <v>-128</v>
      </c>
      <c r="Q42" s="129">
        <f>O42-P42</f>
        <v>0</v>
      </c>
    </row>
    <row r="43" spans="1:17" x14ac:dyDescent="0.2">
      <c r="A43" s="548" t="s">
        <v>315</v>
      </c>
      <c r="B43" s="785"/>
      <c r="C43" s="1001">
        <f>-DataBase!C281</f>
        <v>12</v>
      </c>
      <c r="D43" s="1001">
        <f>-DataBase!D281</f>
        <v>24</v>
      </c>
      <c r="E43" s="1001">
        <f>-DataBase!E281</f>
        <v>10</v>
      </c>
      <c r="F43" s="1001">
        <f>-DataBase!F281</f>
        <v>9</v>
      </c>
      <c r="G43" s="1001">
        <f>-DataBase!G281</f>
        <v>8</v>
      </c>
      <c r="H43" s="1001">
        <f>-DataBase!H281</f>
        <v>20</v>
      </c>
      <c r="I43" s="1001">
        <f>-DataBase!I281</f>
        <v>9</v>
      </c>
      <c r="J43" s="1001">
        <f>-DataBase!J281</f>
        <v>10</v>
      </c>
      <c r="K43" s="1001">
        <f>-DataBase!K281</f>
        <v>10</v>
      </c>
      <c r="L43" s="1001">
        <f>-DataBase!L281</f>
        <v>10</v>
      </c>
      <c r="M43" s="1001">
        <f>-DataBase!M281</f>
        <v>10</v>
      </c>
      <c r="N43" s="1001">
        <f>-DataBase!N281</f>
        <v>10</v>
      </c>
      <c r="O43" s="129">
        <f t="shared" si="8"/>
        <v>142</v>
      </c>
      <c r="P43" s="128">
        <f t="shared" si="9"/>
        <v>102</v>
      </c>
      <c r="Q43" s="129">
        <f t="shared" si="10"/>
        <v>40</v>
      </c>
    </row>
    <row r="44" spans="1:17" x14ac:dyDescent="0.2">
      <c r="A44" s="548" t="s">
        <v>316</v>
      </c>
      <c r="B44" s="785"/>
      <c r="C44" s="1001">
        <f>-DataBase!C296</f>
        <v>4</v>
      </c>
      <c r="D44" s="1001">
        <f>-DataBase!D296</f>
        <v>12</v>
      </c>
      <c r="E44" s="1001">
        <f>-DataBase!E296</f>
        <v>3</v>
      </c>
      <c r="F44" s="1001">
        <f>-DataBase!F296</f>
        <v>2</v>
      </c>
      <c r="G44" s="1001">
        <f>-DataBase!G296</f>
        <v>2</v>
      </c>
      <c r="H44" s="1001">
        <f>-DataBase!H296</f>
        <v>2</v>
      </c>
      <c r="I44" s="1001">
        <f>-DataBase!I296</f>
        <v>1</v>
      </c>
      <c r="J44" s="1001">
        <f>-DataBase!J296</f>
        <v>2</v>
      </c>
      <c r="K44" s="1001">
        <f>-DataBase!K296</f>
        <v>2</v>
      </c>
      <c r="L44" s="1001">
        <f>-DataBase!L296</f>
        <v>2</v>
      </c>
      <c r="M44" s="1001">
        <f>-DataBase!M296</f>
        <v>2</v>
      </c>
      <c r="N44" s="1001">
        <f>-DataBase!N296</f>
        <v>2</v>
      </c>
      <c r="O44" s="129">
        <f t="shared" si="8"/>
        <v>36</v>
      </c>
      <c r="P44" s="128">
        <f t="shared" si="9"/>
        <v>28</v>
      </c>
      <c r="Q44" s="129">
        <f t="shared" si="10"/>
        <v>8</v>
      </c>
    </row>
    <row r="45" spans="1:17" x14ac:dyDescent="0.2">
      <c r="A45" s="548" t="s">
        <v>317</v>
      </c>
      <c r="B45" s="785"/>
      <c r="C45" s="1001">
        <f>-DataBase!C310</f>
        <v>3</v>
      </c>
      <c r="D45" s="1001">
        <f>-DataBase!D310</f>
        <v>3</v>
      </c>
      <c r="E45" s="1001">
        <f>-DataBase!E310</f>
        <v>2</v>
      </c>
      <c r="F45" s="1001">
        <f>-DataBase!F310</f>
        <v>1</v>
      </c>
      <c r="G45" s="1001">
        <f>-DataBase!G310</f>
        <v>1</v>
      </c>
      <c r="H45" s="1001">
        <f>-DataBase!H310</f>
        <v>1</v>
      </c>
      <c r="I45" s="1001">
        <f>-DataBase!I310</f>
        <v>1</v>
      </c>
      <c r="J45" s="1001">
        <f>-DataBase!J310</f>
        <v>1</v>
      </c>
      <c r="K45" s="1001">
        <f>-DataBase!K310</f>
        <v>1</v>
      </c>
      <c r="L45" s="1001">
        <f>-DataBase!L310</f>
        <v>1</v>
      </c>
      <c r="M45" s="1001">
        <f>-DataBase!M310</f>
        <v>1</v>
      </c>
      <c r="N45" s="1001">
        <f>-DataBase!N310</f>
        <v>1</v>
      </c>
      <c r="O45" s="129">
        <f t="shared" si="8"/>
        <v>17</v>
      </c>
      <c r="P45" s="128">
        <f t="shared" si="9"/>
        <v>13</v>
      </c>
      <c r="Q45" s="129">
        <f t="shared" si="10"/>
        <v>4</v>
      </c>
    </row>
    <row r="46" spans="1:17" x14ac:dyDescent="0.2">
      <c r="A46" s="548" t="s">
        <v>318</v>
      </c>
      <c r="B46" s="785"/>
      <c r="C46" s="1001">
        <f>-DataBase!C327</f>
        <v>2</v>
      </c>
      <c r="D46" s="1001">
        <f>-DataBase!D327</f>
        <v>3</v>
      </c>
      <c r="E46" s="1001">
        <f>-DataBase!E327</f>
        <v>3</v>
      </c>
      <c r="F46" s="1001">
        <f>-DataBase!F327</f>
        <v>2</v>
      </c>
      <c r="G46" s="1001">
        <f>-DataBase!G327</f>
        <v>2</v>
      </c>
      <c r="H46" s="1001">
        <f>-DataBase!H327</f>
        <v>2</v>
      </c>
      <c r="I46" s="1001">
        <f>-DataBase!I327</f>
        <v>2</v>
      </c>
      <c r="J46" s="1001">
        <f>-DataBase!J327</f>
        <v>2</v>
      </c>
      <c r="K46" s="1001">
        <f>-DataBase!K327</f>
        <v>2</v>
      </c>
      <c r="L46" s="1001">
        <f>-DataBase!L327</f>
        <v>2</v>
      </c>
      <c r="M46" s="1001">
        <f>-DataBase!M327</f>
        <v>2</v>
      </c>
      <c r="N46" s="1001">
        <f>-DataBase!N327</f>
        <v>2</v>
      </c>
      <c r="O46" s="129">
        <f t="shared" si="8"/>
        <v>26</v>
      </c>
      <c r="P46" s="128">
        <f t="shared" si="9"/>
        <v>18</v>
      </c>
      <c r="Q46" s="129">
        <f t="shared" si="10"/>
        <v>8</v>
      </c>
    </row>
    <row r="47" spans="1:17" x14ac:dyDescent="0.2">
      <c r="A47" s="131" t="s">
        <v>182</v>
      </c>
      <c r="B47" s="785"/>
      <c r="C47" s="1001">
        <f>-DataBase!C228</f>
        <v>7</v>
      </c>
      <c r="D47" s="1001">
        <f>-DataBase!D228</f>
        <v>11</v>
      </c>
      <c r="E47" s="1001">
        <f>-DataBase!E228</f>
        <v>7</v>
      </c>
      <c r="F47" s="1001">
        <f>-DataBase!F228</f>
        <v>7</v>
      </c>
      <c r="G47" s="1001">
        <f>-DataBase!G228</f>
        <v>7</v>
      </c>
      <c r="H47" s="1001">
        <f>-DataBase!H228</f>
        <v>7</v>
      </c>
      <c r="I47" s="1001">
        <f>-DataBase!I228</f>
        <v>7</v>
      </c>
      <c r="J47" s="1001">
        <f>-DataBase!J228</f>
        <v>7</v>
      </c>
      <c r="K47" s="1001">
        <f>-DataBase!K228</f>
        <v>7</v>
      </c>
      <c r="L47" s="1001">
        <f>-DataBase!L228</f>
        <v>7</v>
      </c>
      <c r="M47" s="1001">
        <f>-DataBase!M228</f>
        <v>7</v>
      </c>
      <c r="N47" s="1001">
        <f>-DataBase!N228</f>
        <v>7</v>
      </c>
      <c r="O47" s="129">
        <f t="shared" si="8"/>
        <v>88</v>
      </c>
      <c r="P47" s="128">
        <f t="shared" si="9"/>
        <v>60</v>
      </c>
      <c r="Q47" s="129">
        <f t="shared" si="10"/>
        <v>28</v>
      </c>
    </row>
    <row r="48" spans="1:17" x14ac:dyDescent="0.2">
      <c r="A48" s="131" t="s">
        <v>918</v>
      </c>
      <c r="B48" s="785"/>
      <c r="C48" s="1001">
        <f>-DataBase!C229</f>
        <v>1</v>
      </c>
      <c r="D48" s="1001">
        <f>-DataBase!D229</f>
        <v>0</v>
      </c>
      <c r="E48" s="1001">
        <f>-DataBase!E229</f>
        <v>-1</v>
      </c>
      <c r="F48" s="1001">
        <f>-DataBase!F229</f>
        <v>0</v>
      </c>
      <c r="G48" s="1001">
        <f>-DataBase!G229</f>
        <v>-1</v>
      </c>
      <c r="H48" s="1001">
        <f>-DataBase!H229</f>
        <v>4</v>
      </c>
      <c r="I48" s="1001">
        <f>-DataBase!I229</f>
        <v>0</v>
      </c>
      <c r="J48" s="1001">
        <f>-DataBase!J229</f>
        <v>0</v>
      </c>
      <c r="K48" s="1001">
        <f>-DataBase!K229</f>
        <v>0</v>
      </c>
      <c r="L48" s="1001">
        <f>-DataBase!L229</f>
        <v>0</v>
      </c>
      <c r="M48" s="1001">
        <f>-DataBase!M229</f>
        <v>0</v>
      </c>
      <c r="N48" s="1001">
        <f>-DataBase!N229</f>
        <v>0</v>
      </c>
      <c r="O48" s="129">
        <f t="shared" si="8"/>
        <v>3</v>
      </c>
      <c r="P48" s="128">
        <f t="shared" si="9"/>
        <v>3</v>
      </c>
      <c r="Q48" s="129">
        <f t="shared" si="10"/>
        <v>0</v>
      </c>
    </row>
    <row r="49" spans="1:22" x14ac:dyDescent="0.2">
      <c r="A49" s="131" t="s">
        <v>919</v>
      </c>
      <c r="B49" s="785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5" customHeight="1" x14ac:dyDescent="0.2">
      <c r="A50" s="127"/>
      <c r="B50" s="785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">
      <c r="A51" s="386" t="s">
        <v>115</v>
      </c>
      <c r="B51" s="789"/>
      <c r="C51" s="132">
        <f t="shared" ref="C51:Q51" si="11">SUM(C32:C49)</f>
        <v>956</v>
      </c>
      <c r="D51" s="132">
        <f t="shared" si="11"/>
        <v>1007</v>
      </c>
      <c r="E51" s="132">
        <f t="shared" si="11"/>
        <v>914</v>
      </c>
      <c r="F51" s="132">
        <f t="shared" si="11"/>
        <v>909</v>
      </c>
      <c r="G51" s="132">
        <f t="shared" si="11"/>
        <v>913</v>
      </c>
      <c r="H51" s="132">
        <f t="shared" si="11"/>
        <v>917</v>
      </c>
      <c r="I51" s="132">
        <f t="shared" si="11"/>
        <v>905</v>
      </c>
      <c r="J51" s="132">
        <f t="shared" si="11"/>
        <v>901</v>
      </c>
      <c r="K51" s="132">
        <f t="shared" si="11"/>
        <v>919</v>
      </c>
      <c r="L51" s="132">
        <f t="shared" si="11"/>
        <v>917</v>
      </c>
      <c r="M51" s="132">
        <f t="shared" si="11"/>
        <v>917</v>
      </c>
      <c r="N51" s="132">
        <f t="shared" si="11"/>
        <v>917</v>
      </c>
      <c r="O51" s="132">
        <f t="shared" si="11"/>
        <v>11092</v>
      </c>
      <c r="P51" s="132">
        <f t="shared" si="11"/>
        <v>7422</v>
      </c>
      <c r="Q51" s="132">
        <f t="shared" si="11"/>
        <v>3670</v>
      </c>
      <c r="R51" s="126"/>
      <c r="S51" s="126"/>
      <c r="T51" s="126"/>
      <c r="U51" s="126"/>
      <c r="V51" s="126"/>
    </row>
    <row r="52" spans="1:22" ht="8.1" customHeight="1" x14ac:dyDescent="0.2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">
      <c r="A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9"/>
    </row>
    <row r="54" spans="1:22" x14ac:dyDescent="0.2">
      <c r="C54" s="123">
        <v>956</v>
      </c>
      <c r="D54" s="123">
        <v>1007</v>
      </c>
      <c r="E54" s="123">
        <v>914</v>
      </c>
      <c r="F54" s="123">
        <v>909</v>
      </c>
      <c r="G54" s="123">
        <v>913</v>
      </c>
      <c r="H54" s="123">
        <v>917</v>
      </c>
    </row>
    <row r="61" spans="1:22" x14ac:dyDescent="0.2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8"/>
  <sheetViews>
    <sheetView showGridLines="0" workbookViewId="0">
      <pane xSplit="2" ySplit="4" topLeftCell="I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J7" sqref="J7"/>
    </sheetView>
  </sheetViews>
  <sheetFormatPr defaultColWidth="10.7109375" defaultRowHeight="12.75" x14ac:dyDescent="0.2"/>
  <cols>
    <col min="1" max="1" width="45.7109375" style="136" customWidth="1"/>
    <col min="2" max="2" width="8.7109375" style="790" customWidth="1"/>
    <col min="3" max="14" width="8.7109375" style="136" customWidth="1"/>
    <col min="15" max="17" width="9.7109375" style="136" customWidth="1"/>
    <col min="18" max="16384" width="10.7109375" style="136"/>
  </cols>
  <sheetData>
    <row r="1" spans="1:18" x14ac:dyDescent="0.2">
      <c r="A1" s="551" t="str">
        <f ca="1">CELL("FILENAME")</f>
        <v>P:\Finance\2001CE\[TW3rdCEEM.XLS]DataBase</v>
      </c>
    </row>
    <row r="2" spans="1:18" x14ac:dyDescent="0.2">
      <c r="A2" s="388" t="s">
        <v>113</v>
      </c>
      <c r="C2" s="137" t="s">
        <v>905</v>
      </c>
      <c r="D2" s="137" t="s">
        <v>905</v>
      </c>
      <c r="E2" s="137" t="s">
        <v>905</v>
      </c>
      <c r="F2" s="137" t="s">
        <v>905</v>
      </c>
      <c r="G2" s="490"/>
      <c r="H2" s="137" t="s">
        <v>905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">
      <c r="A3" s="554" t="str">
        <f>IncomeState!A3</f>
        <v>2001 CURRENT ESTIMATE</v>
      </c>
      <c r="B3" s="791">
        <f ca="1">NOW()</f>
        <v>37154.402540162038</v>
      </c>
      <c r="C3" s="566" t="str">
        <f>DataBase!C2</f>
        <v>ACT.</v>
      </c>
      <c r="D3" s="566" t="str">
        <f>DataBase!D2</f>
        <v>ACT.</v>
      </c>
      <c r="E3" s="566" t="str">
        <f>DataBase!E2</f>
        <v>ACT.</v>
      </c>
      <c r="F3" s="566" t="str">
        <f>DataBase!F2</f>
        <v>ACT.</v>
      </c>
      <c r="G3" s="566" t="str">
        <f>DataBase!G2</f>
        <v>ACT.</v>
      </c>
      <c r="H3" s="566" t="str">
        <f>DataBase!H2</f>
        <v>ACT.</v>
      </c>
      <c r="I3" s="566" t="str">
        <f>DataBase!I2</f>
        <v>ACT.</v>
      </c>
      <c r="J3" s="566" t="str">
        <f>DataBase!J2</f>
        <v>ACT.</v>
      </c>
      <c r="K3" s="566" t="str">
        <f>DataBase!K2</f>
        <v>3rd CE</v>
      </c>
      <c r="L3" s="566" t="str">
        <f>DataBase!L2</f>
        <v>3rd CE</v>
      </c>
      <c r="M3" s="566" t="str">
        <f>DataBase!M2</f>
        <v>3rd CE</v>
      </c>
      <c r="N3" s="566" t="str">
        <f>DataBase!N2</f>
        <v>3rd CE</v>
      </c>
      <c r="O3" s="566" t="str">
        <f>DataBase!O2</f>
        <v>TOTAL</v>
      </c>
      <c r="P3" s="566" t="str">
        <f>IncomeState!P6</f>
        <v>AUGUST</v>
      </c>
      <c r="Q3" s="566" t="str">
        <f>IncomeState!Q6</f>
        <v>ESTIMATE</v>
      </c>
      <c r="R3" s="139"/>
    </row>
    <row r="4" spans="1:18" x14ac:dyDescent="0.2">
      <c r="A4" s="140"/>
      <c r="B4" s="792">
        <f ca="1">NOW()</f>
        <v>37154.402540162038</v>
      </c>
      <c r="C4" s="389" t="s">
        <v>906</v>
      </c>
      <c r="D4" s="389" t="s">
        <v>907</v>
      </c>
      <c r="E4" s="389" t="s">
        <v>908</v>
      </c>
      <c r="F4" s="389" t="s">
        <v>909</v>
      </c>
      <c r="G4" s="389" t="s">
        <v>910</v>
      </c>
      <c r="H4" s="389" t="s">
        <v>911</v>
      </c>
      <c r="I4" s="389" t="s">
        <v>912</v>
      </c>
      <c r="J4" s="389" t="s">
        <v>913</v>
      </c>
      <c r="K4" s="389" t="s">
        <v>914</v>
      </c>
      <c r="L4" s="389" t="s">
        <v>915</v>
      </c>
      <c r="M4" s="389" t="s">
        <v>916</v>
      </c>
      <c r="N4" s="389" t="s">
        <v>917</v>
      </c>
      <c r="O4" s="567">
        <f>IncomeState!O7</f>
        <v>2001</v>
      </c>
      <c r="P4" s="567" t="str">
        <f>IncomeState!P7</f>
        <v>Y-T-D</v>
      </c>
      <c r="Q4" s="567" t="str">
        <f>IncomeState!Q7</f>
        <v>R.M.</v>
      </c>
      <c r="R4" s="139"/>
    </row>
    <row r="5" spans="1:18" ht="3.95" customHeight="1" x14ac:dyDescent="0.2"/>
    <row r="6" spans="1:18" ht="12" customHeight="1" x14ac:dyDescent="0.2">
      <c r="A6" s="391" t="s">
        <v>184</v>
      </c>
    </row>
    <row r="7" spans="1:18" x14ac:dyDescent="0.2">
      <c r="A7" s="146" t="s">
        <v>920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SUM(C7:J7)</f>
        <v>0</v>
      </c>
      <c r="Q7" s="142">
        <f>(O7-P7)</f>
        <v>0</v>
      </c>
    </row>
    <row r="8" spans="1:18" x14ac:dyDescent="0.2">
      <c r="A8" s="146" t="s">
        <v>919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SUM(C8:J8)</f>
        <v>0</v>
      </c>
      <c r="Q8" s="143">
        <f>(O8-P8)</f>
        <v>0</v>
      </c>
    </row>
    <row r="9" spans="1:18" ht="3.95" customHeight="1" x14ac:dyDescent="0.2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">
      <c r="A10" s="387" t="s">
        <v>116</v>
      </c>
      <c r="B10" s="852" t="s">
        <v>287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">
      <c r="A11" s="144"/>
      <c r="O11" s="142"/>
    </row>
    <row r="12" spans="1:18" x14ac:dyDescent="0.2">
      <c r="A12" s="391" t="s">
        <v>185</v>
      </c>
    </row>
    <row r="13" spans="1:18" x14ac:dyDescent="0.2">
      <c r="A13" s="146" t="s">
        <v>38</v>
      </c>
      <c r="B13" s="794"/>
      <c r="C13" s="1003">
        <f>DataBase!C234</f>
        <v>0</v>
      </c>
      <c r="D13" s="1003">
        <f>DataBase!D234</f>
        <v>0</v>
      </c>
      <c r="E13" s="1003">
        <f>DataBase!E234</f>
        <v>0</v>
      </c>
      <c r="F13" s="1003">
        <f>DataBase!F234</f>
        <v>0</v>
      </c>
      <c r="G13" s="1003">
        <f>DataBase!G234</f>
        <v>0</v>
      </c>
      <c r="H13" s="1003">
        <f>DataBase!H234</f>
        <v>0</v>
      </c>
      <c r="I13" s="1003">
        <f>DataBase!I234</f>
        <v>0</v>
      </c>
      <c r="J13" s="1003">
        <f>DataBase!J234</f>
        <v>0</v>
      </c>
      <c r="K13" s="1003">
        <f>DataBase!K234</f>
        <v>0</v>
      </c>
      <c r="L13" s="1003">
        <f>DataBase!L234</f>
        <v>0</v>
      </c>
      <c r="M13" s="1003">
        <f>DataBase!M234</f>
        <v>0</v>
      </c>
      <c r="N13" s="1003">
        <f>DataBase!N234</f>
        <v>0</v>
      </c>
      <c r="O13" s="142">
        <f t="shared" ref="O13:O22" si="1">SUM(C13:N13)</f>
        <v>0</v>
      </c>
      <c r="P13" s="141">
        <f t="shared" ref="P13:P22" si="2">SUM(C13:J13)</f>
        <v>0</v>
      </c>
      <c r="Q13" s="142">
        <f>(O13-P13)</f>
        <v>0</v>
      </c>
      <c r="R13" s="142"/>
    </row>
    <row r="14" spans="1:18" x14ac:dyDescent="0.2">
      <c r="A14" s="147" t="s">
        <v>39</v>
      </c>
      <c r="B14" s="794"/>
      <c r="C14" s="1003">
        <f>DataBase!C235</f>
        <v>0</v>
      </c>
      <c r="D14" s="1003">
        <f>DataBase!D235</f>
        <v>0</v>
      </c>
      <c r="E14" s="1003">
        <f>DataBase!E235</f>
        <v>0</v>
      </c>
      <c r="F14" s="1003">
        <f>DataBase!F235</f>
        <v>0</v>
      </c>
      <c r="G14" s="1003">
        <f>DataBase!G235</f>
        <v>0</v>
      </c>
      <c r="H14" s="1003">
        <f>DataBase!H235</f>
        <v>0</v>
      </c>
      <c r="I14" s="1003">
        <f>DataBase!I235</f>
        <v>0</v>
      </c>
      <c r="J14" s="1003">
        <f>DataBase!J235</f>
        <v>0</v>
      </c>
      <c r="K14" s="1003">
        <f>DataBase!K235</f>
        <v>0</v>
      </c>
      <c r="L14" s="1003">
        <f>DataBase!L235</f>
        <v>0</v>
      </c>
      <c r="M14" s="1003">
        <f>DataBase!M235</f>
        <v>0</v>
      </c>
      <c r="N14" s="1003">
        <f>DataBase!N235</f>
        <v>0</v>
      </c>
      <c r="O14" s="142">
        <f>SUM(C14:N14)</f>
        <v>0</v>
      </c>
      <c r="P14" s="141">
        <f t="shared" si="2"/>
        <v>0</v>
      </c>
      <c r="Q14" s="142">
        <f>(O14-P14)</f>
        <v>0</v>
      </c>
      <c r="R14" s="142"/>
    </row>
    <row r="15" spans="1:18" x14ac:dyDescent="0.2">
      <c r="A15" s="147" t="s">
        <v>288</v>
      </c>
      <c r="B15" s="851" t="s">
        <v>283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">
      <c r="A16" s="147" t="s">
        <v>40</v>
      </c>
      <c r="B16" s="851" t="s">
        <v>283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">
      <c r="A17" s="147" t="s">
        <v>41</v>
      </c>
      <c r="B17" s="851" t="s">
        <v>283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">
      <c r="A18" s="147" t="s">
        <v>42</v>
      </c>
      <c r="B18" s="851" t="s">
        <v>283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">
      <c r="A19" s="147" t="s">
        <v>43</v>
      </c>
      <c r="B19" s="851" t="s">
        <v>283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">
      <c r="A20" s="147" t="s">
        <v>44</v>
      </c>
      <c r="B20" s="851" t="s">
        <v>283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">
      <c r="A21" s="534" t="s">
        <v>920</v>
      </c>
      <c r="B21" s="796"/>
      <c r="C21" s="1003">
        <f>DataBase!C239</f>
        <v>0</v>
      </c>
      <c r="D21" s="1003">
        <f>DataBase!D239</f>
        <v>1</v>
      </c>
      <c r="E21" s="1003">
        <f>DataBase!E239</f>
        <v>2</v>
      </c>
      <c r="F21" s="1003">
        <f>DataBase!F239</f>
        <v>1</v>
      </c>
      <c r="G21" s="1003">
        <f>DataBase!G239</f>
        <v>0</v>
      </c>
      <c r="H21" s="1003">
        <f>DataBase!H239</f>
        <v>0</v>
      </c>
      <c r="I21" s="1003">
        <f>DataBase!I239</f>
        <v>1</v>
      </c>
      <c r="J21" s="1003">
        <f>DataBase!J239</f>
        <v>5</v>
      </c>
      <c r="K21" s="1003">
        <f>DataBase!K239</f>
        <v>0</v>
      </c>
      <c r="L21" s="1003">
        <f>DataBase!L239</f>
        <v>0</v>
      </c>
      <c r="M21" s="1003">
        <f>DataBase!M239</f>
        <v>0</v>
      </c>
      <c r="N21" s="1003">
        <f>DataBase!N239</f>
        <v>0</v>
      </c>
      <c r="O21" s="142">
        <f t="shared" si="1"/>
        <v>10</v>
      </c>
      <c r="P21" s="141">
        <f t="shared" si="2"/>
        <v>10</v>
      </c>
      <c r="Q21" s="142">
        <f t="shared" si="3"/>
        <v>0</v>
      </c>
    </row>
    <row r="22" spans="1:24" x14ac:dyDescent="0.2">
      <c r="A22" s="146" t="s">
        <v>919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5" customHeight="1" x14ac:dyDescent="0.2">
      <c r="A23" s="390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">
      <c r="A24" s="387" t="s">
        <v>117</v>
      </c>
      <c r="B24" s="793"/>
      <c r="C24" s="145">
        <f t="shared" ref="C24:N24" si="4">SUM(C13:C22)</f>
        <v>0</v>
      </c>
      <c r="D24" s="145">
        <f t="shared" si="4"/>
        <v>1</v>
      </c>
      <c r="E24" s="145">
        <f t="shared" si="4"/>
        <v>2</v>
      </c>
      <c r="F24" s="145">
        <f t="shared" si="4"/>
        <v>1</v>
      </c>
      <c r="G24" s="145">
        <f t="shared" si="4"/>
        <v>0</v>
      </c>
      <c r="H24" s="145">
        <f t="shared" si="4"/>
        <v>0</v>
      </c>
      <c r="I24" s="145">
        <f t="shared" si="4"/>
        <v>1</v>
      </c>
      <c r="J24" s="145">
        <f t="shared" si="4"/>
        <v>5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10</v>
      </c>
      <c r="P24" s="145">
        <f>SUM(P12:P22)</f>
        <v>10</v>
      </c>
      <c r="Q24" s="145">
        <f>SUM(Q13:Q22)</f>
        <v>0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">
      <c r="A25" s="390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">
      <c r="A26" s="391" t="s">
        <v>186</v>
      </c>
      <c r="B26" s="795"/>
    </row>
    <row r="27" spans="1:24" x14ac:dyDescent="0.2">
      <c r="A27" s="147" t="s">
        <v>120</v>
      </c>
      <c r="B27" s="794"/>
      <c r="C27" s="1003">
        <f>DataBase!C249</f>
        <v>0</v>
      </c>
      <c r="D27" s="1003">
        <f>DataBase!D249</f>
        <v>0</v>
      </c>
      <c r="E27" s="1003">
        <f>DataBase!E249</f>
        <v>0</v>
      </c>
      <c r="F27" s="1003">
        <f>DataBase!F249</f>
        <v>0</v>
      </c>
      <c r="G27" s="1003">
        <f>DataBase!G249</f>
        <v>0</v>
      </c>
      <c r="H27" s="1003">
        <f>DataBase!H249</f>
        <v>0</v>
      </c>
      <c r="I27" s="1003">
        <f>DataBase!I249</f>
        <v>0</v>
      </c>
      <c r="J27" s="1003">
        <f>DataBase!J249</f>
        <v>0</v>
      </c>
      <c r="K27" s="1003">
        <f>DataBase!K249</f>
        <v>0</v>
      </c>
      <c r="L27" s="1003">
        <f>DataBase!L249</f>
        <v>0</v>
      </c>
      <c r="M27" s="1003">
        <f>DataBase!M249</f>
        <v>0</v>
      </c>
      <c r="N27" s="1003">
        <f>DataBase!N249</f>
        <v>0</v>
      </c>
      <c r="O27" s="142">
        <f t="shared" ref="O27:O43" si="5">SUM(C27:N27)</f>
        <v>0</v>
      </c>
      <c r="P27" s="141">
        <f t="shared" ref="P27:P43" si="6">SUM(C27:J27)</f>
        <v>0</v>
      </c>
      <c r="Q27" s="142">
        <f t="shared" ref="Q27:Q43" si="7">(O27-P27)</f>
        <v>0</v>
      </c>
    </row>
    <row r="28" spans="1:24" x14ac:dyDescent="0.2">
      <c r="A28" s="147" t="s">
        <v>267</v>
      </c>
      <c r="B28" s="851" t="s">
        <v>261</v>
      </c>
      <c r="C28" s="1003">
        <f>DataBase!C250</f>
        <v>7</v>
      </c>
      <c r="D28" s="1003">
        <f>DataBase!D250</f>
        <v>7</v>
      </c>
      <c r="E28" s="1003">
        <f>DataBase!E250</f>
        <v>5</v>
      </c>
      <c r="F28" s="1003">
        <f>DataBase!F250</f>
        <v>5</v>
      </c>
      <c r="G28" s="1003">
        <f>DataBase!G250</f>
        <v>4</v>
      </c>
      <c r="H28" s="1003">
        <f>DataBase!H250</f>
        <v>7</v>
      </c>
      <c r="I28" s="1003">
        <f>DataBase!I250</f>
        <v>23</v>
      </c>
      <c r="J28" s="1003">
        <f>DataBase!J250</f>
        <v>21</v>
      </c>
      <c r="K28" s="1003">
        <f>DataBase!K250</f>
        <v>8</v>
      </c>
      <c r="L28" s="1003">
        <f>DataBase!L250</f>
        <v>5</v>
      </c>
      <c r="M28" s="1003">
        <f>DataBase!M250</f>
        <v>8</v>
      </c>
      <c r="N28" s="1003">
        <f>DataBase!N250</f>
        <v>8</v>
      </c>
      <c r="O28" s="142">
        <f t="shared" si="5"/>
        <v>108</v>
      </c>
      <c r="P28" s="141">
        <f t="shared" si="6"/>
        <v>79</v>
      </c>
      <c r="Q28" s="142">
        <f t="shared" si="7"/>
        <v>29</v>
      </c>
    </row>
    <row r="29" spans="1:24" x14ac:dyDescent="0.2">
      <c r="A29" s="147" t="s">
        <v>268</v>
      </c>
      <c r="B29" s="851" t="s">
        <v>261</v>
      </c>
      <c r="C29" s="1003">
        <f>DataBase!C251</f>
        <v>-7</v>
      </c>
      <c r="D29" s="1003">
        <f>DataBase!D251</f>
        <v>-7</v>
      </c>
      <c r="E29" s="1003">
        <f>DataBase!E251</f>
        <v>-7</v>
      </c>
      <c r="F29" s="1003">
        <f>DataBase!F251</f>
        <v>-8</v>
      </c>
      <c r="G29" s="1003">
        <f>DataBase!G251</f>
        <v>-7</v>
      </c>
      <c r="H29" s="1003">
        <f>DataBase!H251</f>
        <v>-7</v>
      </c>
      <c r="I29" s="1003">
        <f>DataBase!I251</f>
        <v>-7</v>
      </c>
      <c r="J29" s="1003">
        <f>DataBase!J251</f>
        <v>-7</v>
      </c>
      <c r="K29" s="1003">
        <f>DataBase!K251</f>
        <v>-7</v>
      </c>
      <c r="L29" s="1003">
        <f>DataBase!L251</f>
        <v>-7</v>
      </c>
      <c r="M29" s="1003">
        <f>DataBase!M251</f>
        <v>-7</v>
      </c>
      <c r="N29" s="1003">
        <f>DataBase!N251</f>
        <v>-7</v>
      </c>
      <c r="O29" s="142">
        <f t="shared" si="5"/>
        <v>-85</v>
      </c>
      <c r="P29" s="141">
        <f t="shared" si="6"/>
        <v>-57</v>
      </c>
      <c r="Q29" s="142">
        <f t="shared" si="7"/>
        <v>-28</v>
      </c>
    </row>
    <row r="30" spans="1:24" x14ac:dyDescent="0.2">
      <c r="A30" s="660" t="s">
        <v>477</v>
      </c>
      <c r="B30" s="851" t="s">
        <v>261</v>
      </c>
      <c r="C30" s="1006">
        <f>DataBase!C112</f>
        <v>0</v>
      </c>
      <c r="D30" s="1006">
        <f>DataBase!D112</f>
        <v>0</v>
      </c>
      <c r="E30" s="1006">
        <f>DataBase!E112</f>
        <v>-106</v>
      </c>
      <c r="F30" s="1006">
        <f>DataBase!F112</f>
        <v>0</v>
      </c>
      <c r="G30" s="1006">
        <f>DataBase!G112</f>
        <v>0</v>
      </c>
      <c r="H30" s="1006">
        <f>DataBase!H112</f>
        <v>0</v>
      </c>
      <c r="I30" s="1006">
        <f>DataBase!I112</f>
        <v>18</v>
      </c>
      <c r="J30" s="1006">
        <f>DataBase!J112</f>
        <v>0</v>
      </c>
      <c r="K30" s="1006">
        <f>DataBase!K112</f>
        <v>0</v>
      </c>
      <c r="L30" s="1006">
        <f>DataBase!L112</f>
        <v>0</v>
      </c>
      <c r="M30" s="1006">
        <f>DataBase!M112</f>
        <v>0</v>
      </c>
      <c r="N30" s="1006">
        <f>DataBase!N112</f>
        <v>0</v>
      </c>
      <c r="O30" s="156">
        <f t="shared" si="5"/>
        <v>-88</v>
      </c>
      <c r="P30" s="141">
        <f t="shared" si="6"/>
        <v>-88</v>
      </c>
      <c r="Q30" s="156">
        <f t="shared" si="7"/>
        <v>0</v>
      </c>
    </row>
    <row r="31" spans="1:24" x14ac:dyDescent="0.2">
      <c r="A31" s="147" t="s">
        <v>478</v>
      </c>
      <c r="B31" s="851" t="s">
        <v>261</v>
      </c>
      <c r="C31" s="1006">
        <f>DataBase!C113</f>
        <v>0</v>
      </c>
      <c r="D31" s="1006">
        <f>DataBase!D113</f>
        <v>0</v>
      </c>
      <c r="E31" s="1006">
        <f>DataBase!E113</f>
        <v>0</v>
      </c>
      <c r="F31" s="1006">
        <f>DataBase!F113</f>
        <v>0</v>
      </c>
      <c r="G31" s="1006">
        <f>DataBase!G113</f>
        <v>0</v>
      </c>
      <c r="H31" s="1006">
        <f>DataBase!H113</f>
        <v>0</v>
      </c>
      <c r="I31" s="1006">
        <f>DataBase!I113</f>
        <v>0</v>
      </c>
      <c r="J31" s="1006">
        <f>DataBase!J113</f>
        <v>0</v>
      </c>
      <c r="K31" s="1006">
        <f>DataBase!K113</f>
        <v>0</v>
      </c>
      <c r="L31" s="1006">
        <f>DataBase!L113</f>
        <v>0</v>
      </c>
      <c r="M31" s="1006">
        <f>DataBase!M113</f>
        <v>0</v>
      </c>
      <c r="N31" s="1006">
        <f>DataBase!N113</f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">
      <c r="A32" s="157" t="s">
        <v>238</v>
      </c>
      <c r="B32" s="794"/>
      <c r="C32" s="1003">
        <f>DataBase!C51</f>
        <v>128</v>
      </c>
      <c r="D32" s="1003">
        <f>DataBase!D51</f>
        <v>0</v>
      </c>
      <c r="E32" s="1003">
        <f>DataBase!E51</f>
        <v>0</v>
      </c>
      <c r="F32" s="1003">
        <f>DataBase!F51</f>
        <v>0</v>
      </c>
      <c r="G32" s="1003">
        <f>DataBase!G51</f>
        <v>0</v>
      </c>
      <c r="H32" s="1003">
        <f>DataBase!H51</f>
        <v>0</v>
      </c>
      <c r="I32" s="1003">
        <f>DataBase!I51</f>
        <v>-4</v>
      </c>
      <c r="J32" s="1003">
        <f>DataBase!J51</f>
        <v>0</v>
      </c>
      <c r="K32" s="1003">
        <f>DataBase!K51</f>
        <v>0</v>
      </c>
      <c r="L32" s="1003">
        <f>DataBase!L51</f>
        <v>0</v>
      </c>
      <c r="M32" s="1003">
        <f>DataBase!M51</f>
        <v>0</v>
      </c>
      <c r="N32" s="1003">
        <f>DataBase!N51</f>
        <v>0</v>
      </c>
      <c r="O32" s="142">
        <f t="shared" si="5"/>
        <v>124</v>
      </c>
      <c r="P32" s="141">
        <f t="shared" si="6"/>
        <v>124</v>
      </c>
      <c r="Q32" s="142">
        <f t="shared" si="7"/>
        <v>0</v>
      </c>
    </row>
    <row r="33" spans="1:29" x14ac:dyDescent="0.2">
      <c r="A33" s="157" t="s">
        <v>239</v>
      </c>
      <c r="B33" s="794"/>
      <c r="C33" s="1003">
        <f>DataBase!C52</f>
        <v>0</v>
      </c>
      <c r="D33" s="1003">
        <f>DataBase!D52</f>
        <v>0</v>
      </c>
      <c r="E33" s="1003">
        <f>DataBase!E52</f>
        <v>0</v>
      </c>
      <c r="F33" s="1003">
        <f>DataBase!F52</f>
        <v>0</v>
      </c>
      <c r="G33" s="1003">
        <f>DataBase!G52</f>
        <v>0</v>
      </c>
      <c r="H33" s="1003">
        <f>DataBase!H52</f>
        <v>0</v>
      </c>
      <c r="I33" s="1003">
        <f>DataBase!I52</f>
        <v>0</v>
      </c>
      <c r="J33" s="1003">
        <f>DataBase!J52</f>
        <v>0</v>
      </c>
      <c r="K33" s="1003">
        <f>DataBase!K52</f>
        <v>0</v>
      </c>
      <c r="L33" s="1003">
        <f>DataBase!L52</f>
        <v>0</v>
      </c>
      <c r="M33" s="1003">
        <f>DataBase!M52</f>
        <v>0</v>
      </c>
      <c r="N33" s="1003">
        <f>DataBase!N52</f>
        <v>0</v>
      </c>
      <c r="O33" s="142">
        <f>SUM(C33:N33)</f>
        <v>0</v>
      </c>
      <c r="P33" s="141">
        <f t="shared" si="6"/>
        <v>0</v>
      </c>
      <c r="Q33" s="142">
        <f t="shared" si="7"/>
        <v>0</v>
      </c>
    </row>
    <row r="34" spans="1:29" x14ac:dyDescent="0.2">
      <c r="A34" s="157" t="s">
        <v>240</v>
      </c>
      <c r="B34" s="794"/>
      <c r="C34" s="1003">
        <f>DataBase!C53</f>
        <v>0</v>
      </c>
      <c r="D34" s="1003">
        <f>DataBase!D53</f>
        <v>0</v>
      </c>
      <c r="E34" s="1003">
        <f>DataBase!E53</f>
        <v>0</v>
      </c>
      <c r="F34" s="1003">
        <f>DataBase!F53</f>
        <v>0</v>
      </c>
      <c r="G34" s="1003">
        <f>DataBase!G53</f>
        <v>0</v>
      </c>
      <c r="H34" s="1003">
        <f>DataBase!H53</f>
        <v>0</v>
      </c>
      <c r="I34" s="1003">
        <f>DataBase!I53</f>
        <v>0</v>
      </c>
      <c r="J34" s="1003">
        <f>DataBase!J53</f>
        <v>0</v>
      </c>
      <c r="K34" s="1003">
        <f>DataBase!K53</f>
        <v>0</v>
      </c>
      <c r="L34" s="1003">
        <f>DataBase!L53</f>
        <v>0</v>
      </c>
      <c r="M34" s="1003">
        <f>DataBase!M53</f>
        <v>0</v>
      </c>
      <c r="N34" s="1003">
        <f>DataBase!N53</f>
        <v>0</v>
      </c>
      <c r="O34" s="142">
        <f>SUM(C34:N34)</f>
        <v>0</v>
      </c>
      <c r="P34" s="141">
        <f t="shared" si="6"/>
        <v>0</v>
      </c>
      <c r="Q34" s="142">
        <f t="shared" si="7"/>
        <v>0</v>
      </c>
    </row>
    <row r="35" spans="1:29" x14ac:dyDescent="0.2">
      <c r="A35" s="157" t="s">
        <v>235</v>
      </c>
      <c r="B35" s="794"/>
      <c r="C35" s="1003">
        <f>DataBase!C114</f>
        <v>0</v>
      </c>
      <c r="D35" s="1003">
        <f>DataBase!D114</f>
        <v>-85</v>
      </c>
      <c r="E35" s="1003">
        <f>DataBase!E114</f>
        <v>85</v>
      </c>
      <c r="F35" s="1003">
        <f>DataBase!F114</f>
        <v>0</v>
      </c>
      <c r="G35" s="1003">
        <f>DataBase!G114</f>
        <v>0</v>
      </c>
      <c r="H35" s="1003">
        <f>DataBase!H114</f>
        <v>0</v>
      </c>
      <c r="I35" s="1003">
        <f>DataBase!I114</f>
        <v>0</v>
      </c>
      <c r="J35" s="1003">
        <f>DataBase!J114</f>
        <v>0</v>
      </c>
      <c r="K35" s="1003">
        <f>DataBase!K114</f>
        <v>0</v>
      </c>
      <c r="L35" s="1003">
        <f>DataBase!L114</f>
        <v>0</v>
      </c>
      <c r="M35" s="1003">
        <f>DataBase!M114</f>
        <v>0</v>
      </c>
      <c r="N35" s="1003">
        <f>DataBase!N114</f>
        <v>0</v>
      </c>
      <c r="O35" s="142">
        <f t="shared" si="5"/>
        <v>0</v>
      </c>
      <c r="P35" s="141">
        <f t="shared" si="6"/>
        <v>0</v>
      </c>
      <c r="Q35" s="142">
        <f t="shared" si="7"/>
        <v>0</v>
      </c>
    </row>
    <row r="36" spans="1:29" x14ac:dyDescent="0.2">
      <c r="A36" s="157" t="s">
        <v>236</v>
      </c>
      <c r="B36" s="794"/>
      <c r="C36" s="1003">
        <f>DataBase!C115</f>
        <v>0</v>
      </c>
      <c r="D36" s="1003">
        <f>DataBase!D115</f>
        <v>0</v>
      </c>
      <c r="E36" s="1003">
        <f>DataBase!E115</f>
        <v>0</v>
      </c>
      <c r="F36" s="1003">
        <f>DataBase!F115</f>
        <v>0</v>
      </c>
      <c r="G36" s="1003">
        <f>DataBase!G115</f>
        <v>0</v>
      </c>
      <c r="H36" s="1003">
        <f>DataBase!H115</f>
        <v>0</v>
      </c>
      <c r="I36" s="1003">
        <f>DataBase!I115</f>
        <v>0</v>
      </c>
      <c r="J36" s="1003">
        <f>DataBase!J115</f>
        <v>0</v>
      </c>
      <c r="K36" s="1003">
        <f>DataBase!K115</f>
        <v>0</v>
      </c>
      <c r="L36" s="1003">
        <f>DataBase!L115</f>
        <v>0</v>
      </c>
      <c r="M36" s="1003">
        <f>DataBase!M115</f>
        <v>0</v>
      </c>
      <c r="N36" s="1003">
        <f>DataBase!N115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">
      <c r="A37" s="157" t="s">
        <v>237</v>
      </c>
      <c r="B37" s="794"/>
      <c r="C37" s="1003">
        <f>DataBase!C116</f>
        <v>7</v>
      </c>
      <c r="D37" s="1003">
        <f>DataBase!D116</f>
        <v>-3</v>
      </c>
      <c r="E37" s="1003">
        <f>DataBase!E116</f>
        <v>1</v>
      </c>
      <c r="F37" s="1003">
        <f>DataBase!F116</f>
        <v>10</v>
      </c>
      <c r="G37" s="1003">
        <f>DataBase!G116</f>
        <v>2</v>
      </c>
      <c r="H37" s="1003">
        <f>DataBase!H116</f>
        <v>-1</v>
      </c>
      <c r="I37" s="1003">
        <f>DataBase!I116</f>
        <v>27</v>
      </c>
      <c r="J37" s="1003">
        <f>DataBase!J116</f>
        <v>0</v>
      </c>
      <c r="K37" s="1003">
        <f>DataBase!K116</f>
        <v>0</v>
      </c>
      <c r="L37" s="1003">
        <f>DataBase!L116</f>
        <v>0</v>
      </c>
      <c r="M37" s="1003">
        <f>DataBase!M116</f>
        <v>0</v>
      </c>
      <c r="N37" s="1003">
        <f>DataBase!N116</f>
        <v>0</v>
      </c>
      <c r="O37" s="142">
        <f t="shared" ref="O37:O42" si="8">SUM(C37:N37)</f>
        <v>43</v>
      </c>
      <c r="P37" s="141">
        <f t="shared" si="6"/>
        <v>43</v>
      </c>
      <c r="Q37" s="142">
        <f t="shared" si="7"/>
        <v>0</v>
      </c>
    </row>
    <row r="38" spans="1:29" x14ac:dyDescent="0.2">
      <c r="A38" s="157" t="s">
        <v>242</v>
      </c>
      <c r="B38" s="794"/>
      <c r="C38" s="1003">
        <f>DataBase!C117</f>
        <v>0</v>
      </c>
      <c r="D38" s="1003">
        <f>DataBase!D117</f>
        <v>0</v>
      </c>
      <c r="E38" s="1003">
        <f>DataBase!E117</f>
        <v>0</v>
      </c>
      <c r="F38" s="1003">
        <f>DataBase!F117</f>
        <v>0</v>
      </c>
      <c r="G38" s="1003">
        <f>DataBase!G117</f>
        <v>0</v>
      </c>
      <c r="H38" s="1003">
        <f>DataBase!H117</f>
        <v>0</v>
      </c>
      <c r="I38" s="1003">
        <f>DataBase!I117</f>
        <v>0</v>
      </c>
      <c r="J38" s="1003">
        <f>DataBase!J117</f>
        <v>0</v>
      </c>
      <c r="K38" s="1003">
        <f>DataBase!K117</f>
        <v>0</v>
      </c>
      <c r="L38" s="1003">
        <f>DataBase!L117</f>
        <v>0</v>
      </c>
      <c r="M38" s="1003">
        <f>DataBase!M117</f>
        <v>0</v>
      </c>
      <c r="N38" s="1003">
        <f>DataBase!N117</f>
        <v>0</v>
      </c>
      <c r="O38" s="142">
        <f t="shared" si="8"/>
        <v>0</v>
      </c>
      <c r="P38" s="141">
        <f t="shared" si="6"/>
        <v>0</v>
      </c>
      <c r="Q38" s="142">
        <f t="shared" si="7"/>
        <v>0</v>
      </c>
    </row>
    <row r="39" spans="1:29" x14ac:dyDescent="0.2">
      <c r="A39" s="157" t="s">
        <v>242</v>
      </c>
      <c r="B39" s="794"/>
      <c r="C39" s="1003">
        <f>DataBase!C118</f>
        <v>0</v>
      </c>
      <c r="D39" s="1003">
        <f>DataBase!D118</f>
        <v>0</v>
      </c>
      <c r="E39" s="1003">
        <f>DataBase!E118</f>
        <v>0</v>
      </c>
      <c r="F39" s="1003">
        <f>DataBase!F118</f>
        <v>0</v>
      </c>
      <c r="G39" s="1003">
        <f>DataBase!G118</f>
        <v>0</v>
      </c>
      <c r="H39" s="1003">
        <f>DataBase!H118</f>
        <v>0</v>
      </c>
      <c r="I39" s="1003">
        <f>DataBase!I118</f>
        <v>0</v>
      </c>
      <c r="J39" s="1003">
        <f>DataBase!J118</f>
        <v>0</v>
      </c>
      <c r="K39" s="1003">
        <f>DataBase!K118</f>
        <v>0</v>
      </c>
      <c r="L39" s="1003">
        <f>DataBase!L118</f>
        <v>0</v>
      </c>
      <c r="M39" s="1003">
        <f>DataBase!M118</f>
        <v>0</v>
      </c>
      <c r="N39" s="1003">
        <f>DataBase!N118</f>
        <v>0</v>
      </c>
      <c r="O39" s="142">
        <f t="shared" si="8"/>
        <v>0</v>
      </c>
      <c r="P39" s="141">
        <f t="shared" si="6"/>
        <v>0</v>
      </c>
      <c r="Q39" s="142">
        <f t="shared" si="7"/>
        <v>0</v>
      </c>
    </row>
    <row r="40" spans="1:29" x14ac:dyDescent="0.2">
      <c r="A40" s="157" t="s">
        <v>242</v>
      </c>
      <c r="B40" s="794"/>
      <c r="C40" s="1003">
        <f>DataBase!C119</f>
        <v>0</v>
      </c>
      <c r="D40" s="1003">
        <f>DataBase!D119</f>
        <v>0</v>
      </c>
      <c r="E40" s="1003">
        <f>DataBase!E119</f>
        <v>0</v>
      </c>
      <c r="F40" s="1003">
        <f>DataBase!F119</f>
        <v>0</v>
      </c>
      <c r="G40" s="1003">
        <f>DataBase!G119</f>
        <v>0</v>
      </c>
      <c r="H40" s="1003">
        <f>DataBase!H119</f>
        <v>0</v>
      </c>
      <c r="I40" s="1003">
        <f>DataBase!I119</f>
        <v>0</v>
      </c>
      <c r="J40" s="1003">
        <f>DataBase!J119</f>
        <v>0</v>
      </c>
      <c r="K40" s="1003">
        <f>DataBase!K119</f>
        <v>0</v>
      </c>
      <c r="L40" s="1003">
        <f>DataBase!L119</f>
        <v>0</v>
      </c>
      <c r="M40" s="1003">
        <f>DataBase!M119</f>
        <v>0</v>
      </c>
      <c r="N40" s="1003">
        <f>DataBase!N119</f>
        <v>0</v>
      </c>
      <c r="O40" s="142">
        <f t="shared" si="8"/>
        <v>0</v>
      </c>
      <c r="P40" s="141">
        <f t="shared" si="6"/>
        <v>0</v>
      </c>
      <c r="Q40" s="142">
        <f t="shared" si="7"/>
        <v>0</v>
      </c>
    </row>
    <row r="41" spans="1:29" x14ac:dyDescent="0.2">
      <c r="A41" s="157" t="s">
        <v>241</v>
      </c>
      <c r="B41" s="794"/>
      <c r="C41" s="1003">
        <f>DataBase!C153</f>
        <v>0</v>
      </c>
      <c r="D41" s="1003">
        <f>DataBase!D153</f>
        <v>0</v>
      </c>
      <c r="E41" s="1003">
        <f>DataBase!E153</f>
        <v>0</v>
      </c>
      <c r="F41" s="1003">
        <f>DataBase!F153</f>
        <v>0</v>
      </c>
      <c r="G41" s="1003">
        <f>DataBase!G153</f>
        <v>-21</v>
      </c>
      <c r="H41" s="1003">
        <f>DataBase!H153</f>
        <v>0</v>
      </c>
      <c r="I41" s="1003">
        <f>DataBase!I153</f>
        <v>0</v>
      </c>
      <c r="J41" s="1003">
        <f>DataBase!J153</f>
        <v>-9</v>
      </c>
      <c r="K41" s="1003">
        <f>DataBase!K153</f>
        <v>0</v>
      </c>
      <c r="L41" s="1003">
        <f>DataBase!L153</f>
        <v>0</v>
      </c>
      <c r="M41" s="1003">
        <f>DataBase!M153</f>
        <v>0</v>
      </c>
      <c r="N41" s="1003">
        <f>DataBase!N153</f>
        <v>0</v>
      </c>
      <c r="O41" s="142">
        <f t="shared" si="8"/>
        <v>-30</v>
      </c>
      <c r="P41" s="141">
        <f t="shared" si="6"/>
        <v>-30</v>
      </c>
      <c r="Q41" s="142">
        <f t="shared" si="7"/>
        <v>0</v>
      </c>
    </row>
    <row r="42" spans="1:29" x14ac:dyDescent="0.2">
      <c r="A42" s="864" t="s">
        <v>336</v>
      </c>
      <c r="B42" s="794"/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63">
        <v>0</v>
      </c>
      <c r="I42" s="863">
        <v>0</v>
      </c>
      <c r="J42" s="863">
        <v>0</v>
      </c>
      <c r="K42" s="863">
        <v>0</v>
      </c>
      <c r="L42" s="863">
        <v>0</v>
      </c>
      <c r="M42" s="863">
        <v>0</v>
      </c>
      <c r="N42" s="863">
        <f>-74+74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">
      <c r="A43" s="146" t="s">
        <v>919</v>
      </c>
      <c r="C43" s="261">
        <v>0</v>
      </c>
      <c r="D43" s="261">
        <v>0</v>
      </c>
      <c r="E43" s="261">
        <v>0</v>
      </c>
      <c r="F43" s="261">
        <v>0</v>
      </c>
      <c r="G43" s="261">
        <v>0</v>
      </c>
      <c r="H43" s="261">
        <v>0</v>
      </c>
      <c r="I43" s="261">
        <v>0</v>
      </c>
      <c r="J43" s="261">
        <v>0</v>
      </c>
      <c r="K43" s="261">
        <v>0</v>
      </c>
      <c r="L43" s="261">
        <v>0</v>
      </c>
      <c r="M43" s="261">
        <v>0</v>
      </c>
      <c r="N43" s="261">
        <v>0</v>
      </c>
      <c r="O43" s="143">
        <f t="shared" si="5"/>
        <v>0</v>
      </c>
      <c r="P43" s="261">
        <f t="shared" si="6"/>
        <v>0</v>
      </c>
      <c r="Q43" s="143">
        <f t="shared" si="7"/>
        <v>0</v>
      </c>
      <c r="R43" s="148"/>
      <c r="S43" s="148"/>
    </row>
    <row r="44" spans="1:29" ht="3.95" customHeight="1" x14ac:dyDescent="0.2">
      <c r="A44" s="534"/>
      <c r="B44" s="79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P44" s="144"/>
    </row>
    <row r="45" spans="1:29" x14ac:dyDescent="0.2">
      <c r="A45" s="387" t="s">
        <v>121</v>
      </c>
      <c r="B45" s="793"/>
      <c r="C45" s="145">
        <f t="shared" ref="C45:P45" si="9">SUM(C27:C43)</f>
        <v>135</v>
      </c>
      <c r="D45" s="145">
        <f t="shared" si="9"/>
        <v>-88</v>
      </c>
      <c r="E45" s="145">
        <f t="shared" si="9"/>
        <v>-22</v>
      </c>
      <c r="F45" s="145">
        <f t="shared" si="9"/>
        <v>7</v>
      </c>
      <c r="G45" s="145">
        <f t="shared" si="9"/>
        <v>-22</v>
      </c>
      <c r="H45" s="145">
        <f t="shared" si="9"/>
        <v>-1</v>
      </c>
      <c r="I45" s="145">
        <f t="shared" si="9"/>
        <v>57</v>
      </c>
      <c r="J45" s="145">
        <f t="shared" si="9"/>
        <v>5</v>
      </c>
      <c r="K45" s="145">
        <f t="shared" si="9"/>
        <v>1</v>
      </c>
      <c r="L45" s="145">
        <f t="shared" si="9"/>
        <v>-2</v>
      </c>
      <c r="M45" s="145">
        <f t="shared" si="9"/>
        <v>1</v>
      </c>
      <c r="N45" s="145">
        <f t="shared" si="9"/>
        <v>1</v>
      </c>
      <c r="O45" s="145">
        <f t="shared" si="9"/>
        <v>72</v>
      </c>
      <c r="P45" s="145">
        <f t="shared" si="9"/>
        <v>71</v>
      </c>
      <c r="Q45" s="145">
        <f>SUM(Q27:Q43)</f>
        <v>1</v>
      </c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</row>
    <row r="46" spans="1:29" ht="12.75" customHeight="1" x14ac:dyDescent="0.2">
      <c r="A46" s="144"/>
      <c r="B46" s="795"/>
    </row>
    <row r="47" spans="1:29" x14ac:dyDescent="0.2">
      <c r="A47" s="387" t="s">
        <v>122</v>
      </c>
      <c r="B47" s="793"/>
      <c r="C47" s="145">
        <f t="shared" ref="C47:Q47" si="10">(C10+C24+C45)</f>
        <v>135</v>
      </c>
      <c r="D47" s="145">
        <f t="shared" si="10"/>
        <v>-87</v>
      </c>
      <c r="E47" s="145">
        <f t="shared" si="10"/>
        <v>-20</v>
      </c>
      <c r="F47" s="145">
        <f t="shared" si="10"/>
        <v>8</v>
      </c>
      <c r="G47" s="145">
        <f t="shared" si="10"/>
        <v>-22</v>
      </c>
      <c r="H47" s="145">
        <f t="shared" si="10"/>
        <v>-1</v>
      </c>
      <c r="I47" s="145">
        <f t="shared" si="10"/>
        <v>58</v>
      </c>
      <c r="J47" s="145">
        <f t="shared" si="10"/>
        <v>10</v>
      </c>
      <c r="K47" s="145">
        <f t="shared" si="10"/>
        <v>1</v>
      </c>
      <c r="L47" s="145">
        <f t="shared" si="10"/>
        <v>-2</v>
      </c>
      <c r="M47" s="145">
        <f t="shared" si="10"/>
        <v>1</v>
      </c>
      <c r="N47" s="145">
        <f t="shared" si="10"/>
        <v>1</v>
      </c>
      <c r="O47" s="145">
        <f t="shared" si="10"/>
        <v>82</v>
      </c>
      <c r="P47" s="145">
        <f t="shared" si="10"/>
        <v>81</v>
      </c>
      <c r="Q47" s="145">
        <f t="shared" si="10"/>
        <v>1</v>
      </c>
      <c r="R47" s="149"/>
      <c r="S47" s="139"/>
    </row>
    <row r="48" spans="1:29" ht="12.75" customHeight="1" x14ac:dyDescent="0.2">
      <c r="A48" s="39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2001-09-19T23:00:45Z</cp:lastPrinted>
  <dcterms:created xsi:type="dcterms:W3CDTF">1999-02-24T21:47:29Z</dcterms:created>
  <dcterms:modified xsi:type="dcterms:W3CDTF">2023-09-20T00:50:45Z</dcterms:modified>
</cp:coreProperties>
</file>