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laudio\Oxford\2nd Year\CFD\Results\"/>
    </mc:Choice>
  </mc:AlternateContent>
  <xr:revisionPtr revIDLastSave="0" documentId="13_ncr:1_{AB6E343A-21B3-4BB9-B618-4C0A7E2259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47" i="1"/>
  <c r="B49" i="1"/>
  <c r="B18" i="1"/>
  <c r="B20" i="1"/>
  <c r="T2" i="1"/>
  <c r="G4" i="1" s="1"/>
  <c r="S2" i="1"/>
  <c r="F46" i="1" l="1"/>
  <c r="F45" i="1"/>
  <c r="J8" i="1"/>
  <c r="J2" i="1"/>
  <c r="J11" i="1"/>
  <c r="K11" i="1"/>
  <c r="J3" i="1"/>
  <c r="K7" i="1"/>
  <c r="K9" i="1"/>
  <c r="J10" i="1"/>
  <c r="K10" i="1"/>
  <c r="K12" i="1"/>
  <c r="J6" i="1"/>
  <c r="K6" i="1"/>
  <c r="J7" i="1"/>
  <c r="J9" i="1"/>
  <c r="K8" i="1"/>
  <c r="K5" i="1"/>
  <c r="K4" i="1"/>
  <c r="K3" i="1"/>
  <c r="J12" i="1"/>
  <c r="G6" i="1"/>
  <c r="J5" i="1"/>
  <c r="J4" i="1"/>
  <c r="K2" i="1"/>
  <c r="B4" i="1"/>
  <c r="E21" i="1" s="1"/>
  <c r="U2" i="1"/>
  <c r="F20" i="1" s="1"/>
  <c r="F2" i="1"/>
  <c r="E69" i="1" l="1"/>
  <c r="F47" i="1"/>
  <c r="F68" i="1"/>
  <c r="E68" i="1"/>
  <c r="F16" i="1"/>
  <c r="E12" i="1"/>
  <c r="E18" i="1"/>
  <c r="E19" i="1"/>
  <c r="E20" i="1"/>
  <c r="E60" i="1"/>
  <c r="E59" i="1"/>
  <c r="E23" i="1"/>
  <c r="E24" i="1"/>
  <c r="E25" i="1"/>
  <c r="E16" i="1"/>
  <c r="E26" i="1"/>
  <c r="E17" i="1"/>
  <c r="E63" i="1"/>
  <c r="F54" i="1"/>
  <c r="F60" i="1"/>
  <c r="F59" i="1"/>
  <c r="F23" i="1"/>
  <c r="F24" i="1"/>
  <c r="F25" i="1"/>
  <c r="F26" i="1"/>
  <c r="F19" i="1"/>
  <c r="E61" i="1"/>
  <c r="F66" i="1"/>
  <c r="F17" i="1"/>
  <c r="F22" i="1"/>
  <c r="F65" i="1"/>
  <c r="F21" i="1"/>
  <c r="E64" i="1"/>
  <c r="E62" i="1"/>
  <c r="F18" i="1"/>
  <c r="E22" i="1"/>
  <c r="E66" i="1"/>
  <c r="F63" i="1"/>
  <c r="F62" i="1"/>
  <c r="F61" i="1"/>
  <c r="F64" i="1"/>
  <c r="F67" i="1"/>
  <c r="E67" i="1"/>
  <c r="E65" i="1"/>
  <c r="F69" i="1"/>
  <c r="E47" i="1"/>
  <c r="E48" i="1"/>
  <c r="E10" i="1"/>
  <c r="E2" i="1"/>
  <c r="E8" i="1"/>
  <c r="F48" i="1"/>
  <c r="E46" i="1"/>
  <c r="E52" i="1"/>
  <c r="E55" i="1"/>
  <c r="F55" i="1"/>
  <c r="E49" i="1"/>
  <c r="F49" i="1"/>
  <c r="E50" i="1"/>
  <c r="F50" i="1"/>
  <c r="E51" i="1"/>
  <c r="F51" i="1"/>
  <c r="F52" i="1"/>
  <c r="E53" i="1"/>
  <c r="F53" i="1"/>
  <c r="E54" i="1"/>
  <c r="E45" i="1"/>
  <c r="E3" i="1"/>
  <c r="F37" i="1"/>
  <c r="F35" i="1"/>
  <c r="F34" i="1"/>
  <c r="F33" i="1"/>
  <c r="F32" i="1"/>
  <c r="F40" i="1"/>
  <c r="F39" i="1"/>
  <c r="F38" i="1"/>
  <c r="F36" i="1"/>
  <c r="F42" i="1"/>
  <c r="E42" i="1"/>
  <c r="F41" i="1"/>
  <c r="F3" i="1"/>
  <c r="E5" i="1"/>
  <c r="E41" i="1"/>
  <c r="E37" i="1"/>
  <c r="E35" i="1"/>
  <c r="E34" i="1"/>
  <c r="E32" i="1"/>
  <c r="E40" i="1"/>
  <c r="E39" i="1"/>
  <c r="E38" i="1"/>
  <c r="E36" i="1"/>
  <c r="E33" i="1"/>
  <c r="F9" i="1"/>
  <c r="E9" i="1"/>
  <c r="F12" i="1"/>
  <c r="F11" i="1"/>
  <c r="F10" i="1"/>
  <c r="F7" i="1"/>
  <c r="F8" i="1"/>
  <c r="F4" i="1"/>
  <c r="F6" i="1"/>
  <c r="F5" i="1"/>
  <c r="E11" i="1"/>
  <c r="E7" i="1"/>
  <c r="E6" i="1"/>
  <c r="E4" i="1"/>
</calcChain>
</file>

<file path=xl/sharedStrings.xml><?xml version="1.0" encoding="utf-8"?>
<sst xmlns="http://schemas.openxmlformats.org/spreadsheetml/2006/main" count="62" uniqueCount="26">
  <si>
    <t>Angle of Attack</t>
  </si>
  <si>
    <t>Mach</t>
  </si>
  <si>
    <t>Lift</t>
  </si>
  <si>
    <t>Drag</t>
  </si>
  <si>
    <t>C_L</t>
  </si>
  <si>
    <t>C_D</t>
  </si>
  <si>
    <t>Area</t>
  </si>
  <si>
    <t>Pressure</t>
  </si>
  <si>
    <t>Temperature</t>
  </si>
  <si>
    <t>Gamma</t>
  </si>
  <si>
    <t>Gas Constant</t>
  </si>
  <si>
    <t>Density</t>
  </si>
  <si>
    <t>Sonic Speed</t>
  </si>
  <si>
    <t>Far Field Speed</t>
  </si>
  <si>
    <t>Speed</t>
  </si>
  <si>
    <t>Re</t>
  </si>
  <si>
    <t>No Flap</t>
  </si>
  <si>
    <t>AR = 4/5</t>
  </si>
  <si>
    <t>Shallower AR (1:1)</t>
  </si>
  <si>
    <t>Larger Low Incidence</t>
  </si>
  <si>
    <t>High Incidence</t>
  </si>
  <si>
    <t>Large AR 4</t>
  </si>
  <si>
    <t>Large AR 1</t>
  </si>
  <si>
    <t>Small AR 1</t>
  </si>
  <si>
    <t>Comically Large AR 1</t>
  </si>
  <si>
    <t>Small AR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</si>
</sst>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Low Incidence,</a:t>
            </a:r>
            <a:r>
              <a:rPr lang="en-GB" baseline="0"/>
              <a:t> Re = 2.2e6, Ma = 0.1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Small Flap, AR = 4:1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Sheet1!$E$2:$E$7</c:f>
              <c:numCache>
                <c:formatCode>General</c:formatCode>
                <c:ptCount val="6"/>
                <c:pt idx="0">
                  <c:v>0.13300905854569803</c:v>
                </c:pt>
                <c:pt idx="1">
                  <c:v>0.21345740368686331</c:v>
                </c:pt>
                <c:pt idx="2">
                  <c:v>0.28527721969616854</c:v>
                </c:pt>
                <c:pt idx="3">
                  <c:v>0.35718162912833518</c:v>
                </c:pt>
                <c:pt idx="4">
                  <c:v>0.39758908744845078</c:v>
                </c:pt>
                <c:pt idx="5">
                  <c:v>0.36008600331324231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1.2970991505410449E-2</c:v>
                </c:pt>
                <c:pt idx="1">
                  <c:v>1.2491628775862672E-2</c:v>
                </c:pt>
                <c:pt idx="2">
                  <c:v>1.7200662648479075E-2</c:v>
                </c:pt>
                <c:pt idx="3">
                  <c:v>2.0387014909590776E-2</c:v>
                </c:pt>
                <c:pt idx="4">
                  <c:v>2.2614641711606914E-2</c:v>
                </c:pt>
                <c:pt idx="5">
                  <c:v>3.6967325790419781E-2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92-49D2-BA92-A5EC02E5BD49}"/>
            </c:ext>
          </c:extLst>
        </c:ser>
        <c:ser>
          <c:idx val="1"/>
          <c:order val="1"/>
          <c:tx>
            <c:v>No Flap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Sheet1!$E$16:$E$21</c:f>
              <c:numCache>
                <c:formatCode>General</c:formatCode>
                <c:ptCount val="6"/>
                <c:pt idx="0">
                  <c:v>0</c:v>
                </c:pt>
                <c:pt idx="1">
                  <c:v>0.32258291917803383</c:v>
                </c:pt>
                <c:pt idx="2">
                  <c:v>0.63930069437101245</c:v>
                </c:pt>
                <c:pt idx="3">
                  <c:v>0.94231433506044882</c:v>
                </c:pt>
                <c:pt idx="4">
                  <c:v>1.207909485037538</c:v>
                </c:pt>
                <c:pt idx="5">
                  <c:v>1.3881216735398818</c:v>
                </c:pt>
              </c:numCache>
            </c:numRef>
          </c:xVal>
          <c:yVal>
            <c:numRef>
              <c:f>Sheet1!$F$16:$F$21</c:f>
              <c:numCache>
                <c:formatCode>General</c:formatCode>
                <c:ptCount val="6"/>
                <c:pt idx="0">
                  <c:v>1.1081738394839799E-2</c:v>
                </c:pt>
                <c:pt idx="1">
                  <c:v>1.2266046314899012E-2</c:v>
                </c:pt>
                <c:pt idx="2">
                  <c:v>1.5988156920799402E-2</c:v>
                </c:pt>
                <c:pt idx="3">
                  <c:v>2.2332663635402341E-2</c:v>
                </c:pt>
                <c:pt idx="4">
                  <c:v>3.2371083148285212E-2</c:v>
                </c:pt>
                <c:pt idx="5">
                  <c:v>4.7964470762398216E-2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92-49D2-BA92-A5EC02E5BD49}"/>
            </c:ext>
          </c:extLst>
        </c:ser>
        <c:ser>
          <c:idx val="2"/>
          <c:order val="2"/>
          <c:tx>
            <c:v>Small Flap, AR = 1:1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Sheet1!$E$32:$E$37</c:f>
              <c:numCache>
                <c:formatCode>General</c:formatCode>
                <c:ptCount val="6"/>
                <c:pt idx="0">
                  <c:v>4.9825526065348409E-2</c:v>
                </c:pt>
                <c:pt idx="1">
                  <c:v>0.12423954037573576</c:v>
                </c:pt>
                <c:pt idx="2">
                  <c:v>0.19357794931444075</c:v>
                </c:pt>
                <c:pt idx="3">
                  <c:v>0.26745620528003938</c:v>
                </c:pt>
                <c:pt idx="4">
                  <c:v>0.32672799689824106</c:v>
                </c:pt>
                <c:pt idx="5">
                  <c:v>0.34547953896584527</c:v>
                </c:pt>
              </c:numCache>
            </c:numRef>
          </c:xVal>
          <c:yVal>
            <c:numRef>
              <c:f>Sheet1!$F$32:$F$37</c:f>
              <c:numCache>
                <c:formatCode>General</c:formatCode>
                <c:ptCount val="6"/>
                <c:pt idx="0">
                  <c:v>3.4683303373162725E-3</c:v>
                </c:pt>
                <c:pt idx="1">
                  <c:v>4.740051460998906E-3</c:v>
                </c:pt>
                <c:pt idx="2">
                  <c:v>7.6839025765746694E-3</c:v>
                </c:pt>
                <c:pt idx="3">
                  <c:v>1.1769764900778962E-2</c:v>
                </c:pt>
                <c:pt idx="4">
                  <c:v>1.7451623136301147E-2</c:v>
                </c:pt>
                <c:pt idx="5">
                  <c:v>2.4312149730358456E-2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92-49D2-BA92-A5EC02E5B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459823"/>
        <c:axId val="174845262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Larger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Sheet1!$E$45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6.964858482253003E-2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Sheet1!$F$45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4.3424623735504554E-3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E092-49D2-BA92-A5EC02E5BD4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LARGER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0.12528285925769267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Sheet1!$F$46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9.1078918614077731E-3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92-49D2-BA92-A5EC02E5BD4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AR = 4/5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4.1366183779211155E-2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Sheet1!$F$47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3.1412357689189659E-3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92-49D2-BA92-A5EC02E5BD49}"/>
                  </c:ext>
                </c:extLst>
              </c15:ser>
            </c15:filteredScatterSeries>
          </c:ext>
        </c:extLst>
      </c:scatterChart>
      <c:valAx>
        <c:axId val="174845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Lift</a:t>
                </a:r>
                <a:r>
                  <a:rPr lang="en-GB" baseline="0"/>
                  <a:t> Coefficient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52623"/>
        <c:crosses val="autoZero"/>
        <c:crossBetween val="midCat"/>
      </c:valAx>
      <c:valAx>
        <c:axId val="1748452623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Drag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59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High Incidence, Re = 3e5,</a:t>
            </a:r>
            <a:r>
              <a:rPr lang="en-GB" baseline="0"/>
              <a:t> Ma = 0.1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Small Flap, AR = 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Sheet1!$E$2:$E$12</c:f>
              <c:numCache>
                <c:formatCode>General</c:formatCode>
                <c:ptCount val="11"/>
                <c:pt idx="0">
                  <c:v>0.13300905854569803</c:v>
                </c:pt>
                <c:pt idx="1">
                  <c:v>0.21345740368686331</c:v>
                </c:pt>
                <c:pt idx="2">
                  <c:v>0.28527721969616854</c:v>
                </c:pt>
                <c:pt idx="3">
                  <c:v>0.35718162912833518</c:v>
                </c:pt>
                <c:pt idx="4">
                  <c:v>0.39758908744845078</c:v>
                </c:pt>
                <c:pt idx="5">
                  <c:v>0.36008600331324231</c:v>
                </c:pt>
                <c:pt idx="6">
                  <c:v>0.29280603433083069</c:v>
                </c:pt>
                <c:pt idx="7">
                  <c:v>0.27777660286912687</c:v>
                </c:pt>
                <c:pt idx="8">
                  <c:v>0.29494906770998547</c:v>
                </c:pt>
                <c:pt idx="9">
                  <c:v>0.38083958972189902</c:v>
                </c:pt>
                <c:pt idx="10">
                  <c:v>0.54480984103485941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1.2970991505410449E-2</c:v>
                </c:pt>
                <c:pt idx="1">
                  <c:v>1.2491628775862672E-2</c:v>
                </c:pt>
                <c:pt idx="2">
                  <c:v>1.7200662648479075E-2</c:v>
                </c:pt>
                <c:pt idx="3">
                  <c:v>2.0387014909590776E-2</c:v>
                </c:pt>
                <c:pt idx="4">
                  <c:v>2.2614641711606914E-2</c:v>
                </c:pt>
                <c:pt idx="5">
                  <c:v>3.6967325790419781E-2</c:v>
                </c:pt>
                <c:pt idx="6">
                  <c:v>6.5559902717563692E-2</c:v>
                </c:pt>
                <c:pt idx="7">
                  <c:v>8.8259137852031974E-2</c:v>
                </c:pt>
                <c:pt idx="8">
                  <c:v>0.13033026682175458</c:v>
                </c:pt>
                <c:pt idx="9">
                  <c:v>0.18728983821507872</c:v>
                </c:pt>
                <c:pt idx="10">
                  <c:v>0.29878396954636766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1D-4ED1-BC93-0C91A82937B2}"/>
            </c:ext>
          </c:extLst>
        </c:ser>
        <c:ser>
          <c:idx val="1"/>
          <c:order val="1"/>
          <c:tx>
            <c:v>No Flap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Sheet1!$E$16:$E$27</c:f>
              <c:numCache>
                <c:formatCode>General</c:formatCode>
                <c:ptCount val="12"/>
                <c:pt idx="0">
                  <c:v>0</c:v>
                </c:pt>
                <c:pt idx="1">
                  <c:v>0.32258291917803383</c:v>
                </c:pt>
                <c:pt idx="2">
                  <c:v>0.63930069437101245</c:v>
                </c:pt>
                <c:pt idx="3">
                  <c:v>0.94231433506044882</c:v>
                </c:pt>
                <c:pt idx="4">
                  <c:v>1.207909485037538</c:v>
                </c:pt>
                <c:pt idx="5">
                  <c:v>1.3881216735398818</c:v>
                </c:pt>
                <c:pt idx="6">
                  <c:v>1.1906524267738179</c:v>
                </c:pt>
                <c:pt idx="7">
                  <c:v>0.91222727432942063</c:v>
                </c:pt>
                <c:pt idx="8">
                  <c:v>0.86567269394804525</c:v>
                </c:pt>
                <c:pt idx="9">
                  <c:v>0.88885129181206146</c:v>
                </c:pt>
                <c:pt idx="10">
                  <c:v>0.92319622149377856</c:v>
                </c:pt>
              </c:numCache>
            </c:numRef>
          </c:xVal>
          <c:yVal>
            <c:numRef>
              <c:f>Sheet1!$F$16:$F$27</c:f>
              <c:numCache>
                <c:formatCode>General</c:formatCode>
                <c:ptCount val="12"/>
                <c:pt idx="0">
                  <c:v>1.1081738394839799E-2</c:v>
                </c:pt>
                <c:pt idx="1">
                  <c:v>1.2266046314899012E-2</c:v>
                </c:pt>
                <c:pt idx="2">
                  <c:v>1.5988156920799402E-2</c:v>
                </c:pt>
                <c:pt idx="3">
                  <c:v>2.2332663635402341E-2</c:v>
                </c:pt>
                <c:pt idx="4">
                  <c:v>3.2371083148285212E-2</c:v>
                </c:pt>
                <c:pt idx="5">
                  <c:v>4.7964470762398216E-2</c:v>
                </c:pt>
                <c:pt idx="6">
                  <c:v>9.2657995840823348E-2</c:v>
                </c:pt>
                <c:pt idx="7">
                  <c:v>0.15802051390504385</c:v>
                </c:pt>
                <c:pt idx="8">
                  <c:v>0.25922244545486584</c:v>
                </c:pt>
                <c:pt idx="9">
                  <c:v>0.34031934017130155</c:v>
                </c:pt>
                <c:pt idx="10">
                  <c:v>0.42832469775474946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1D-4ED1-BC93-0C91A82937B2}"/>
            </c:ext>
          </c:extLst>
        </c:ser>
        <c:ser>
          <c:idx val="2"/>
          <c:order val="2"/>
          <c:tx>
            <c:v>Large Flap, AR = 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Sheet1!$E$66</c:f>
              <c:numCache>
                <c:formatCode>General</c:formatCode>
                <c:ptCount val="1"/>
                <c:pt idx="0">
                  <c:v>0.35582813436255323</c:v>
                </c:pt>
              </c:numCache>
            </c:numRef>
          </c:xVal>
          <c:yVal>
            <c:numRef>
              <c:f>Sheet1!$F$66</c:f>
              <c:numCache>
                <c:formatCode>General</c:formatCode>
                <c:ptCount val="1"/>
                <c:pt idx="0">
                  <c:v>0.14079165344894431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1D-4ED1-BC93-0C91A82937B2}"/>
            </c:ext>
          </c:extLst>
        </c:ser>
        <c:ser>
          <c:idx val="3"/>
          <c:order val="3"/>
          <c:tx>
            <c:v>Large Flap, AR =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Sheet1!$E$59</c:f>
              <c:numCache>
                <c:formatCode>General</c:formatCode>
                <c:ptCount val="1"/>
                <c:pt idx="0">
                  <c:v>0.42756335694899705</c:v>
                </c:pt>
              </c:numCache>
            </c:numRef>
          </c:xVal>
          <c:yVal>
            <c:numRef>
              <c:f>Sheet1!$F$59</c:f>
              <c:numCache>
                <c:formatCode>General</c:formatCode>
                <c:ptCount val="1"/>
                <c:pt idx="0">
                  <c:v>0.15256987769200939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1D-4ED1-BC93-0C91A8293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459823"/>
        <c:axId val="1748452623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Small, AR = 1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Sheet1!$E$60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0.32375030841352076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Sheet1!$F$60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7.4419653871911434E-2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291D-4ED1-BC93-0C91A82937B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Small, AR = 0.2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Sheet1!$E$62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0.25727679672905424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Sheet1!$F$62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5.0643262486341677E-2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91D-4ED1-BC93-0C91A82937B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Comically Large, AR = 1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Sheet1!$E$62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0.25727679672905424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Sheet1!$F$62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5.0643262486341677E-2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91D-4ED1-BC93-0C91A82937B2}"/>
                  </c:ext>
                </c:extLst>
              </c15:ser>
            </c15:filteredScatterSeries>
          </c:ext>
        </c:extLst>
      </c:scatterChart>
      <c:valAx>
        <c:axId val="174845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Lift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52623"/>
        <c:crosses val="autoZero"/>
        <c:crossBetween val="midCat"/>
      </c:valAx>
      <c:valAx>
        <c:axId val="17484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Drag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59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231912</xdr:colOff>
      <xdr:row>13</xdr:row>
      <xdr:rowOff>53007</xdr:rowOff>
    </xdr:from>
    <xdr:to>
      <xdr:col>21</xdr:col>
      <xdr:colOff>27608</xdr:colOff>
      <xdr:row>36</xdr:row>
      <xdr:rowOff>49696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B6457C-6CEF-C78D-C187-10D221205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231913</xdr:colOff>
      <xdr:row>37</xdr:row>
      <xdr:rowOff>8281</xdr:rowOff>
    </xdr:from>
    <xdr:to>
      <xdr:col>18</xdr:col>
      <xdr:colOff>225324</xdr:colOff>
      <xdr:row>57</xdr:row>
      <xdr:rowOff>107674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0895B9-25E3-4614-B8AC-F0234F537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EE024-C801-4CE4-BD15-6534B08B25D2}" name="Table14" displayName="Table14" ref="C1:D12" totalsRowShown="0">
  <autoFilter ref="C1:D12" xr:uid="{801EE024-C801-4CE4-BD15-6534B08B25D2}"/>
  <tableColumns count="2">
    <tableColumn id="2" xr3:uid="{E95C6070-B5B2-4B0B-BF10-7D857E01CAF7}" name="Lift"/>
    <tableColumn id="3" xr3:uid="{EE4D73B5-CFA8-43CF-B502-3CBCD957FE1B}" name="Dra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46E2D5-8EBA-4214-8499-854B4DD5EBEE}" name="Table15" displayName="Table15" ref="E1:F12" totalsRowShown="0">
  <autoFilter ref="E1:F12" xr:uid="{6846E2D5-8EBA-4214-8499-854B4DD5EBEE}"/>
  <tableColumns count="2">
    <tableColumn id="1" xr3:uid="{D2BB3257-A439-4016-8D7C-4609ACB2A522}" name="C_L" dataDxfId="13">
      <calculatedColumnFormula>Table14[[#This Row],[Lift]]/(0.5*$S$2*$B$4^2*$M$2)</calculatedColumnFormula>
    </tableColumn>
    <tableColumn id="2" xr3:uid="{4D8BA586-D588-401E-884C-DDA11FAECF7D}" name="C_D" dataDxfId="12">
      <calculatedColumnFormula>Table14[[#This Row],[Drag]]/(0.5*$S$2*$U$2^2*$M$2)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19AFD9-9024-4953-8E03-0F2F656736FB}" name="Table1417" displayName="Table1417" ref="H1:I13" totalsRowShown="0">
  <autoFilter ref="H1:I13" xr:uid="{B619AFD9-9024-4953-8E03-0F2F656736FB}"/>
  <tableColumns count="2">
    <tableColumn id="2" xr3:uid="{23337849-75AF-45F8-B98E-DB30A2B9AAA2}" name="Lift"/>
    <tableColumn id="3" xr3:uid="{8942DF00-A43B-4917-B652-E83034E4B7DA}" name="Dra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3B9D48-0E5F-4FC8-BC46-3634EAD42489}" name="Table1518" displayName="Table1518" ref="J1:K13" totalsRowCount="1">
  <autoFilter ref="J1:K12" xr:uid="{793B9D48-0E5F-4FC8-BC46-3634EAD42489}"/>
  <tableColumns count="2">
    <tableColumn id="1" xr3:uid="{2A24D225-5C8C-497F-ACBF-9B6635BA03DA}" name="C_L" dataDxfId="11" totalsRowDxfId="10">
      <calculatedColumnFormula>Table1417[[#This Row],[Lift]]/(0.5*$S$2*$G$4^2*$M$2)</calculatedColumnFormula>
    </tableColumn>
    <tableColumn id="2" xr3:uid="{C9D8AABE-F699-47A2-B717-1C28DBC11C12}" name="C_D" dataDxfId="9" totalsRowDxfId="8">
      <calculatedColumnFormula>Table1417[[#This Row],[Drag]]/(0.5*$S$2*$G$4^2*$M$2)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596BEA-9129-4D37-A8C1-176509DA6279}" name="Table146" displayName="Table146" ref="C15:D27" totalsRowShown="0">
  <autoFilter ref="C15:D27" xr:uid="{7B596BEA-9129-4D37-A8C1-176509DA6279}"/>
  <tableColumns count="2">
    <tableColumn id="2" xr3:uid="{B30602B2-270B-49FB-B399-60B50806CD64}" name="Lift"/>
    <tableColumn id="3" xr3:uid="{16EE265D-70C0-48E7-9661-34A8F4A5170B}" name="Dra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06D37B-5EA8-4CD0-B39F-751A1D6C0551}" name="Table157" displayName="Table157" ref="E15:F27" totalsRowShown="0">
  <autoFilter ref="E15:F27" xr:uid="{D306D37B-5EA8-4CD0-B39F-751A1D6C0551}"/>
  <tableColumns count="2">
    <tableColumn id="1" xr3:uid="{0FDA84B7-80FE-4058-93C0-864C3D63C669}" name="C_L" dataDxfId="7">
      <calculatedColumnFormula>Table146[[#This Row],[Lift]]/(0.5*$S$2*$B$4^2*$M$2)</calculatedColumnFormula>
    </tableColumn>
    <tableColumn id="2" xr3:uid="{F68809BA-71AC-4AF6-8F22-B2156EDEE73C}" name="C_D" dataDxfId="6">
      <calculatedColumnFormula>Table146[[#This Row],[Drag]]/(0.5*$S$2*$U$2^2*$M$2)</calculatedColumnFormula>
    </tableColumn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69525B-ADF2-4893-B22C-1771158023D8}" name="Table1468" displayName="Table1468" ref="C31:D42" totalsRowShown="0">
  <autoFilter ref="C31:D42" xr:uid="{D969525B-ADF2-4893-B22C-1771158023D8}"/>
  <tableColumns count="2">
    <tableColumn id="2" xr3:uid="{DE9AD0A9-E70E-4878-A78D-4422443A46B8}" name="Lift"/>
    <tableColumn id="3" xr3:uid="{979D4368-B642-4A43-ABA8-0EA91E718734}" name="Dra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9ADA41-0888-471A-B5E1-F57FB1E0527C}" name="Table1579" displayName="Table1579" ref="E31:F42" totalsRowShown="0">
  <autoFilter ref="E31:F42" xr:uid="{609ADA41-0888-471A-B5E1-F57FB1E0527C}"/>
  <tableColumns count="2">
    <tableColumn id="1" xr3:uid="{DFBE30C7-09F1-484D-8D68-1E085CAA0BAA}" name="C_L" dataDxfId="5">
      <calculatedColumnFormula>Table1468[[#This Row],[Lift]]/(0.5*$S$2*$B$4^2*$M$2)</calculatedColumnFormula>
    </tableColumn>
    <tableColumn id="2" xr3:uid="{6863CFBC-2682-4411-84F9-4CE79855DE6D}" name="C_D" dataDxfId="4">
      <calculatedColumnFormula>Table1468[[#This Row],[Drag]]/(0.5*$S$2*$U$2^2*$M$2)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09977E-A17A-4898-B4C9-F380BCD6649C}" name="Table157911" displayName="Table157911" ref="E44:F55" totalsRowShown="0">
  <autoFilter ref="E44:F55" xr:uid="{6309977E-A17A-4898-B4C9-F380BCD6649C}"/>
  <tableColumns count="2">
    <tableColumn id="1" xr3:uid="{346D6DC4-0293-48C4-9B46-EEF57F7DC89A}" name="C_L" dataDxfId="3">
      <calculatedColumnFormula>Table146810[[#This Row],[Lift]]/(0.5*$S$2*$B$4^2*$M$2)</calculatedColumnFormula>
    </tableColumn>
    <tableColumn id="2" xr3:uid="{40FCC78C-3946-430F-B995-9CEF599E361E}" name="C_D" dataDxfId="2">
      <calculatedColumnFormula>Table146810[[#This Row],[Drag]]/(0.5*$S$2*$U$2^2*$M$2)</calculatedColumnFormula>
    </tableColumn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A42830-AD45-4D2F-8393-CD347B054B20}" name="Table146810" displayName="Table146810" ref="C44:D55" totalsRowShown="0">
  <autoFilter ref="C44:D55" xr:uid="{91A42830-AD45-4D2F-8393-CD347B054B20}"/>
  <tableColumns count="2">
    <tableColumn id="2" xr3:uid="{9BA1F47E-F9EA-43D1-82B5-A61BA618B95E}" name="Lift"/>
    <tableColumn id="3" xr3:uid="{AA370E59-7E99-4856-9969-C39B262CEFE0}" name="Dra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D9DC0A-6357-44F9-89BC-F6A4A8C9AF0F}" name="Table1412" displayName="Table1412" ref="C58:D69" totalsRowShown="0">
  <autoFilter ref="C58:D69" xr:uid="{E8D9DC0A-6357-44F9-89BC-F6A4A8C9AF0F}"/>
  <tableColumns count="2">
    <tableColumn id="2" xr3:uid="{21F5E439-A01D-430B-A8B2-B1DAE8D59538}" name="Lift"/>
    <tableColumn id="3" xr3:uid="{60A06CF2-722B-43F2-965B-FAFB40DC2902}" name="Dra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B1551D-EA10-4B5A-B67A-DB1EE202F954}" name="Table1513" displayName="Table1513" ref="E58:F69" totalsRowShown="0">
  <autoFilter ref="E58:F69" xr:uid="{3BB1551D-EA10-4B5A-B67A-DB1EE202F954}"/>
  <tableColumns count="2">
    <tableColumn id="1" xr3:uid="{89FC12EE-E20D-46A8-AE13-8175381F9271}" name="C_L" dataDxfId="1">
      <calculatedColumnFormula>Table1412[[#This Row],[Lift]]/(0.5*$S$2*$B$4^2*$M$2)</calculatedColumnFormula>
    </tableColumn>
    <tableColumn id="2" xr3:uid="{42AE6CCA-C0C0-42D3-87F3-1A6F9A178AF4}" name="C_D" dataDxfId="0">
      <calculatedColumnFormula>Table1412[[#This Row],[Drag]]/(0.5*$S$2*$U$2^2*$M$2)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topLeftCell="A19" zoomScale="62" zoomScaleNormal="115" workbookViewId="0">
      <selection activeCell="N13" sqref="N13"/>
    </sheetView>
  </sheetViews>
  <sheetFormatPr defaultRowHeight="14.5" x14ac:dyDescent="0.35"/>
  <sheetData>
    <row r="1" spans="1:2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</v>
      </c>
      <c r="S1" t="s">
        <v>11</v>
      </c>
      <c r="T1" t="s">
        <v>12</v>
      </c>
      <c r="U1" t="s">
        <v>13</v>
      </c>
    </row>
    <row r="2" spans="1:21" x14ac:dyDescent="0.35">
      <c r="A2" s="2">
        <v>0</v>
      </c>
      <c r="B2">
        <v>0.1</v>
      </c>
      <c r="C2">
        <v>47.17</v>
      </c>
      <c r="D2">
        <v>4.5999999999999996</v>
      </c>
      <c r="E2">
        <f>Table14[[#This Row],[Lift]]/(0.5*$S$2*$B$4^2*$M$2)</f>
        <v>0.13300905854569803</v>
      </c>
      <c r="F2">
        <f>Table14[[#This Row],[Drag]]/(0.5*$S$2*$U$2^2*$M$2)</f>
        <v>1.2970991505410449E-2</v>
      </c>
      <c r="G2">
        <v>0.3</v>
      </c>
      <c r="J2">
        <f>Table1417[[#This Row],[Lift]]/(0.5*$S$2*$G$4^2*$M$2)</f>
        <v>0</v>
      </c>
      <c r="K2">
        <f>Table1417[[#This Row],[Drag]]/(0.5*$S$2*$G$4^2*$M$2)</f>
        <v>0</v>
      </c>
      <c r="M2">
        <v>0.5</v>
      </c>
      <c r="N2">
        <v>101325</v>
      </c>
      <c r="O2">
        <v>300</v>
      </c>
      <c r="P2">
        <v>1.4</v>
      </c>
      <c r="Q2">
        <v>287</v>
      </c>
      <c r="R2">
        <v>0.1</v>
      </c>
      <c r="S2">
        <f>N2/(O2*Q2)</f>
        <v>1.1768292682926829</v>
      </c>
      <c r="T2">
        <f>SQRT(P2*Q2*O2)</f>
        <v>347.18870949384285</v>
      </c>
      <c r="U2">
        <f>R2*T2</f>
        <v>34.718870949384289</v>
      </c>
    </row>
    <row r="3" spans="1:21" x14ac:dyDescent="0.35">
      <c r="A3" s="3">
        <v>3</v>
      </c>
      <c r="B3" t="s">
        <v>14</v>
      </c>
      <c r="C3">
        <v>75.7</v>
      </c>
      <c r="D3">
        <v>4.43</v>
      </c>
      <c r="E3">
        <f>Table14[[#This Row],[Lift]]/(0.5*$S$2*$B$4^2*$M$2)</f>
        <v>0.21345740368686331</v>
      </c>
      <c r="F3">
        <f>Table14[[#This Row],[Drag]]/(0.5*$S$2*$U$2^2*$M$2)</f>
        <v>1.2491628775862672E-2</v>
      </c>
      <c r="G3" t="s">
        <v>14</v>
      </c>
      <c r="J3">
        <f>Table1417[[#This Row],[Lift]]/(0.5*$S$2*$G$4^2*$M$2)</f>
        <v>0</v>
      </c>
      <c r="K3">
        <f>Table1417[[#This Row],[Drag]]/(0.5*$S$2*$G$4^2*$M$2)</f>
        <v>0</v>
      </c>
    </row>
    <row r="4" spans="1:21" x14ac:dyDescent="0.35">
      <c r="A4" s="2">
        <v>6</v>
      </c>
      <c r="B4">
        <f>B2*T2</f>
        <v>34.718870949384289</v>
      </c>
      <c r="C4">
        <v>101.17</v>
      </c>
      <c r="D4">
        <v>6.1</v>
      </c>
      <c r="E4">
        <f>Table14[[#This Row],[Lift]]/(0.5*$S$2*$B$4^2*$M$2)</f>
        <v>0.28527721969616854</v>
      </c>
      <c r="F4">
        <f>Table14[[#This Row],[Drag]]/(0.5*$S$2*$U$2^2*$M$2)</f>
        <v>1.7200662648479075E-2</v>
      </c>
      <c r="G4">
        <f>G2*T2</f>
        <v>104.15661284815285</v>
      </c>
      <c r="J4">
        <f>Table1417[[#This Row],[Lift]]/(0.5*$S$2*$G$4^2*$M$2)</f>
        <v>0</v>
      </c>
      <c r="K4">
        <f>Table1417[[#This Row],[Drag]]/(0.5*$S$2*$G$4^2*$M$2)</f>
        <v>0</v>
      </c>
    </row>
    <row r="5" spans="1:21" x14ac:dyDescent="0.35">
      <c r="A5" s="3">
        <v>9</v>
      </c>
      <c r="B5" t="s">
        <v>15</v>
      </c>
      <c r="C5">
        <v>126.67</v>
      </c>
      <c r="D5">
        <v>7.23</v>
      </c>
      <c r="E5">
        <f>Table14[[#This Row],[Lift]]/(0.5*$S$2*$B$4^2*$M$2)</f>
        <v>0.35718162912833518</v>
      </c>
      <c r="F5">
        <f>Table14[[#This Row],[Drag]]/(0.5*$S$2*$U$2^2*$M$2)</f>
        <v>2.0387014909590776E-2</v>
      </c>
      <c r="G5" t="s">
        <v>15</v>
      </c>
      <c r="J5">
        <f>Table1417[[#This Row],[Lift]]/(0.5*$S$2*$G$4^2*$M$2)</f>
        <v>0</v>
      </c>
      <c r="K5">
        <f>Table1417[[#This Row],[Drag]]/(0.5*$S$2*$G$4^2*$M$2)</f>
        <v>0</v>
      </c>
    </row>
    <row r="6" spans="1:21" x14ac:dyDescent="0.35">
      <c r="A6" s="2">
        <v>12</v>
      </c>
      <c r="B6">
        <f>U2*S2*1/0.0000185</f>
        <v>2208550.459206054</v>
      </c>
      <c r="C6">
        <v>141</v>
      </c>
      <c r="D6">
        <v>8.02</v>
      </c>
      <c r="E6">
        <f>Table14[[#This Row],[Lift]]/(0.5*$S$2*$B$4^2*$M$2)</f>
        <v>0.39758908744845078</v>
      </c>
      <c r="F6">
        <f>Table14[[#This Row],[Drag]]/(0.5*$S$2*$U$2^2*$M$2)</f>
        <v>2.2614641711606914E-2</v>
      </c>
      <c r="G6">
        <f>G4*S2*1/0.0000185</f>
        <v>6625651.3776181601</v>
      </c>
      <c r="J6">
        <f>Table1417[[#This Row],[Lift]]/(0.5*$S$2*$G$4^2*$M$2)</f>
        <v>0</v>
      </c>
      <c r="K6">
        <f>Table1417[[#This Row],[Drag]]/(0.5*$S$2*$G$4^2*$M$2)</f>
        <v>0</v>
      </c>
    </row>
    <row r="7" spans="1:21" x14ac:dyDescent="0.35">
      <c r="A7" s="3">
        <v>15</v>
      </c>
      <c r="C7">
        <v>127.7</v>
      </c>
      <c r="D7">
        <v>13.11</v>
      </c>
      <c r="E7">
        <f>Table14[[#This Row],[Lift]]/(0.5*$S$2*$B$4^2*$M$2)</f>
        <v>0.36008600331324231</v>
      </c>
      <c r="F7">
        <f>Table14[[#This Row],[Drag]]/(0.5*$S$2*$U$2^2*$M$2)</f>
        <v>3.6967325790419781E-2</v>
      </c>
      <c r="J7">
        <f>Table1417[[#This Row],[Lift]]/(0.5*$S$2*$G$4^2*$M$2)</f>
        <v>0</v>
      </c>
      <c r="K7">
        <f>Table1417[[#This Row],[Drag]]/(0.5*$S$2*$G$4^2*$M$2)</f>
        <v>0</v>
      </c>
    </row>
    <row r="8" spans="1:21" x14ac:dyDescent="0.35">
      <c r="A8" s="2">
        <v>18</v>
      </c>
      <c r="C8">
        <v>103.84</v>
      </c>
      <c r="D8">
        <v>23.25</v>
      </c>
      <c r="E8">
        <f>Table14[[#This Row],[Lift]]/(0.5*$S$2*$B$4^2*$M$2)</f>
        <v>0.29280603433083069</v>
      </c>
      <c r="F8">
        <f>Table14[[#This Row],[Drag]]/(0.5*$S$2*$U$2^2*$M$2)</f>
        <v>6.5559902717563692E-2</v>
      </c>
      <c r="J8">
        <f>Table1417[[#This Row],[Lift]]/(0.5*$S$2*$G$4^2*$M$2)</f>
        <v>0</v>
      </c>
      <c r="K8">
        <f>Table1417[[#This Row],[Drag]]/(0.5*$S$2*$G$4^2*$M$2)</f>
        <v>0</v>
      </c>
    </row>
    <row r="9" spans="1:21" x14ac:dyDescent="0.35">
      <c r="A9" s="3">
        <v>20</v>
      </c>
      <c r="C9">
        <v>98.51</v>
      </c>
      <c r="D9">
        <v>31.3</v>
      </c>
      <c r="E9">
        <f>Table14[[#This Row],[Lift]]/(0.5*$S$2*$B$4^2*$M$2)</f>
        <v>0.27777660286912687</v>
      </c>
      <c r="F9">
        <f>Table14[[#This Row],[Drag]]/(0.5*$S$2*$U$2^2*$M$2)</f>
        <v>8.8259137852031974E-2</v>
      </c>
      <c r="J9">
        <f>Table1417[[#This Row],[Lift]]/(0.5*$S$2*$G$4^2*$M$2)</f>
        <v>0</v>
      </c>
      <c r="K9">
        <f>Table1417[[#This Row],[Drag]]/(0.5*$S$2*$G$4^2*$M$2)</f>
        <v>0</v>
      </c>
    </row>
    <row r="10" spans="1:21" x14ac:dyDescent="0.35">
      <c r="A10" s="2">
        <v>24</v>
      </c>
      <c r="C10">
        <v>104.6</v>
      </c>
      <c r="D10">
        <v>46.22</v>
      </c>
      <c r="E10">
        <f>Table14[[#This Row],[Lift]]/(0.5*$S$2*$B$4^2*$M$2)</f>
        <v>0.29494906770998547</v>
      </c>
      <c r="F10">
        <f>Table14[[#This Row],[Drag]]/(0.5*$S$2*$U$2^2*$M$2)</f>
        <v>0.13033026682175458</v>
      </c>
      <c r="J10">
        <f>Table1417[[#This Row],[Lift]]/(0.5*$S$2*$G$4^2*$M$2)</f>
        <v>0</v>
      </c>
      <c r="K10">
        <f>Table1417[[#This Row],[Drag]]/(0.5*$S$2*$G$4^2*$M$2)</f>
        <v>0</v>
      </c>
    </row>
    <row r="11" spans="1:21" x14ac:dyDescent="0.35">
      <c r="A11" s="3">
        <v>27</v>
      </c>
      <c r="C11">
        <v>135.06</v>
      </c>
      <c r="D11">
        <v>66.42</v>
      </c>
      <c r="E11">
        <f>Table14[[#This Row],[Lift]]/(0.5*$S$2*$B$4^2*$M$2)</f>
        <v>0.38083958972189902</v>
      </c>
      <c r="F11">
        <f>Table14[[#This Row],[Drag]]/(0.5*$S$2*$U$2^2*$M$2)</f>
        <v>0.18728983821507872</v>
      </c>
      <c r="J11">
        <f>Table1417[[#This Row],[Lift]]/(0.5*$S$2*$G$4^2*$M$2)</f>
        <v>0</v>
      </c>
      <c r="K11">
        <f>Table1417[[#This Row],[Drag]]/(0.5*$S$2*$G$4^2*$M$2)</f>
        <v>0</v>
      </c>
    </row>
    <row r="12" spans="1:21" x14ac:dyDescent="0.35">
      <c r="A12" s="2">
        <v>30</v>
      </c>
      <c r="C12">
        <v>193.21</v>
      </c>
      <c r="D12">
        <v>105.96</v>
      </c>
      <c r="E12">
        <f>Table14[[#This Row],[Lift]]/(0.5*$S$2*$B$4^2*$M$2)</f>
        <v>0.54480984103485941</v>
      </c>
      <c r="F12">
        <f>Table14[[#This Row],[Drag]]/(0.5*$S$2*$U$2^2*$M$2)</f>
        <v>0.29878396954636766</v>
      </c>
      <c r="J12">
        <f>Table1417[[#This Row],[Lift]]/(0.5*$S$2*$G$4^2*$M$2)</f>
        <v>0</v>
      </c>
      <c r="K12">
        <f>Table1417[[#This Row],[Drag]]/(0.5*$S$2*$G$4^2*$M$2)</f>
        <v>0</v>
      </c>
    </row>
    <row r="13" spans="1:21" x14ac:dyDescent="0.35">
      <c r="A13" s="4"/>
    </row>
    <row r="14" spans="1:21" x14ac:dyDescent="0.35">
      <c r="A14" t="s">
        <v>16</v>
      </c>
    </row>
    <row r="15" spans="1:21" x14ac:dyDescent="0.35">
      <c r="A15" s="1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21" x14ac:dyDescent="0.35">
      <c r="A16" s="2">
        <v>0</v>
      </c>
      <c r="B16">
        <v>0.1</v>
      </c>
      <c r="C16">
        <v>0</v>
      </c>
      <c r="D16">
        <v>3.93</v>
      </c>
      <c r="E16">
        <f>Table146[[#This Row],[Lift]]/(0.5*$S$2*$B$4^2*$M$2)</f>
        <v>0</v>
      </c>
      <c r="F16">
        <f>Table146[[#This Row],[Drag]]/(0.5*$S$2*$U$2^2*$M$2)</f>
        <v>1.1081738394839799E-2</v>
      </c>
    </row>
    <row r="17" spans="1:6" x14ac:dyDescent="0.35">
      <c r="A17" s="3">
        <v>3</v>
      </c>
      <c r="B17" t="s">
        <v>14</v>
      </c>
      <c r="C17">
        <v>114.4</v>
      </c>
      <c r="D17">
        <v>4.3499999999999996</v>
      </c>
      <c r="E17">
        <f>Table146[[#This Row],[Lift]]/(0.5*$S$2*$B$4^2*$M$2)</f>
        <v>0.32258291917803383</v>
      </c>
      <c r="F17">
        <f>Table146[[#This Row],[Drag]]/(0.5*$S$2*$U$2^2*$M$2)</f>
        <v>1.2266046314899012E-2</v>
      </c>
    </row>
    <row r="18" spans="1:6" x14ac:dyDescent="0.35">
      <c r="A18" s="2">
        <v>6</v>
      </c>
      <c r="B18">
        <f>B16*T15</f>
        <v>0</v>
      </c>
      <c r="C18">
        <v>226.72</v>
      </c>
      <c r="D18">
        <v>5.67</v>
      </c>
      <c r="E18">
        <f>Table146[[#This Row],[Lift]]/(0.5*$S$2*$B$4^2*$M$2)</f>
        <v>0.63930069437101245</v>
      </c>
      <c r="F18">
        <f>Table146[[#This Row],[Drag]]/(0.5*$S$2*$U$2^2*$M$2)</f>
        <v>1.5988156920799402E-2</v>
      </c>
    </row>
    <row r="19" spans="1:6" x14ac:dyDescent="0.35">
      <c r="A19" s="3">
        <v>9</v>
      </c>
      <c r="B19" t="s">
        <v>15</v>
      </c>
      <c r="C19">
        <v>334.18</v>
      </c>
      <c r="D19">
        <v>7.92</v>
      </c>
      <c r="E19">
        <f>Table146[[#This Row],[Lift]]/(0.5*$S$2*$B$4^2*$M$2)</f>
        <v>0.94231433506044882</v>
      </c>
      <c r="F19">
        <f>Table146[[#This Row],[Drag]]/(0.5*$S$2*$U$2^2*$M$2)</f>
        <v>2.2332663635402341E-2</v>
      </c>
    </row>
    <row r="20" spans="1:6" x14ac:dyDescent="0.35">
      <c r="A20" s="2">
        <v>12</v>
      </c>
      <c r="B20">
        <f>U15*S15*1/0.0000185</f>
        <v>0</v>
      </c>
      <c r="C20">
        <v>428.37</v>
      </c>
      <c r="D20">
        <v>11.48</v>
      </c>
      <c r="E20">
        <f>Table146[[#This Row],[Lift]]/(0.5*$S$2*$B$4^2*$M$2)</f>
        <v>1.207909485037538</v>
      </c>
      <c r="F20">
        <f>Table146[[#This Row],[Drag]]/(0.5*$S$2*$U$2^2*$M$2)</f>
        <v>3.2371083148285212E-2</v>
      </c>
    </row>
    <row r="21" spans="1:6" x14ac:dyDescent="0.35">
      <c r="A21" s="3">
        <v>15</v>
      </c>
      <c r="C21">
        <v>492.28</v>
      </c>
      <c r="D21">
        <v>17.010000000000002</v>
      </c>
      <c r="E21">
        <f>Table146[[#This Row],[Lift]]/(0.5*$S$2*$B$4^2*$M$2)</f>
        <v>1.3881216735398818</v>
      </c>
      <c r="F21">
        <f>Table146[[#This Row],[Drag]]/(0.5*$S$2*$U$2^2*$M$2)</f>
        <v>4.7964470762398216E-2</v>
      </c>
    </row>
    <row r="22" spans="1:6" x14ac:dyDescent="0.35">
      <c r="A22" s="2">
        <v>18</v>
      </c>
      <c r="C22">
        <v>422.25</v>
      </c>
      <c r="D22">
        <v>32.86</v>
      </c>
      <c r="E22">
        <f>Table146[[#This Row],[Lift]]/(0.5*$S$2*$B$4^2*$M$2)</f>
        <v>1.1906524267738179</v>
      </c>
      <c r="F22">
        <f>Table146[[#This Row],[Drag]]/(0.5*$S$2*$U$2^2*$M$2)</f>
        <v>9.2657995840823348E-2</v>
      </c>
    </row>
    <row r="23" spans="1:6" x14ac:dyDescent="0.35">
      <c r="A23" s="4">
        <v>20</v>
      </c>
      <c r="C23">
        <v>323.51</v>
      </c>
      <c r="D23">
        <v>56.04</v>
      </c>
      <c r="E23">
        <f>Table146[[#This Row],[Lift]]/(0.5*$S$2*$B$4^2*$M$2)</f>
        <v>0.91222727432942063</v>
      </c>
      <c r="F23">
        <f>Table146[[#This Row],[Drag]]/(0.5*$S$2*$U$2^2*$M$2)</f>
        <v>0.15802051390504385</v>
      </c>
    </row>
    <row r="24" spans="1:6" x14ac:dyDescent="0.35">
      <c r="A24" s="2">
        <v>24</v>
      </c>
      <c r="C24">
        <v>307</v>
      </c>
      <c r="D24">
        <v>91.93</v>
      </c>
      <c r="E24">
        <f>Table146[[#This Row],[Lift]]/(0.5*$S$2*$B$4^2*$M$2)</f>
        <v>0.86567269394804525</v>
      </c>
      <c r="F24">
        <f>Table146[[#This Row],[Drag]]/(0.5*$S$2*$U$2^2*$M$2)</f>
        <v>0.25922244545486584</v>
      </c>
    </row>
    <row r="25" spans="1:6" x14ac:dyDescent="0.35">
      <c r="A25" s="3">
        <v>27</v>
      </c>
      <c r="C25">
        <v>315.22000000000003</v>
      </c>
      <c r="D25">
        <v>120.69</v>
      </c>
      <c r="E25">
        <f>Table146[[#This Row],[Lift]]/(0.5*$S$2*$B$4^2*$M$2)</f>
        <v>0.88885129181206146</v>
      </c>
      <c r="F25">
        <f>Table146[[#This Row],[Drag]]/(0.5*$S$2*$U$2^2*$M$2)</f>
        <v>0.34031934017130155</v>
      </c>
    </row>
    <row r="26" spans="1:6" x14ac:dyDescent="0.35">
      <c r="A26" s="2">
        <v>30</v>
      </c>
      <c r="C26">
        <v>327.39999999999998</v>
      </c>
      <c r="D26">
        <v>151.9</v>
      </c>
      <c r="E26">
        <f>Table146[[#This Row],[Lift]]/(0.5*$S$2*$B$4^2*$M$2)</f>
        <v>0.92319622149377856</v>
      </c>
      <c r="F26">
        <f>Table146[[#This Row],[Drag]]/(0.5*$S$2*$U$2^2*$M$2)</f>
        <v>0.42832469775474946</v>
      </c>
    </row>
    <row r="27" spans="1:6" x14ac:dyDescent="0.35">
      <c r="A27" s="4"/>
    </row>
    <row r="30" spans="1:6" x14ac:dyDescent="0.35">
      <c r="A30" t="s">
        <v>18</v>
      </c>
    </row>
    <row r="31" spans="1:6" x14ac:dyDescent="0.35">
      <c r="A31" s="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6" x14ac:dyDescent="0.35">
      <c r="A32" s="2">
        <v>0</v>
      </c>
      <c r="B32">
        <v>0.1</v>
      </c>
      <c r="C32">
        <v>17.670000000000002</v>
      </c>
      <c r="D32">
        <v>1.23</v>
      </c>
      <c r="E32">
        <f>Table1468[[#This Row],[Lift]]/(0.5*$S$2*$B$4^2*$M$2)</f>
        <v>4.9825526065348409E-2</v>
      </c>
      <c r="F32">
        <f>Table1468[[#This Row],[Drag]]/(0.5*$S$2*$U$2^2*$M$2)</f>
        <v>3.4683303373162725E-3</v>
      </c>
    </row>
    <row r="33" spans="1:7" x14ac:dyDescent="0.35">
      <c r="A33" s="3">
        <v>3</v>
      </c>
      <c r="C33">
        <v>44.06</v>
      </c>
      <c r="D33">
        <v>1.681</v>
      </c>
      <c r="E33">
        <f>Table1468[[#This Row],[Lift]]/(0.5*$S$2*$B$4^2*$M$2)</f>
        <v>0.12423954037573576</v>
      </c>
      <c r="F33">
        <f>Table1468[[#This Row],[Drag]]/(0.5*$S$2*$U$2^2*$M$2)</f>
        <v>4.740051460998906E-3</v>
      </c>
    </row>
    <row r="34" spans="1:7" x14ac:dyDescent="0.35">
      <c r="A34" s="2">
        <v>6</v>
      </c>
      <c r="C34">
        <v>68.650000000000006</v>
      </c>
      <c r="D34">
        <v>2.7250000000000001</v>
      </c>
      <c r="E34">
        <f>Table1468[[#This Row],[Lift]]/(0.5*$S$2*$B$4^2*$M$2)</f>
        <v>0.19357794931444075</v>
      </c>
      <c r="F34">
        <f>Table1468[[#This Row],[Drag]]/(0.5*$S$2*$U$2^2*$M$2)</f>
        <v>7.6839025765746694E-3</v>
      </c>
    </row>
    <row r="35" spans="1:7" x14ac:dyDescent="0.35">
      <c r="A35" s="3">
        <v>9</v>
      </c>
      <c r="C35">
        <v>94.85</v>
      </c>
      <c r="D35">
        <v>4.1740000000000004</v>
      </c>
      <c r="E35">
        <f>Table1468[[#This Row],[Lift]]/(0.5*$S$2*$B$4^2*$M$2)</f>
        <v>0.26745620528003938</v>
      </c>
      <c r="F35">
        <f>Table1468[[#This Row],[Drag]]/(0.5*$S$2*$U$2^2*$M$2)</f>
        <v>1.1769764900778962E-2</v>
      </c>
    </row>
    <row r="36" spans="1:7" x14ac:dyDescent="0.35">
      <c r="A36" s="2">
        <v>12</v>
      </c>
      <c r="C36">
        <v>115.87</v>
      </c>
      <c r="D36">
        <v>6.1890000000000001</v>
      </c>
      <c r="E36">
        <f>Table1468[[#This Row],[Lift]]/(0.5*$S$2*$B$4^2*$M$2)</f>
        <v>0.32672799689824106</v>
      </c>
      <c r="F36">
        <f>Table1468[[#This Row],[Drag]]/(0.5*$S$2*$U$2^2*$M$2)</f>
        <v>1.7451623136301147E-2</v>
      </c>
    </row>
    <row r="37" spans="1:7" x14ac:dyDescent="0.35">
      <c r="A37" s="3">
        <v>15</v>
      </c>
      <c r="C37">
        <v>122.52</v>
      </c>
      <c r="D37">
        <v>8.6219999999999999</v>
      </c>
      <c r="E37">
        <f>Table1468[[#This Row],[Lift]]/(0.5*$S$2*$B$4^2*$M$2)</f>
        <v>0.34547953896584527</v>
      </c>
      <c r="F37">
        <f>Table1468[[#This Row],[Drag]]/(0.5*$S$2*$U$2^2*$M$2)</f>
        <v>2.4312149730358456E-2</v>
      </c>
    </row>
    <row r="38" spans="1:7" x14ac:dyDescent="0.35">
      <c r="A38" s="2">
        <v>18</v>
      </c>
      <c r="E38">
        <f>Table1468[[#This Row],[Lift]]/(0.5*$S$2*$B$4^2*$M$2)</f>
        <v>0</v>
      </c>
      <c r="F38">
        <f>Table1468[[#This Row],[Drag]]/(0.5*$S$2*$U$2^2*$M$2)</f>
        <v>0</v>
      </c>
    </row>
    <row r="39" spans="1:7" x14ac:dyDescent="0.35">
      <c r="A39" s="3">
        <v>21</v>
      </c>
      <c r="E39">
        <f>Table1468[[#This Row],[Lift]]/(0.5*$S$2*$B$4^2*$M$2)</f>
        <v>0</v>
      </c>
      <c r="F39">
        <f>Table1468[[#This Row],[Drag]]/(0.5*$S$2*$U$2^2*$M$2)</f>
        <v>0</v>
      </c>
    </row>
    <row r="40" spans="1:7" x14ac:dyDescent="0.35">
      <c r="A40" s="2">
        <v>24</v>
      </c>
      <c r="E40">
        <f>Table1468[[#This Row],[Lift]]/(0.5*$S$2*$B$4^2*$M$2)</f>
        <v>0</v>
      </c>
      <c r="F40">
        <f>Table1468[[#This Row],[Drag]]/(0.5*$S$2*$U$2^2*$M$2)</f>
        <v>0</v>
      </c>
    </row>
    <row r="41" spans="1:7" x14ac:dyDescent="0.35">
      <c r="A41" s="3">
        <v>27</v>
      </c>
      <c r="E41">
        <f>Table1468[[#This Row],[Lift]]/(0.5*$S$2*$B$4^2*$M$2)</f>
        <v>0</v>
      </c>
      <c r="F41">
        <f>Table1468[[#This Row],[Drag]]/(0.5*$S$2*$U$2^2*$M$2)</f>
        <v>0</v>
      </c>
    </row>
    <row r="42" spans="1:7" x14ac:dyDescent="0.35">
      <c r="A42" s="2">
        <v>30</v>
      </c>
      <c r="E42">
        <f>Table1468[[#This Row],[Lift]]/(0.5*$S$2*$B$4^2*$M$2)</f>
        <v>0</v>
      </c>
      <c r="F42">
        <f>Table1468[[#This Row],[Drag]]/(0.5*$S$2*$U$2^2*$M$2)</f>
        <v>0</v>
      </c>
    </row>
    <row r="43" spans="1:7" x14ac:dyDescent="0.35">
      <c r="A43" t="s">
        <v>19</v>
      </c>
    </row>
    <row r="44" spans="1:7" x14ac:dyDescent="0.35">
      <c r="A44" s="1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7" x14ac:dyDescent="0.35">
      <c r="A45" s="2">
        <v>0</v>
      </c>
      <c r="B45">
        <v>0.1</v>
      </c>
      <c r="C45">
        <v>24.7</v>
      </c>
      <c r="D45">
        <v>1.54</v>
      </c>
      <c r="E45">
        <f>Table146810[[#This Row],[Lift]]/(0.5*$S$2*$B$4^2*$M$2)</f>
        <v>6.964858482253003E-2</v>
      </c>
      <c r="F45">
        <f>Table146810[[#This Row],[Drag]]/(0.5*$S$2*$U$2^2*$M$2)</f>
        <v>4.3424623735504554E-3</v>
      </c>
    </row>
    <row r="46" spans="1:7" x14ac:dyDescent="0.35">
      <c r="A46" s="3">
        <v>3</v>
      </c>
      <c r="B46" t="s">
        <v>14</v>
      </c>
      <c r="C46">
        <v>44.43</v>
      </c>
      <c r="D46">
        <v>3.23</v>
      </c>
      <c r="E46">
        <f>Table146810[[#This Row],[Lift]]/(0.5*$S$2*$B$4^2*$M$2)</f>
        <v>0.12528285925769267</v>
      </c>
      <c r="F46">
        <f>Table146810[[#This Row],[Drag]]/(0.5*$S$2*$U$2^2*$M$2)</f>
        <v>9.1078918614077731E-3</v>
      </c>
    </row>
    <row r="47" spans="1:7" x14ac:dyDescent="0.35">
      <c r="A47" s="2">
        <v>6</v>
      </c>
      <c r="B47">
        <f>B45*T43</f>
        <v>0</v>
      </c>
      <c r="C47">
        <v>14.67</v>
      </c>
      <c r="D47">
        <v>1.1140000000000001</v>
      </c>
      <c r="E47">
        <f>Table146810[[#This Row],[Lift]]/(0.5*$S$2*$B$4^2*$M$2)</f>
        <v>4.1366183779211155E-2</v>
      </c>
      <c r="F47">
        <f>Table146810[[#This Row],[Drag]]/(0.5*$S$2*$U$2^2*$M$2)</f>
        <v>3.1412357689189659E-3</v>
      </c>
      <c r="G47" t="s">
        <v>17</v>
      </c>
    </row>
    <row r="48" spans="1:7" x14ac:dyDescent="0.35">
      <c r="A48" s="3">
        <v>9</v>
      </c>
      <c r="B48" t="s">
        <v>15</v>
      </c>
      <c r="E48">
        <f>Table146810[[#This Row],[Lift]]/(0.5*$S$2*$B$4^2*$M$2)</f>
        <v>0</v>
      </c>
      <c r="F48">
        <f>Table146810[[#This Row],[Drag]]/(0.5*$S$2*$U$2^2*$M$2)</f>
        <v>0</v>
      </c>
    </row>
    <row r="49" spans="1:7" x14ac:dyDescent="0.35">
      <c r="A49" s="2">
        <v>12</v>
      </c>
      <c r="B49">
        <f>U43*S43*1/0.0000185</f>
        <v>0</v>
      </c>
      <c r="E49">
        <f>Table146810[[#This Row],[Lift]]/(0.5*$S$2*$B$4^2*$M$2)</f>
        <v>0</v>
      </c>
      <c r="F49">
        <f>Table146810[[#This Row],[Drag]]/(0.5*$S$2*$U$2^2*$M$2)</f>
        <v>0</v>
      </c>
    </row>
    <row r="50" spans="1:7" x14ac:dyDescent="0.35">
      <c r="A50" s="3">
        <v>15</v>
      </c>
      <c r="E50">
        <f>Table146810[[#This Row],[Lift]]/(0.5*$S$2*$B$4^2*$M$2)</f>
        <v>0</v>
      </c>
      <c r="F50">
        <f>Table146810[[#This Row],[Drag]]/(0.5*$S$2*$U$2^2*$M$2)</f>
        <v>0</v>
      </c>
    </row>
    <row r="51" spans="1:7" x14ac:dyDescent="0.35">
      <c r="A51" s="2">
        <v>18</v>
      </c>
      <c r="E51">
        <f>Table146810[[#This Row],[Lift]]/(0.5*$S$2*$B$4^2*$M$2)</f>
        <v>0</v>
      </c>
      <c r="F51">
        <f>Table146810[[#This Row],[Drag]]/(0.5*$S$2*$U$2^2*$M$2)</f>
        <v>0</v>
      </c>
    </row>
    <row r="52" spans="1:7" x14ac:dyDescent="0.35">
      <c r="A52" s="3">
        <v>21</v>
      </c>
      <c r="E52">
        <f>Table146810[[#This Row],[Lift]]/(0.5*$S$2*$B$4^2*$M$2)</f>
        <v>0</v>
      </c>
      <c r="F52">
        <f>Table146810[[#This Row],[Drag]]/(0.5*$S$2*$U$2^2*$M$2)</f>
        <v>0</v>
      </c>
    </row>
    <row r="53" spans="1:7" x14ac:dyDescent="0.35">
      <c r="A53" s="2">
        <v>24</v>
      </c>
      <c r="E53">
        <f>Table146810[[#This Row],[Lift]]/(0.5*$S$2*$B$4^2*$M$2)</f>
        <v>0</v>
      </c>
      <c r="F53">
        <f>Table146810[[#This Row],[Drag]]/(0.5*$S$2*$U$2^2*$M$2)</f>
        <v>0</v>
      </c>
    </row>
    <row r="54" spans="1:7" x14ac:dyDescent="0.35">
      <c r="A54" s="3">
        <v>27</v>
      </c>
      <c r="E54">
        <f>Table146810[[#This Row],[Lift]]/(0.5*$S$2*$B$4^2*$M$2)</f>
        <v>0</v>
      </c>
      <c r="F54">
        <f>Table146810[[#This Row],[Drag]]/(0.5*$S$2*$U$2^2*$M$2)</f>
        <v>0</v>
      </c>
    </row>
    <row r="55" spans="1:7" x14ac:dyDescent="0.35">
      <c r="A55" s="2">
        <v>30</v>
      </c>
      <c r="E55">
        <f>Table146810[[#This Row],[Lift]]/(0.5*$S$2*$B$4^2*$M$2)</f>
        <v>0</v>
      </c>
      <c r="F55">
        <f>Table146810[[#This Row],[Drag]]/(0.5*$S$2*$U$2^2*$M$2)</f>
        <v>0</v>
      </c>
    </row>
    <row r="57" spans="1:7" x14ac:dyDescent="0.35">
      <c r="A57" s="3" t="s">
        <v>20</v>
      </c>
    </row>
    <row r="58" spans="1:7" x14ac:dyDescent="0.35">
      <c r="A58" s="1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7" x14ac:dyDescent="0.35">
      <c r="A59" s="2">
        <v>20</v>
      </c>
      <c r="B59">
        <v>0.1</v>
      </c>
      <c r="C59">
        <v>151.63</v>
      </c>
      <c r="D59">
        <v>54.106999999999999</v>
      </c>
      <c r="E59">
        <f>Table1412[[#This Row],[Lift]]/(0.5*$S$2*$B$4^2*$M$2)</f>
        <v>0.42756335694899705</v>
      </c>
      <c r="F59">
        <f>Table1412[[#This Row],[Drag]]/(0.5*$S$2*$U$2^2*$M$2)</f>
        <v>0.15256987769200939</v>
      </c>
      <c r="G59" t="s">
        <v>22</v>
      </c>
    </row>
    <row r="60" spans="1:7" x14ac:dyDescent="0.35">
      <c r="A60" s="3">
        <v>20</v>
      </c>
      <c r="C60">
        <v>114.81399999999999</v>
      </c>
      <c r="D60">
        <v>26.391999999999999</v>
      </c>
      <c r="E60">
        <f>Table1412[[#This Row],[Lift]]/(0.5*$S$2*$B$4^2*$M$2)</f>
        <v>0.32375030841352076</v>
      </c>
      <c r="F60">
        <f>Table1412[[#This Row],[Drag]]/(0.5*$S$2*$U$2^2*$M$2)</f>
        <v>7.4419653871911434E-2</v>
      </c>
      <c r="G60" t="s">
        <v>23</v>
      </c>
    </row>
    <row r="61" spans="1:7" x14ac:dyDescent="0.35">
      <c r="A61" s="2">
        <v>20</v>
      </c>
      <c r="C61">
        <v>232.74</v>
      </c>
      <c r="D61">
        <v>114.72</v>
      </c>
      <c r="E61">
        <f>Table1412[[#This Row],[Lift]]/(0.5*$S$2*$B$4^2*$M$2)</f>
        <v>0.65627577455852792</v>
      </c>
      <c r="F61">
        <f>Table1412[[#This Row],[Drag]]/(0.5*$S$2*$U$2^2*$M$2)</f>
        <v>0.32348524902188847</v>
      </c>
      <c r="G61" t="s">
        <v>24</v>
      </c>
    </row>
    <row r="62" spans="1:7" x14ac:dyDescent="0.35">
      <c r="A62" s="3">
        <v>20</v>
      </c>
      <c r="C62">
        <v>91.24</v>
      </c>
      <c r="D62">
        <v>17.96</v>
      </c>
      <c r="E62">
        <f>Table1412[[#This Row],[Lift]]/(0.5*$S$2*$B$4^2*$M$2)</f>
        <v>0.25727679672905424</v>
      </c>
      <c r="F62">
        <f>Table1412[[#This Row],[Drag]]/(0.5*$S$2*$U$2^2*$M$2)</f>
        <v>5.0643262486341677E-2</v>
      </c>
      <c r="G62" t="s">
        <v>25</v>
      </c>
    </row>
    <row r="63" spans="1:7" x14ac:dyDescent="0.35">
      <c r="A63" s="2">
        <v>12</v>
      </c>
      <c r="E63">
        <f>Table1412[[#This Row],[Lift]]/(0.5*$S$2*$B$4^2*$M$2)</f>
        <v>0</v>
      </c>
      <c r="F63">
        <f>Table1412[[#This Row],[Drag]]/(0.5*$S$2*$U$2^2*$M$2)</f>
        <v>0</v>
      </c>
    </row>
    <row r="64" spans="1:7" x14ac:dyDescent="0.35">
      <c r="A64" s="3">
        <v>15</v>
      </c>
      <c r="E64">
        <f>Table1412[[#This Row],[Lift]]/(0.5*$S$2*$B$4^2*$M$2)</f>
        <v>0</v>
      </c>
      <c r="F64">
        <f>Table1412[[#This Row],[Drag]]/(0.5*$S$2*$U$2^2*$M$2)</f>
        <v>0</v>
      </c>
    </row>
    <row r="65" spans="1:7" x14ac:dyDescent="0.35">
      <c r="A65" s="2">
        <v>18</v>
      </c>
      <c r="E65">
        <f>Table1412[[#This Row],[Lift]]/(0.5*$S$2*$B$4^2*$M$2)</f>
        <v>0</v>
      </c>
      <c r="F65">
        <f>Table1412[[#This Row],[Drag]]/(0.5*$S$2*$U$2^2*$M$2)</f>
        <v>0</v>
      </c>
    </row>
    <row r="66" spans="1:7" x14ac:dyDescent="0.35">
      <c r="A66" s="3">
        <v>20</v>
      </c>
      <c r="C66">
        <v>126.19</v>
      </c>
      <c r="D66">
        <v>49.93</v>
      </c>
      <c r="E66">
        <f>Table1412[[#This Row],[Lift]]/(0.5*$S$2*$B$4^2*$M$2)</f>
        <v>0.35582813436255323</v>
      </c>
      <c r="F66">
        <f>Table1412[[#This Row],[Drag]]/(0.5*$S$2*$U$2^2*$M$2)</f>
        <v>0.14079165344894431</v>
      </c>
      <c r="G66" t="s">
        <v>21</v>
      </c>
    </row>
    <row r="67" spans="1:7" x14ac:dyDescent="0.35">
      <c r="A67" s="2">
        <v>24</v>
      </c>
      <c r="E67">
        <f>Table1412[[#This Row],[Lift]]/(0.5*$S$2*$B$4^2*$M$2)</f>
        <v>0</v>
      </c>
      <c r="F67">
        <f>Table1412[[#This Row],[Drag]]/(0.5*$S$2*$U$2^2*$M$2)</f>
        <v>0</v>
      </c>
    </row>
    <row r="68" spans="1:7" x14ac:dyDescent="0.35">
      <c r="A68" s="3">
        <v>27</v>
      </c>
      <c r="E68">
        <f>Table1412[[#This Row],[Lift]]/(0.5*$S$2*$B$4^2*$M$2)</f>
        <v>0</v>
      </c>
      <c r="F68">
        <f>Table1412[[#This Row],[Drag]]/(0.5*$S$2*$U$2^2*$M$2)</f>
        <v>0</v>
      </c>
    </row>
    <row r="69" spans="1:7" x14ac:dyDescent="0.35">
      <c r="A69" s="2">
        <v>30</v>
      </c>
      <c r="E69">
        <f>Table1412[[#This Row],[Lift]]/(0.5*$S$2*$B$4^2*$M$2)</f>
        <v>0</v>
      </c>
      <c r="F69">
        <f>Table1412[[#This Row],[Drag]]/(0.5*$S$2*$U$2^2*$M$2)</f>
        <v>0</v>
      </c>
    </row>
  </sheetData>
  <phoneticPr fontId="2" type="noConversion"/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Vestini</dc:creator>
  <cp:lastModifiedBy>Claudio Vestini</cp:lastModifiedBy>
  <dcterms:created xsi:type="dcterms:W3CDTF">2015-06-05T18:17:20Z</dcterms:created>
  <dcterms:modified xsi:type="dcterms:W3CDTF">2024-05-23T12:03:32Z</dcterms:modified>
</cp:coreProperties>
</file>