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y materials\Datacamp\DataCamp Excel\Data Analysis with Excel Power Tools\Financial Modeling in Excel\"/>
    </mc:Choice>
  </mc:AlternateContent>
  <xr:revisionPtr revIDLastSave="0" documentId="13_ncr:1_{B3E51314-1F2C-4AEC-A1AC-E84092BDA001}" xr6:coauthVersionLast="47" xr6:coauthVersionMax="47" xr10:uidLastSave="{00000000-0000-0000-0000-000000000000}"/>
  <bookViews>
    <workbookView xWindow="3330" yWindow="510" windowWidth="31080" windowHeight="20010" xr2:uid="{4FDF45FB-1CFF-4C45-826A-662E4B25C150}"/>
  </bookViews>
  <sheets>
    <sheet name="Analysis" sheetId="2" r:id="rId1"/>
    <sheet name="Scenario Summary" sheetId="5" r:id="rId2"/>
    <sheet name="TVM Analysis" sheetId="6" r:id="rId3"/>
  </sheets>
  <definedNames>
    <definedName name="AcquisitionCapRate" localSheetId="0">Analysis!$G$8</definedName>
    <definedName name="AcquisitionCapRate">#REF!</definedName>
    <definedName name="Cost_Growth" localSheetId="0">Analysis!$C$14</definedName>
    <definedName name="Cost_Growth">#REF!</definedName>
    <definedName name="CostGrowth" localSheetId="0">Analysis!$C$14</definedName>
    <definedName name="CostGrowth" comment="The rate at which estimated costs will grow each year.">#REF!</definedName>
    <definedName name="HoldingPeriod" localSheetId="0">Analysis!$G$11</definedName>
    <definedName name="HoldingPeriod">#REF!</definedName>
    <definedName name="NetOperatingIncome">Analysis!$C$51</definedName>
    <definedName name="PresentValue" comment="The analyzed present value of the total return.">Analysis!$K$12</definedName>
    <definedName name="PurchasePrice" localSheetId="0">Analysis!$G$7</definedName>
    <definedName name="PurchasePrice">#REF!</definedName>
    <definedName name="Rent_Growth" localSheetId="0">Analysis!$C$15</definedName>
    <definedName name="Rent_Growth">#REF!</definedName>
    <definedName name="SalePrice" localSheetId="0">Analysis!$G$13</definedName>
    <definedName name="SalePrice">#REF!</definedName>
    <definedName name="Units" localSheetId="0">Analysis!$C$8</definedName>
    <definedName name="Units" comment="The number of units the property has.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3" i="2" l="1"/>
  <c r="O53" i="2" s="1"/>
  <c r="E53" i="2"/>
  <c r="G7" i="2"/>
  <c r="F20" i="2" l="1"/>
  <c r="G20" i="2" l="1"/>
  <c r="H20" i="2" s="1"/>
  <c r="I20" i="2" s="1"/>
  <c r="J20" i="2" s="1"/>
  <c r="K20" i="2" s="1"/>
  <c r="L20" i="2" s="1"/>
  <c r="M20" i="2" s="1"/>
  <c r="N20" i="2" s="1"/>
  <c r="O20" i="2" s="1"/>
  <c r="G3" i="6" l="1"/>
  <c r="G2" i="6"/>
  <c r="C3" i="6"/>
  <c r="C2" i="6"/>
  <c r="D62" i="2" l="1"/>
  <c r="E62" i="2" s="1"/>
  <c r="F62" i="2" s="1"/>
  <c r="G62" i="2" s="1"/>
  <c r="B64" i="2"/>
  <c r="B65" i="2" s="1"/>
  <c r="B66" i="2" s="1"/>
  <c r="B67" i="2" s="1"/>
  <c r="C56" i="2" l="1"/>
  <c r="F54" i="2"/>
  <c r="E49" i="2"/>
  <c r="C49" i="2"/>
  <c r="G42" i="2"/>
  <c r="H42" i="2" s="1"/>
  <c r="F41" i="2"/>
  <c r="C33" i="2"/>
  <c r="O28" i="2"/>
  <c r="N28" i="2"/>
  <c r="M28" i="2"/>
  <c r="L28" i="2"/>
  <c r="K28" i="2"/>
  <c r="J28" i="2"/>
  <c r="I28" i="2"/>
  <c r="H28" i="2"/>
  <c r="G28" i="2"/>
  <c r="F28" i="2"/>
  <c r="F26" i="2" s="1"/>
  <c r="E26" i="2"/>
  <c r="E33" i="2" s="1"/>
  <c r="E51" i="2" s="1"/>
  <c r="H24" i="2"/>
  <c r="I24" i="2" s="1"/>
  <c r="G23" i="2"/>
  <c r="F21" i="2"/>
  <c r="G21" i="2" s="1"/>
  <c r="F53" i="2" l="1"/>
  <c r="F56" i="2" s="1"/>
  <c r="C51" i="2"/>
  <c r="F44" i="2"/>
  <c r="F35" i="2"/>
  <c r="F30" i="2"/>
  <c r="F33" i="2" s="1"/>
  <c r="F38" i="2"/>
  <c r="H23" i="2"/>
  <c r="H26" i="2" s="1"/>
  <c r="H38" i="2" s="1"/>
  <c r="G53" i="2"/>
  <c r="G56" i="2" s="1"/>
  <c r="H21" i="2"/>
  <c r="G44" i="2"/>
  <c r="I42" i="2"/>
  <c r="H41" i="2"/>
  <c r="J24" i="2"/>
  <c r="I23" i="2"/>
  <c r="C58" i="2"/>
  <c r="G41" i="2"/>
  <c r="G26" i="2"/>
  <c r="G30" i="2" l="1"/>
  <c r="G33" i="2" s="1"/>
  <c r="G35" i="2"/>
  <c r="F47" i="2"/>
  <c r="E56" i="2"/>
  <c r="G38" i="2"/>
  <c r="I26" i="2"/>
  <c r="I30" i="2" s="1"/>
  <c r="H30" i="2"/>
  <c r="H33" i="2" s="1"/>
  <c r="H35" i="2"/>
  <c r="J23" i="2"/>
  <c r="K24" i="2"/>
  <c r="H53" i="2"/>
  <c r="H56" i="2" s="1"/>
  <c r="I21" i="2"/>
  <c r="H44" i="2"/>
  <c r="J42" i="2"/>
  <c r="I41" i="2"/>
  <c r="E58" i="2" l="1"/>
  <c r="K7" i="2"/>
  <c r="C4" i="6" s="1"/>
  <c r="C5" i="6" s="1"/>
  <c r="K11" i="2" s="1"/>
  <c r="I35" i="2"/>
  <c r="J21" i="2"/>
  <c r="I44" i="2"/>
  <c r="I53" i="2"/>
  <c r="I56" i="2" s="1"/>
  <c r="J41" i="2"/>
  <c r="K42" i="2"/>
  <c r="K23" i="2"/>
  <c r="L24" i="2"/>
  <c r="J26" i="2"/>
  <c r="J30" i="2" s="1"/>
  <c r="I33" i="2"/>
  <c r="I38" i="2"/>
  <c r="G47" i="2"/>
  <c r="F45" i="2"/>
  <c r="F49" i="2" s="1"/>
  <c r="F51" i="2" s="1"/>
  <c r="F58" i="2" s="1"/>
  <c r="J35" i="2" l="1"/>
  <c r="J33" i="2"/>
  <c r="L23" i="2"/>
  <c r="M24" i="2"/>
  <c r="L42" i="2"/>
  <c r="K41" i="2"/>
  <c r="H47" i="2"/>
  <c r="G45" i="2"/>
  <c r="G49" i="2" s="1"/>
  <c r="G51" i="2" s="1"/>
  <c r="G58" i="2" s="1"/>
  <c r="J38" i="2"/>
  <c r="K26" i="2"/>
  <c r="K30" i="2" s="1"/>
  <c r="K21" i="2"/>
  <c r="J53" i="2"/>
  <c r="J56" i="2" s="1"/>
  <c r="J44" i="2"/>
  <c r="M23" i="2" l="1"/>
  <c r="N24" i="2"/>
  <c r="K33" i="2"/>
  <c r="L21" i="2"/>
  <c r="K44" i="2"/>
  <c r="K53" i="2"/>
  <c r="K56" i="2" s="1"/>
  <c r="K38" i="2"/>
  <c r="K35" i="2"/>
  <c r="I47" i="2"/>
  <c r="H45" i="2"/>
  <c r="H49" i="2" s="1"/>
  <c r="H51" i="2" s="1"/>
  <c r="H58" i="2" s="1"/>
  <c r="L41" i="2"/>
  <c r="M42" i="2"/>
  <c r="L26" i="2"/>
  <c r="L30" i="2" s="1"/>
  <c r="L35" i="2" l="1"/>
  <c r="L33" i="2"/>
  <c r="J47" i="2"/>
  <c r="I45" i="2"/>
  <c r="I49" i="2" s="1"/>
  <c r="I51" i="2" s="1"/>
  <c r="I58" i="2" s="1"/>
  <c r="M26" i="2"/>
  <c r="M30" i="2" s="1"/>
  <c r="L38" i="2"/>
  <c r="N42" i="2"/>
  <c r="M41" i="2"/>
  <c r="L53" i="2"/>
  <c r="L56" i="2" s="1"/>
  <c r="M21" i="2"/>
  <c r="L44" i="2"/>
  <c r="O24" i="2"/>
  <c r="O23" i="2" s="1"/>
  <c r="N23" i="2"/>
  <c r="M38" i="2" l="1"/>
  <c r="M35" i="2"/>
  <c r="N26" i="2"/>
  <c r="N30" i="2" s="1"/>
  <c r="N41" i="2"/>
  <c r="O42" i="2"/>
  <c r="O41" i="2" s="1"/>
  <c r="O26" i="2"/>
  <c r="O30" i="2" s="1"/>
  <c r="M44" i="2"/>
  <c r="N21" i="2"/>
  <c r="M53" i="2"/>
  <c r="M56" i="2" s="1"/>
  <c r="M33" i="2"/>
  <c r="K47" i="2"/>
  <c r="J45" i="2"/>
  <c r="J49" i="2" s="1"/>
  <c r="J51" i="2" s="1"/>
  <c r="J58" i="2" s="1"/>
  <c r="N35" i="2" l="1"/>
  <c r="N38" i="2"/>
  <c r="O35" i="2"/>
  <c r="N33" i="2"/>
  <c r="K45" i="2"/>
  <c r="K49" i="2" s="1"/>
  <c r="K51" i="2" s="1"/>
  <c r="K58" i="2" s="1"/>
  <c r="L47" i="2"/>
  <c r="O38" i="2"/>
  <c r="N53" i="2"/>
  <c r="N56" i="2" s="1"/>
  <c r="O21" i="2"/>
  <c r="N44" i="2"/>
  <c r="O33" i="2"/>
  <c r="M47" i="2" l="1"/>
  <c r="L45" i="2"/>
  <c r="L49" i="2" s="1"/>
  <c r="L51" i="2" s="1"/>
  <c r="L58" i="2" s="1"/>
  <c r="O44" i="2"/>
  <c r="M45" i="2" l="1"/>
  <c r="M49" i="2" s="1"/>
  <c r="M51" i="2" s="1"/>
  <c r="M58" i="2" s="1"/>
  <c r="N47" i="2"/>
  <c r="N45" i="2" l="1"/>
  <c r="N49" i="2" s="1"/>
  <c r="N51" i="2" s="1"/>
  <c r="N58" i="2" s="1"/>
  <c r="O47" i="2"/>
  <c r="O45" i="2" s="1"/>
  <c r="O49" i="2" s="1"/>
  <c r="O51" i="2" s="1"/>
  <c r="B62" i="2" s="1"/>
  <c r="O56" i="2" l="1"/>
  <c r="O58" i="2" s="1"/>
  <c r="K16" i="2" l="1"/>
  <c r="K8" i="2"/>
  <c r="K14" i="2"/>
  <c r="K13" i="2"/>
  <c r="K15" i="2"/>
  <c r="G4" i="6" l="1"/>
  <c r="G5" i="6" s="1"/>
  <c r="K12" i="2" s="1"/>
  <c r="K9" i="2"/>
</calcChain>
</file>

<file path=xl/sharedStrings.xml><?xml version="1.0" encoding="utf-8"?>
<sst xmlns="http://schemas.openxmlformats.org/spreadsheetml/2006/main" count="81" uniqueCount="74">
  <si>
    <t>Units</t>
  </si>
  <si>
    <t>Year Built</t>
  </si>
  <si>
    <t>Effective Monthly Rent / Unit</t>
  </si>
  <si>
    <t>Total Rental Income</t>
  </si>
  <si>
    <t>Delinquency %</t>
  </si>
  <si>
    <t>Repairs &amp; Maintenance</t>
  </si>
  <si>
    <t>Utilities (Vacancy)</t>
  </si>
  <si>
    <t>Taxes</t>
  </si>
  <si>
    <t>Total Operating Expenses</t>
  </si>
  <si>
    <t>Net Operating Income</t>
  </si>
  <si>
    <t>Renovations</t>
  </si>
  <si>
    <t>Total Capital Expenditures</t>
  </si>
  <si>
    <t>Community Name</t>
  </si>
  <si>
    <t>West Ridge North</t>
  </si>
  <si>
    <t>Tax rate</t>
  </si>
  <si>
    <t>Assessed value</t>
  </si>
  <si>
    <t>Avg. Occupancy</t>
  </si>
  <si>
    <t>R&amp;M Ratio</t>
  </si>
  <si>
    <t>Asset Details</t>
  </si>
  <si>
    <t>Turn Ratio</t>
  </si>
  <si>
    <t>Avg. Utilities Cost / Vacant Unit</t>
  </si>
  <si>
    <t>Net Income</t>
  </si>
  <si>
    <t>Last Remodeled</t>
  </si>
  <si>
    <t>N/A</t>
  </si>
  <si>
    <t>Avg. Occupied Units</t>
  </si>
  <si>
    <t>Acquisition Details</t>
  </si>
  <si>
    <t>Purchase Price</t>
  </si>
  <si>
    <t>Cap Rate</t>
  </si>
  <si>
    <t>Sale Details</t>
  </si>
  <si>
    <t>Sale Price</t>
  </si>
  <si>
    <t>Net Potential Rent</t>
  </si>
  <si>
    <t>Vacancy</t>
  </si>
  <si>
    <t>Cash Flow Analysis</t>
  </si>
  <si>
    <t>Delinquency</t>
  </si>
  <si>
    <t>Salaries and Wages</t>
  </si>
  <si>
    <t>Last Year Financials</t>
  </si>
  <si>
    <t>Operational Assumptions</t>
  </si>
  <si>
    <t>Rent Growth %</t>
  </si>
  <si>
    <t>Cost Growth %</t>
  </si>
  <si>
    <t>Exit Cap Rate</t>
  </si>
  <si>
    <t>Holding Period (Years)</t>
  </si>
  <si>
    <t>Seller</t>
  </si>
  <si>
    <t>Shady Tree Mgmt</t>
  </si>
  <si>
    <t>Property (Purchase) Sale</t>
  </si>
  <si>
    <t>Turn &amp; Marketing Expenses</t>
  </si>
  <si>
    <t>Rent_Growth</t>
  </si>
  <si>
    <t>$F$19</t>
  </si>
  <si>
    <t>$N$46</t>
  </si>
  <si>
    <t>Expected Rent</t>
  </si>
  <si>
    <t>Created by Strife Ez on 8/25/2024</t>
  </si>
  <si>
    <t>High Rent</t>
  </si>
  <si>
    <t>Scenario Summary</t>
  </si>
  <si>
    <t>Changing Cells:</t>
  </si>
  <si>
    <t>Current Values:</t>
  </si>
  <si>
    <t>Result Cells:</t>
  </si>
  <si>
    <t>Notes:  Current Values column represents values of changing cells at</t>
  </si>
  <si>
    <t>time Scenario Summary Report was created.  Changing cells for each</t>
  </si>
  <si>
    <t>scenario are highlighted in gray.</t>
  </si>
  <si>
    <t>Sensitivity analysis</t>
  </si>
  <si>
    <t>Future Value</t>
  </si>
  <si>
    <t>Present Value</t>
  </si>
  <si>
    <t>Rate</t>
  </si>
  <si>
    <t>Nper</t>
  </si>
  <si>
    <t>PV</t>
  </si>
  <si>
    <t>FV</t>
  </si>
  <si>
    <t>Profit Metrics</t>
  </si>
  <si>
    <t>Total Investment</t>
  </si>
  <si>
    <t>Total Return</t>
  </si>
  <si>
    <t>Return on Investment</t>
  </si>
  <si>
    <t>Benchmark Rate</t>
  </si>
  <si>
    <t>NPV</t>
  </si>
  <si>
    <t>XNPV</t>
  </si>
  <si>
    <t>IRR</t>
  </si>
  <si>
    <t>XIRR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</si>
</sst>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&quot;Year&quot;\ 0"/>
    <numFmt numFmtId="165" formatCode="_(* #,##0_);_(* \(#,##0\);_(* &quot;-&quot;??_);_(@_)"/>
    <numFmt numFmtId="166" formatCode="_(* #,##0_);_(* \(#,##0\);_(* &quot;-&quot;?_);_(@_)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i/>
      <sz val="11"/>
      <name val="Calibri"/>
      <family val="2"/>
      <scheme val="minor"/>
    </font>
    <font>
      <b/>
      <sz val="12"/>
      <color indexed="9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indexed="18"/>
      <name val="Calibri"/>
      <family val="2"/>
      <scheme val="minor"/>
    </font>
    <font>
      <sz val="10"/>
      <color indexed="9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rgb="FF7030A0"/>
      <name val="Arial"/>
      <family val="2"/>
    </font>
    <font>
      <sz val="11"/>
      <color rgb="FF00B05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DCE7F5"/>
        <bgColor indexed="64"/>
      </patternFill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5">
    <xf numFmtId="0" fontId="0" fillId="0" borderId="0" xfId="0"/>
    <xf numFmtId="164" fontId="0" fillId="0" borderId="0" xfId="0" applyNumberFormat="1"/>
    <xf numFmtId="0" fontId="3" fillId="0" borderId="0" xfId="0" applyFont="1"/>
    <xf numFmtId="0" fontId="2" fillId="0" borderId="1" xfId="0" applyFont="1" applyBorder="1"/>
    <xf numFmtId="0" fontId="0" fillId="2" borderId="0" xfId="0" applyFill="1"/>
    <xf numFmtId="166" fontId="6" fillId="0" borderId="0" xfId="0" applyNumberFormat="1" applyFont="1"/>
    <xf numFmtId="165" fontId="6" fillId="0" borderId="0" xfId="1" applyNumberFormat="1" applyFont="1"/>
    <xf numFmtId="10" fontId="7" fillId="0" borderId="0" xfId="0" applyNumberFormat="1" applyFont="1"/>
    <xf numFmtId="10" fontId="6" fillId="0" borderId="0" xfId="2" applyNumberFormat="1" applyFont="1"/>
    <xf numFmtId="43" fontId="0" fillId="0" borderId="0" xfId="0" applyNumberFormat="1"/>
    <xf numFmtId="0" fontId="4" fillId="0" borderId="0" xfId="0" applyFont="1" applyAlignment="1">
      <alignment horizontal="right"/>
    </xf>
    <xf numFmtId="0" fontId="4" fillId="2" borderId="0" xfId="0" applyFont="1" applyFill="1" applyAlignment="1">
      <alignment horizontal="right"/>
    </xf>
    <xf numFmtId="0" fontId="4" fillId="0" borderId="0" xfId="0" applyFont="1"/>
    <xf numFmtId="0" fontId="4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165" fontId="4" fillId="0" borderId="0" xfId="1" applyNumberFormat="1" applyFont="1" applyAlignment="1">
      <alignment horizontal="center"/>
    </xf>
    <xf numFmtId="165" fontId="4" fillId="0" borderId="0" xfId="1" applyNumberFormat="1" applyFont="1"/>
    <xf numFmtId="165" fontId="4" fillId="0" borderId="0" xfId="0" applyNumberFormat="1" applyFont="1"/>
    <xf numFmtId="165" fontId="5" fillId="0" borderId="1" xfId="0" applyNumberFormat="1" applyFont="1" applyBorder="1"/>
    <xf numFmtId="166" fontId="4" fillId="0" borderId="0" xfId="0" applyNumberFormat="1" applyFont="1"/>
    <xf numFmtId="10" fontId="8" fillId="0" borderId="0" xfId="2" applyNumberFormat="1" applyFont="1"/>
    <xf numFmtId="166" fontId="8" fillId="0" borderId="0" xfId="0" applyNumberFormat="1" applyFont="1"/>
    <xf numFmtId="166" fontId="5" fillId="0" borderId="1" xfId="0" applyNumberFormat="1" applyFont="1" applyBorder="1"/>
    <xf numFmtId="10" fontId="6" fillId="0" borderId="0" xfId="0" applyNumberFormat="1" applyFont="1"/>
    <xf numFmtId="0" fontId="3" fillId="0" borderId="0" xfId="0" applyFont="1" applyAlignment="1">
      <alignment horizontal="right"/>
    </xf>
    <xf numFmtId="10" fontId="0" fillId="0" borderId="0" xfId="0" applyNumberFormat="1"/>
    <xf numFmtId="1" fontId="0" fillId="0" borderId="0" xfId="0" applyNumberFormat="1"/>
    <xf numFmtId="10" fontId="6" fillId="2" borderId="0" xfId="2" applyNumberFormat="1" applyFont="1" applyFill="1"/>
    <xf numFmtId="165" fontId="6" fillId="0" borderId="0" xfId="1" applyNumberFormat="1" applyFont="1" applyAlignment="1">
      <alignment horizontal="center"/>
    </xf>
    <xf numFmtId="10" fontId="4" fillId="0" borderId="0" xfId="0" applyNumberFormat="1" applyFont="1"/>
    <xf numFmtId="0" fontId="5" fillId="3" borderId="0" xfId="0" applyFont="1" applyFill="1" applyAlignment="1">
      <alignment horizontal="centerContinuous"/>
    </xf>
    <xf numFmtId="0" fontId="2" fillId="3" borderId="0" xfId="0" applyFont="1" applyFill="1"/>
    <xf numFmtId="0" fontId="4" fillId="3" borderId="0" xfId="0" applyFont="1" applyFill="1"/>
    <xf numFmtId="0" fontId="0" fillId="3" borderId="0" xfId="0" applyFill="1"/>
    <xf numFmtId="165" fontId="0" fillId="0" borderId="0" xfId="0" applyNumberFormat="1"/>
    <xf numFmtId="0" fontId="6" fillId="0" borderId="0" xfId="0" applyFont="1"/>
    <xf numFmtId="165" fontId="0" fillId="0" borderId="0" xfId="1" applyNumberFormat="1" applyFont="1"/>
    <xf numFmtId="164" fontId="0" fillId="0" borderId="1" xfId="1" applyNumberFormat="1" applyFont="1" applyBorder="1" applyAlignment="1">
      <alignment horizontal="center"/>
    </xf>
    <xf numFmtId="165" fontId="0" fillId="0" borderId="3" xfId="0" applyNumberFormat="1" applyBorder="1"/>
    <xf numFmtId="0" fontId="9" fillId="4" borderId="1" xfId="0" applyFont="1" applyFill="1" applyBorder="1" applyAlignment="1">
      <alignment horizontal="left"/>
    </xf>
    <xf numFmtId="0" fontId="9" fillId="4" borderId="2" xfId="0" applyFont="1" applyFill="1" applyBorder="1" applyAlignment="1">
      <alignment horizontal="left"/>
    </xf>
    <xf numFmtId="0" fontId="0" fillId="0" borderId="4" xfId="0" applyBorder="1"/>
    <xf numFmtId="0" fontId="10" fillId="5" borderId="0" xfId="0" applyFont="1" applyFill="1" applyAlignment="1">
      <alignment horizontal="left"/>
    </xf>
    <xf numFmtId="0" fontId="11" fillId="5" borderId="4" xfId="0" applyFont="1" applyFill="1" applyBorder="1" applyAlignment="1">
      <alignment horizontal="left"/>
    </xf>
    <xf numFmtId="0" fontId="10" fillId="5" borderId="3" xfId="0" applyFont="1" applyFill="1" applyBorder="1" applyAlignment="1">
      <alignment horizontal="left"/>
    </xf>
    <xf numFmtId="0" fontId="12" fillId="4" borderId="2" xfId="0" applyFont="1" applyFill="1" applyBorder="1" applyAlignment="1">
      <alignment horizontal="right"/>
    </xf>
    <xf numFmtId="0" fontId="12" fillId="4" borderId="1" xfId="0" applyFont="1" applyFill="1" applyBorder="1" applyAlignment="1">
      <alignment horizontal="right"/>
    </xf>
    <xf numFmtId="10" fontId="0" fillId="6" borderId="0" xfId="0" applyNumberFormat="1" applyFill="1"/>
    <xf numFmtId="165" fontId="0" fillId="6" borderId="0" xfId="0" applyNumberFormat="1" applyFill="1"/>
    <xf numFmtId="0" fontId="13" fillId="0" borderId="0" xfId="0" applyFont="1" applyAlignment="1">
      <alignment vertical="top" wrapText="1"/>
    </xf>
    <xf numFmtId="0" fontId="14" fillId="0" borderId="0" xfId="0" applyFont="1"/>
    <xf numFmtId="0" fontId="8" fillId="0" borderId="0" xfId="0" applyFont="1"/>
    <xf numFmtId="10" fontId="15" fillId="0" borderId="0" xfId="2" applyNumberFormat="1" applyFont="1"/>
    <xf numFmtId="165" fontId="15" fillId="0" borderId="0" xfId="1" applyNumberFormat="1" applyFont="1"/>
    <xf numFmtId="0" fontId="8" fillId="0" borderId="0" xfId="1" applyNumberFormat="1" applyFont="1"/>
    <xf numFmtId="0" fontId="4" fillId="0" borderId="0" xfId="1" applyNumberFormat="1" applyFont="1"/>
    <xf numFmtId="165" fontId="0" fillId="2" borderId="0" xfId="1" applyNumberFormat="1" applyFont="1" applyFill="1"/>
    <xf numFmtId="10" fontId="0" fillId="0" borderId="0" xfId="2" applyNumberFormat="1" applyFont="1"/>
    <xf numFmtId="10" fontId="7" fillId="2" borderId="0" xfId="0" applyNumberFormat="1" applyFont="1" applyFill="1"/>
    <xf numFmtId="165" fontId="15" fillId="2" borderId="0" xfId="1" applyNumberFormat="1" applyFont="1" applyFill="1"/>
    <xf numFmtId="165" fontId="4" fillId="2" borderId="0" xfId="1" applyNumberFormat="1" applyFont="1" applyFill="1"/>
    <xf numFmtId="10" fontId="0" fillId="2" borderId="0" xfId="2" applyNumberFormat="1" applyFont="1" applyFill="1"/>
    <xf numFmtId="14" fontId="0" fillId="0" borderId="0" xfId="0" applyNumberFormat="1"/>
    <xf numFmtId="14" fontId="0" fillId="0" borderId="0" xfId="0" applyNumberFormat="1" applyAlignment="1">
      <alignment horizontal="center"/>
    </xf>
    <xf numFmtId="0" fontId="3" fillId="0" borderId="0" xfId="0" applyFont="1" applyAlignment="1">
      <alignment horizontal="right" wrapText="1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29308</xdr:colOff>
      <xdr:row>5</xdr:row>
      <xdr:rowOff>0</xdr:rowOff>
    </xdr:from>
    <xdr:to>
      <xdr:col>16</xdr:col>
      <xdr:colOff>137365</xdr:colOff>
      <xdr:row>14</xdr:row>
      <xdr:rowOff>152332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3FEC60B-29D8-4921-B1B3-564D56C506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68708" y="0"/>
          <a:ext cx="3763173" cy="18668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A3A6A-D52D-4332-808F-367750D059EC}">
  <dimension ref="A6:P92"/>
  <sheetViews>
    <sheetView showGridLines="0" tabSelected="1" zoomScale="115" zoomScaleNormal="115" workbookViewId="0">
      <selection activeCell="F15" sqref="F15"/>
    </sheetView>
  </sheetViews>
  <sheetFormatPr defaultColWidth="6.5703125" defaultRowHeight="15" x14ac:dyDescent="0.25"/>
  <cols>
    <col min="1" max="1" width="30.140625" bestFit="1" customWidth="1"/>
    <col min="2" max="2" width="25.5703125" style="12" bestFit="1" customWidth="1"/>
    <col min="3" max="3" width="18.140625" bestFit="1" customWidth="1"/>
    <col min="4" max="4" width="21" bestFit="1" customWidth="1"/>
    <col min="5" max="5" width="12" bestFit="1" customWidth="1"/>
    <col min="6" max="6" width="13.42578125" bestFit="1" customWidth="1"/>
    <col min="7" max="14" width="12" bestFit="1" customWidth="1"/>
    <col min="15" max="15" width="12.28515625" bestFit="1" customWidth="1"/>
  </cols>
  <sheetData>
    <row r="6" spans="2:12" x14ac:dyDescent="0.25">
      <c r="B6" s="30" t="s">
        <v>18</v>
      </c>
      <c r="C6" s="30"/>
      <c r="E6" s="30" t="s">
        <v>25</v>
      </c>
      <c r="F6" s="30"/>
      <c r="G6" s="30"/>
      <c r="I6" s="30" t="s">
        <v>65</v>
      </c>
      <c r="J6" s="30"/>
      <c r="K6" s="30"/>
    </row>
    <row r="7" spans="2:12" x14ac:dyDescent="0.25">
      <c r="B7" t="s">
        <v>12</v>
      </c>
      <c r="C7" s="10" t="s">
        <v>13</v>
      </c>
      <c r="E7" t="s">
        <v>26</v>
      </c>
      <c r="G7" s="34">
        <f>NetOperatingIncome/AcquisitionCapRate</f>
        <v>7288683.333333334</v>
      </c>
      <c r="I7" t="s">
        <v>66</v>
      </c>
      <c r="K7" s="36">
        <f>ABS(SUM(E56,F56))</f>
        <v>9288683.333333334</v>
      </c>
    </row>
    <row r="8" spans="2:12" x14ac:dyDescent="0.25">
      <c r="B8" s="4" t="s">
        <v>0</v>
      </c>
      <c r="C8" s="11">
        <v>80</v>
      </c>
      <c r="E8" s="4" t="s">
        <v>27</v>
      </c>
      <c r="F8" s="4"/>
      <c r="G8" s="27">
        <v>0.06</v>
      </c>
      <c r="I8" s="4" t="s">
        <v>67</v>
      </c>
      <c r="J8" s="4"/>
      <c r="K8" s="56">
        <f>SUM(E58:O58)</f>
        <v>70371707.477179199</v>
      </c>
      <c r="L8" s="26"/>
    </row>
    <row r="9" spans="2:12" x14ac:dyDescent="0.25">
      <c r="B9" t="s">
        <v>1</v>
      </c>
      <c r="C9" s="10">
        <v>1994</v>
      </c>
      <c r="I9" t="s">
        <v>68</v>
      </c>
      <c r="K9" s="57">
        <f>K8/K7</f>
        <v>7.5760691749113196</v>
      </c>
    </row>
    <row r="10" spans="2:12" x14ac:dyDescent="0.25">
      <c r="B10" s="4" t="s">
        <v>22</v>
      </c>
      <c r="C10" s="11" t="s">
        <v>23</v>
      </c>
      <c r="E10" s="30" t="s">
        <v>28</v>
      </c>
      <c r="F10" s="30"/>
      <c r="G10" s="30"/>
      <c r="I10" s="4" t="s">
        <v>69</v>
      </c>
      <c r="J10" s="4"/>
      <c r="K10" s="58">
        <v>0.2</v>
      </c>
    </row>
    <row r="11" spans="2:12" x14ac:dyDescent="0.25">
      <c r="B11" t="s">
        <v>41</v>
      </c>
      <c r="C11" s="10" t="s">
        <v>42</v>
      </c>
      <c r="E11" t="s">
        <v>40</v>
      </c>
      <c r="G11" s="35">
        <v>10</v>
      </c>
      <c r="I11" t="s">
        <v>64</v>
      </c>
      <c r="K11" s="53">
        <f>'TVM Analysis'!C5</f>
        <v>57513078.911139838</v>
      </c>
    </row>
    <row r="12" spans="2:12" x14ac:dyDescent="0.25">
      <c r="B12"/>
      <c r="C12" s="12"/>
      <c r="E12" s="4" t="s">
        <v>39</v>
      </c>
      <c r="F12" s="4"/>
      <c r="G12" s="27">
        <v>4.9999999999959945E-2</v>
      </c>
      <c r="I12" s="4" t="s">
        <v>63</v>
      </c>
      <c r="J12" s="4"/>
      <c r="K12" s="59">
        <f>'TVM Analysis'!G5</f>
        <v>11365423.635055542</v>
      </c>
    </row>
    <row r="13" spans="2:12" x14ac:dyDescent="0.25">
      <c r="B13" s="30" t="s">
        <v>36</v>
      </c>
      <c r="C13" s="30"/>
      <c r="E13" t="s">
        <v>29</v>
      </c>
      <c r="G13" s="36">
        <f>HLOOKUP(G11,E21:O51,31,FALSE)/G12</f>
        <v>59099662.392178126</v>
      </c>
      <c r="I13" t="s">
        <v>70</v>
      </c>
      <c r="K13" s="16">
        <f>NPV(K10,F58:O58)+E58</f>
        <v>7391418.7105414215</v>
      </c>
    </row>
    <row r="14" spans="2:12" x14ac:dyDescent="0.25">
      <c r="B14" s="25" t="s">
        <v>38</v>
      </c>
      <c r="C14" s="8">
        <v>0.02</v>
      </c>
      <c r="I14" s="4" t="s">
        <v>71</v>
      </c>
      <c r="J14" s="4"/>
      <c r="K14" s="60">
        <f>XNPV(K10,E58:O58,E20:O20)</f>
        <v>7372046.6745850174</v>
      </c>
    </row>
    <row r="15" spans="2:12" x14ac:dyDescent="0.25">
      <c r="B15" s="4" t="s">
        <v>37</v>
      </c>
      <c r="C15" s="27">
        <v>0.05</v>
      </c>
      <c r="I15" t="s">
        <v>72</v>
      </c>
      <c r="K15" s="25">
        <f>IRR(E58:O58,)</f>
        <v>0.29781515057457697</v>
      </c>
    </row>
    <row r="16" spans="2:12" x14ac:dyDescent="0.25">
      <c r="B16"/>
      <c r="C16" s="12"/>
      <c r="I16" s="4" t="s">
        <v>73</v>
      </c>
      <c r="J16" s="4"/>
      <c r="K16" s="61">
        <f>XIRR(E58:O58,E20:O20,)</f>
        <v>0.29754770398139962</v>
      </c>
    </row>
    <row r="17" spans="2:16" x14ac:dyDescent="0.25">
      <c r="B17"/>
      <c r="C17" s="12"/>
    </row>
    <row r="18" spans="2:16" x14ac:dyDescent="0.25">
      <c r="B18"/>
      <c r="C18" s="12"/>
    </row>
    <row r="19" spans="2:16" x14ac:dyDescent="0.25">
      <c r="B19" s="31" t="s">
        <v>32</v>
      </c>
      <c r="C19" s="32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</row>
    <row r="20" spans="2:16" x14ac:dyDescent="0.25">
      <c r="B20"/>
      <c r="C20" s="12"/>
      <c r="E20" s="63">
        <v>45322</v>
      </c>
      <c r="F20" s="62">
        <f>EOMONTH(E20,12)</f>
        <v>45688</v>
      </c>
      <c r="G20" s="62">
        <f t="shared" ref="G20:O20" si="0">EOMONTH(F20,12)</f>
        <v>46053</v>
      </c>
      <c r="H20" s="62">
        <f t="shared" si="0"/>
        <v>46418</v>
      </c>
      <c r="I20" s="62">
        <f t="shared" si="0"/>
        <v>46783</v>
      </c>
      <c r="J20" s="62">
        <f t="shared" si="0"/>
        <v>47149</v>
      </c>
      <c r="K20" s="62">
        <f t="shared" si="0"/>
        <v>47514</v>
      </c>
      <c r="L20" s="62">
        <f t="shared" si="0"/>
        <v>47879</v>
      </c>
      <c r="M20" s="62">
        <f t="shared" si="0"/>
        <v>48244</v>
      </c>
      <c r="N20" s="62">
        <f t="shared" si="0"/>
        <v>48610</v>
      </c>
      <c r="O20" s="62">
        <f t="shared" si="0"/>
        <v>48975</v>
      </c>
    </row>
    <row r="21" spans="2:16" x14ac:dyDescent="0.25">
      <c r="B21"/>
      <c r="C21" s="13" t="s">
        <v>35</v>
      </c>
      <c r="D21" s="1"/>
      <c r="E21" s="37">
        <v>0</v>
      </c>
      <c r="F21" s="37">
        <f>E21+1</f>
        <v>1</v>
      </c>
      <c r="G21" s="37">
        <f t="shared" ref="G21:O21" si="1">F21+1</f>
        <v>2</v>
      </c>
      <c r="H21" s="37">
        <f t="shared" si="1"/>
        <v>3</v>
      </c>
      <c r="I21" s="37">
        <f t="shared" si="1"/>
        <v>4</v>
      </c>
      <c r="J21" s="37">
        <f t="shared" si="1"/>
        <v>5</v>
      </c>
      <c r="K21" s="37">
        <f t="shared" si="1"/>
        <v>6</v>
      </c>
      <c r="L21" s="37">
        <f t="shared" si="1"/>
        <v>7</v>
      </c>
      <c r="M21" s="37">
        <f t="shared" si="1"/>
        <v>8</v>
      </c>
      <c r="N21" s="37">
        <f>M21+1</f>
        <v>9</v>
      </c>
      <c r="O21" s="37">
        <f t="shared" si="1"/>
        <v>10</v>
      </c>
    </row>
    <row r="22" spans="2:16" x14ac:dyDescent="0.25">
      <c r="B22"/>
      <c r="C22" s="14"/>
      <c r="H22" s="1"/>
      <c r="I22" s="1"/>
      <c r="J22" s="1"/>
      <c r="K22" s="1"/>
    </row>
    <row r="23" spans="2:16" x14ac:dyDescent="0.25">
      <c r="B23" t="s">
        <v>30</v>
      </c>
      <c r="C23" s="15">
        <v>1493760</v>
      </c>
      <c r="E23" s="15">
        <v>0</v>
      </c>
      <c r="F23" s="15">
        <v>0</v>
      </c>
      <c r="G23" s="15">
        <f t="shared" ref="G23:O23" si="2">G24*Units*12</f>
        <v>2208000</v>
      </c>
      <c r="H23" s="15">
        <f t="shared" si="2"/>
        <v>2318400</v>
      </c>
      <c r="I23" s="15">
        <f t="shared" si="2"/>
        <v>2434320</v>
      </c>
      <c r="J23" s="15">
        <f t="shared" si="2"/>
        <v>2556036</v>
      </c>
      <c r="K23" s="15">
        <f t="shared" si="2"/>
        <v>2683837.7999999998</v>
      </c>
      <c r="L23" s="15">
        <f t="shared" si="2"/>
        <v>2818029.69</v>
      </c>
      <c r="M23" s="15">
        <f t="shared" si="2"/>
        <v>2958931.1745000007</v>
      </c>
      <c r="N23" s="15">
        <f t="shared" si="2"/>
        <v>3106877.7332250006</v>
      </c>
      <c r="O23" s="15">
        <f t="shared" si="2"/>
        <v>3262221.6198862512</v>
      </c>
    </row>
    <row r="24" spans="2:16" ht="30" x14ac:dyDescent="0.25">
      <c r="B24" s="64" t="s">
        <v>2</v>
      </c>
      <c r="C24" s="6"/>
      <c r="E24" s="6"/>
      <c r="F24" s="6"/>
      <c r="G24" s="6">
        <v>2300</v>
      </c>
      <c r="H24" s="6">
        <f t="shared" ref="H24:O24" si="3">G24*(1+Rent_Growth)</f>
        <v>2415</v>
      </c>
      <c r="I24" s="6">
        <f t="shared" si="3"/>
        <v>2535.75</v>
      </c>
      <c r="J24" s="6">
        <f t="shared" si="3"/>
        <v>2662.5374999999999</v>
      </c>
      <c r="K24" s="6">
        <f t="shared" si="3"/>
        <v>2795.6643749999998</v>
      </c>
      <c r="L24" s="6">
        <f t="shared" si="3"/>
        <v>2935.4475937500001</v>
      </c>
      <c r="M24" s="6">
        <f t="shared" si="3"/>
        <v>3082.2199734375004</v>
      </c>
      <c r="N24" s="6">
        <f t="shared" si="3"/>
        <v>3236.3309721093756</v>
      </c>
      <c r="O24" s="6">
        <f t="shared" si="3"/>
        <v>3398.1475207148446</v>
      </c>
    </row>
    <row r="25" spans="2:16" x14ac:dyDescent="0.25">
      <c r="B25"/>
      <c r="C25" s="15"/>
      <c r="E25" s="15"/>
      <c r="F25" s="28"/>
      <c r="G25" s="28"/>
      <c r="H25" s="28"/>
      <c r="I25" s="28"/>
      <c r="J25" s="28"/>
      <c r="K25" s="28"/>
      <c r="L25" s="28"/>
      <c r="M25" s="28"/>
      <c r="N25" s="28"/>
      <c r="O25" s="28"/>
    </row>
    <row r="26" spans="2:16" x14ac:dyDescent="0.25">
      <c r="B26" t="s">
        <v>31</v>
      </c>
      <c r="C26" s="16">
        <v>-410784.00000000006</v>
      </c>
      <c r="E26" s="16">
        <f t="shared" ref="E26:O26" si="4">-E23*(1-E28)</f>
        <v>0</v>
      </c>
      <c r="F26" s="16">
        <f t="shared" si="4"/>
        <v>0</v>
      </c>
      <c r="G26" s="16">
        <f t="shared" si="4"/>
        <v>-552000</v>
      </c>
      <c r="H26" s="16">
        <f t="shared" si="4"/>
        <v>-115920.0000000001</v>
      </c>
      <c r="I26" s="16">
        <f t="shared" si="4"/>
        <v>-121716.0000000001</v>
      </c>
      <c r="J26" s="16">
        <f t="shared" si="4"/>
        <v>-127801.80000000012</v>
      </c>
      <c r="K26" s="16">
        <f t="shared" si="4"/>
        <v>-134191.8900000001</v>
      </c>
      <c r="L26" s="16">
        <f t="shared" si="4"/>
        <v>-140901.48450000014</v>
      </c>
      <c r="M26" s="16">
        <f t="shared" si="4"/>
        <v>-147946.55872500016</v>
      </c>
      <c r="N26" s="16">
        <f t="shared" si="4"/>
        <v>-155343.88666125017</v>
      </c>
      <c r="O26" s="16">
        <f t="shared" si="4"/>
        <v>-163111.08099431271</v>
      </c>
    </row>
    <row r="27" spans="2:16" x14ac:dyDescent="0.25">
      <c r="B27" s="24" t="s">
        <v>24</v>
      </c>
      <c r="C27" s="6"/>
      <c r="E27" s="6"/>
      <c r="F27" s="6">
        <v>0</v>
      </c>
      <c r="G27" s="6">
        <v>60</v>
      </c>
      <c r="H27" s="6">
        <v>76</v>
      </c>
      <c r="I27" s="6">
        <v>76</v>
      </c>
      <c r="J27" s="6">
        <v>76</v>
      </c>
      <c r="K27" s="6">
        <v>76</v>
      </c>
      <c r="L27" s="6">
        <v>76</v>
      </c>
      <c r="M27" s="6">
        <v>76</v>
      </c>
      <c r="N27" s="6">
        <v>76</v>
      </c>
      <c r="O27" s="6">
        <v>76</v>
      </c>
      <c r="P27" s="6"/>
    </row>
    <row r="28" spans="2:16" x14ac:dyDescent="0.25">
      <c r="B28" s="24" t="s">
        <v>16</v>
      </c>
      <c r="C28" s="23"/>
      <c r="E28" s="29"/>
      <c r="F28" s="29">
        <f t="shared" ref="F28:O28" si="5">F27/Units</f>
        <v>0</v>
      </c>
      <c r="G28" s="29">
        <f t="shared" si="5"/>
        <v>0.75</v>
      </c>
      <c r="H28" s="29">
        <f t="shared" si="5"/>
        <v>0.95</v>
      </c>
      <c r="I28" s="29">
        <f t="shared" si="5"/>
        <v>0.95</v>
      </c>
      <c r="J28" s="29">
        <f t="shared" si="5"/>
        <v>0.95</v>
      </c>
      <c r="K28" s="29">
        <f t="shared" si="5"/>
        <v>0.95</v>
      </c>
      <c r="L28" s="29">
        <f t="shared" si="5"/>
        <v>0.95</v>
      </c>
      <c r="M28" s="29">
        <f t="shared" si="5"/>
        <v>0.95</v>
      </c>
      <c r="N28" s="29">
        <f t="shared" si="5"/>
        <v>0.95</v>
      </c>
      <c r="O28" s="29">
        <f t="shared" si="5"/>
        <v>0.95</v>
      </c>
    </row>
    <row r="29" spans="2:16" x14ac:dyDescent="0.25">
      <c r="B29" s="24"/>
      <c r="C29" s="23"/>
      <c r="E29" s="23"/>
      <c r="F29" s="7"/>
      <c r="G29" s="7"/>
      <c r="H29" s="7"/>
      <c r="I29" s="7"/>
      <c r="J29" s="7"/>
      <c r="K29" s="7"/>
      <c r="L29" s="7"/>
      <c r="M29" s="7"/>
      <c r="N29" s="7"/>
      <c r="O29" s="7"/>
    </row>
    <row r="30" spans="2:16" x14ac:dyDescent="0.25">
      <c r="B30" t="s">
        <v>33</v>
      </c>
      <c r="C30" s="17">
        <v>-179251</v>
      </c>
      <c r="E30" s="17">
        <v>0</v>
      </c>
      <c r="F30" s="17">
        <f t="shared" ref="F30:O30" si="6">SUM(F26,F23)*F31</f>
        <v>0</v>
      </c>
      <c r="G30" s="17">
        <f t="shared" si="6"/>
        <v>99360</v>
      </c>
      <c r="H30" s="17">
        <f t="shared" si="6"/>
        <v>88099.199999999997</v>
      </c>
      <c r="I30" s="17">
        <f t="shared" si="6"/>
        <v>92504.16</v>
      </c>
      <c r="J30" s="17">
        <f t="shared" si="6"/>
        <v>97129.367999999988</v>
      </c>
      <c r="K30" s="17">
        <f t="shared" si="6"/>
        <v>101985.83639999999</v>
      </c>
      <c r="L30" s="17">
        <f t="shared" si="6"/>
        <v>107085.12821999998</v>
      </c>
      <c r="M30" s="17">
        <f t="shared" si="6"/>
        <v>112439.38463100001</v>
      </c>
      <c r="N30" s="17">
        <f t="shared" si="6"/>
        <v>118061.35386255002</v>
      </c>
      <c r="O30" s="17">
        <f t="shared" si="6"/>
        <v>123964.42155567755</v>
      </c>
    </row>
    <row r="31" spans="2:16" x14ac:dyDescent="0.25">
      <c r="B31" s="24" t="s">
        <v>4</v>
      </c>
      <c r="C31" s="7"/>
      <c r="E31" s="7"/>
      <c r="F31" s="7">
        <v>0.12</v>
      </c>
      <c r="G31" s="7">
        <v>0.06</v>
      </c>
      <c r="H31" s="7">
        <v>0.04</v>
      </c>
      <c r="I31" s="7">
        <v>0.04</v>
      </c>
      <c r="J31" s="7">
        <v>0.04</v>
      </c>
      <c r="K31" s="7">
        <v>0.04</v>
      </c>
      <c r="L31" s="7">
        <v>0.04</v>
      </c>
      <c r="M31" s="7">
        <v>0.04</v>
      </c>
      <c r="N31" s="7">
        <v>0.04</v>
      </c>
      <c r="O31" s="7">
        <v>0.04</v>
      </c>
    </row>
    <row r="32" spans="2:16" x14ac:dyDescent="0.25">
      <c r="B32"/>
      <c r="C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</row>
    <row r="33" spans="2:15" x14ac:dyDescent="0.25">
      <c r="B33" s="3" t="s">
        <v>3</v>
      </c>
      <c r="C33" s="18">
        <f>SUM(C23,C26,C30)</f>
        <v>903725</v>
      </c>
      <c r="D33" s="18"/>
      <c r="E33" s="18">
        <f>SUM(E23,E26,E30)</f>
        <v>0</v>
      </c>
      <c r="F33" s="18">
        <f t="shared" ref="F33:O33" si="7">SUM(F23,F26,F30)</f>
        <v>0</v>
      </c>
      <c r="G33" s="18">
        <f>SUM(G23,G26,G30)</f>
        <v>1755360</v>
      </c>
      <c r="H33" s="18">
        <f t="shared" si="7"/>
        <v>2290579.2000000002</v>
      </c>
      <c r="I33" s="18">
        <f t="shared" si="7"/>
        <v>2405108.16</v>
      </c>
      <c r="J33" s="18">
        <f t="shared" si="7"/>
        <v>2525363.5679999995</v>
      </c>
      <c r="K33" s="18">
        <f t="shared" si="7"/>
        <v>2651631.7463999996</v>
      </c>
      <c r="L33" s="18">
        <f t="shared" si="7"/>
        <v>2784213.3337199995</v>
      </c>
      <c r="M33" s="18">
        <f t="shared" si="7"/>
        <v>2923424.0004060003</v>
      </c>
      <c r="N33" s="18">
        <f t="shared" si="7"/>
        <v>3069595.2004263005</v>
      </c>
      <c r="O33" s="18">
        <f t="shared" si="7"/>
        <v>3223074.9604476159</v>
      </c>
    </row>
    <row r="34" spans="2:15" x14ac:dyDescent="0.25">
      <c r="B34"/>
      <c r="C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</row>
    <row r="35" spans="2:15" x14ac:dyDescent="0.25">
      <c r="B35" t="s">
        <v>5</v>
      </c>
      <c r="C35" s="19">
        <v>-58742</v>
      </c>
      <c r="E35" s="19">
        <v>0</v>
      </c>
      <c r="F35" s="19">
        <f>SUM(F$23+F$26)*F36</f>
        <v>0</v>
      </c>
      <c r="G35" s="19">
        <f t="shared" ref="G35:O35" si="8">SUM(G23+G26)*G36</f>
        <v>82800</v>
      </c>
      <c r="H35" s="19">
        <f t="shared" si="8"/>
        <v>110124</v>
      </c>
      <c r="I35" s="19">
        <f t="shared" si="8"/>
        <v>115630.20000000001</v>
      </c>
      <c r="J35" s="19">
        <f t="shared" si="8"/>
        <v>121411.70999999999</v>
      </c>
      <c r="K35" s="19">
        <f t="shared" si="8"/>
        <v>127482.29549999999</v>
      </c>
      <c r="L35" s="19">
        <f t="shared" si="8"/>
        <v>133856.410275</v>
      </c>
      <c r="M35" s="19">
        <f t="shared" si="8"/>
        <v>140549.23078875002</v>
      </c>
      <c r="N35" s="19">
        <f t="shared" si="8"/>
        <v>147576.69232818752</v>
      </c>
      <c r="O35" s="19">
        <f t="shared" si="8"/>
        <v>154955.52694459693</v>
      </c>
    </row>
    <row r="36" spans="2:15" x14ac:dyDescent="0.25">
      <c r="B36" s="24" t="s">
        <v>17</v>
      </c>
      <c r="C36" s="8"/>
      <c r="E36" s="8"/>
      <c r="F36" s="8">
        <v>0.05</v>
      </c>
      <c r="G36" s="8">
        <v>0.05</v>
      </c>
      <c r="H36" s="8">
        <v>0.05</v>
      </c>
      <c r="I36" s="8">
        <v>0.05</v>
      </c>
      <c r="J36" s="8">
        <v>0.05</v>
      </c>
      <c r="K36" s="8">
        <v>0.05</v>
      </c>
      <c r="L36" s="8">
        <v>0.05</v>
      </c>
      <c r="M36" s="8">
        <v>0.05</v>
      </c>
      <c r="N36" s="8">
        <v>0.05</v>
      </c>
      <c r="O36" s="8">
        <v>0.05</v>
      </c>
    </row>
    <row r="37" spans="2:15" x14ac:dyDescent="0.25">
      <c r="B37" s="2"/>
      <c r="C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</row>
    <row r="38" spans="2:15" x14ac:dyDescent="0.25">
      <c r="B38" t="s">
        <v>44</v>
      </c>
      <c r="C38" s="19">
        <v>-27111</v>
      </c>
      <c r="E38" s="19">
        <v>0</v>
      </c>
      <c r="F38" s="19">
        <f t="shared" ref="F38:O38" si="9">SUM(F$23+F$26)*F39</f>
        <v>0</v>
      </c>
      <c r="G38" s="19">
        <f t="shared" si="9"/>
        <v>49680</v>
      </c>
      <c r="H38" s="19">
        <f t="shared" si="9"/>
        <v>66074.399999999994</v>
      </c>
      <c r="I38" s="19">
        <f t="shared" si="9"/>
        <v>69378.12</v>
      </c>
      <c r="J38" s="19">
        <f t="shared" si="9"/>
        <v>72847.025999999983</v>
      </c>
      <c r="K38" s="19">
        <f t="shared" si="9"/>
        <v>76489.377299999993</v>
      </c>
      <c r="L38" s="19">
        <f t="shared" si="9"/>
        <v>80313.846164999981</v>
      </c>
      <c r="M38" s="19">
        <f t="shared" si="9"/>
        <v>84329.53847325001</v>
      </c>
      <c r="N38" s="19">
        <f t="shared" si="9"/>
        <v>88546.015396912509</v>
      </c>
      <c r="O38" s="19">
        <f t="shared" si="9"/>
        <v>92973.316166758159</v>
      </c>
    </row>
    <row r="39" spans="2:15" x14ac:dyDescent="0.25">
      <c r="B39" s="24" t="s">
        <v>19</v>
      </c>
      <c r="C39" s="8"/>
      <c r="E39" s="8"/>
      <c r="F39" s="8">
        <v>0.03</v>
      </c>
      <c r="G39" s="8">
        <v>0.03</v>
      </c>
      <c r="H39" s="8">
        <v>0.03</v>
      </c>
      <c r="I39" s="8">
        <v>0.03</v>
      </c>
      <c r="J39" s="8">
        <v>0.03</v>
      </c>
      <c r="K39" s="8">
        <v>0.03</v>
      </c>
      <c r="L39" s="8">
        <v>0.03</v>
      </c>
      <c r="M39" s="8">
        <v>0.03</v>
      </c>
      <c r="N39" s="8">
        <v>0.03</v>
      </c>
      <c r="O39" s="8">
        <v>0.03</v>
      </c>
    </row>
    <row r="40" spans="2:15" x14ac:dyDescent="0.25">
      <c r="B40"/>
      <c r="C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</row>
    <row r="41" spans="2:15" x14ac:dyDescent="0.25">
      <c r="B41" t="s">
        <v>6</v>
      </c>
      <c r="C41" s="19">
        <v>-7304</v>
      </c>
      <c r="E41" s="19">
        <v>0</v>
      </c>
      <c r="F41" s="19">
        <f t="shared" ref="F41:O41" si="10">(Units-F27)*F42</f>
        <v>24000</v>
      </c>
      <c r="G41" s="19">
        <f t="shared" si="10"/>
        <v>6120</v>
      </c>
      <c r="H41" s="19">
        <f t="shared" si="10"/>
        <v>1248.48</v>
      </c>
      <c r="I41" s="19">
        <f t="shared" si="10"/>
        <v>1273.4496000000001</v>
      </c>
      <c r="J41" s="19">
        <f t="shared" si="10"/>
        <v>1298.9185920000002</v>
      </c>
      <c r="K41" s="19">
        <f t="shared" si="10"/>
        <v>1324.8969638400004</v>
      </c>
      <c r="L41" s="19">
        <f t="shared" si="10"/>
        <v>1351.3949031168004</v>
      </c>
      <c r="M41" s="19">
        <f t="shared" si="10"/>
        <v>1378.4228011791365</v>
      </c>
      <c r="N41" s="19">
        <f t="shared" si="10"/>
        <v>1405.9912572027192</v>
      </c>
      <c r="O41" s="19">
        <f t="shared" si="10"/>
        <v>1434.1110823467736</v>
      </c>
    </row>
    <row r="42" spans="2:15" ht="30" x14ac:dyDescent="0.25">
      <c r="B42" s="64" t="s">
        <v>20</v>
      </c>
      <c r="C42" s="5"/>
      <c r="E42" s="5"/>
      <c r="F42" s="5">
        <v>300</v>
      </c>
      <c r="G42" s="5">
        <f t="shared" ref="G42:O42" si="11">F42*(1+CostGrowth)</f>
        <v>306</v>
      </c>
      <c r="H42" s="5">
        <f t="shared" si="11"/>
        <v>312.12</v>
      </c>
      <c r="I42" s="5">
        <f t="shared" si="11"/>
        <v>318.36240000000004</v>
      </c>
      <c r="J42" s="5">
        <f t="shared" si="11"/>
        <v>324.72964800000005</v>
      </c>
      <c r="K42" s="5">
        <f t="shared" si="11"/>
        <v>331.22424096000009</v>
      </c>
      <c r="L42" s="5">
        <f t="shared" si="11"/>
        <v>337.84872577920009</v>
      </c>
      <c r="M42" s="5">
        <f t="shared" si="11"/>
        <v>344.60570029478413</v>
      </c>
      <c r="N42" s="5">
        <f t="shared" si="11"/>
        <v>351.49781430067981</v>
      </c>
      <c r="O42" s="5">
        <f t="shared" si="11"/>
        <v>358.52777058669341</v>
      </c>
    </row>
    <row r="43" spans="2:15" x14ac:dyDescent="0.25">
      <c r="B43"/>
      <c r="C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</row>
    <row r="44" spans="2:15" x14ac:dyDescent="0.25">
      <c r="B44" t="s">
        <v>34</v>
      </c>
      <c r="C44" s="19">
        <v>-212582</v>
      </c>
      <c r="E44" s="19">
        <v>0</v>
      </c>
      <c r="F44" s="19">
        <f t="shared" ref="F44:O44" si="12">$C$44*(1+CostGrowth^F21)</f>
        <v>-216833.64</v>
      </c>
      <c r="G44" s="19">
        <f t="shared" si="12"/>
        <v>-212667.03279999999</v>
      </c>
      <c r="H44" s="19">
        <f t="shared" si="12"/>
        <v>-212583.700656</v>
      </c>
      <c r="I44" s="19">
        <f t="shared" si="12"/>
        <v>-212582.03401311999</v>
      </c>
      <c r="J44" s="19">
        <f t="shared" si="12"/>
        <v>-212582.0006802624</v>
      </c>
      <c r="K44" s="19">
        <f t="shared" si="12"/>
        <v>-212582.00001360523</v>
      </c>
      <c r="L44" s="19">
        <f t="shared" si="12"/>
        <v>-212582.00000027212</v>
      </c>
      <c r="M44" s="19">
        <f t="shared" si="12"/>
        <v>-212582.00000000544</v>
      </c>
      <c r="N44" s="19">
        <f t="shared" si="12"/>
        <v>-212582.00000000009</v>
      </c>
      <c r="O44" s="19">
        <f t="shared" si="12"/>
        <v>-212582</v>
      </c>
    </row>
    <row r="45" spans="2:15" x14ac:dyDescent="0.25">
      <c r="B45" t="s">
        <v>7</v>
      </c>
      <c r="C45" s="19">
        <v>-160665</v>
      </c>
      <c r="E45" s="19">
        <v>0</v>
      </c>
      <c r="F45" s="19">
        <f>-F46*F47</f>
        <v>-255103.91666666672</v>
      </c>
      <c r="G45" s="19">
        <f t="shared" ref="G45:O45" si="13">-G46*G47</f>
        <v>-260205.99500000005</v>
      </c>
      <c r="H45" s="19">
        <f t="shared" si="13"/>
        <v>-265410.1149000001</v>
      </c>
      <c r="I45" s="19">
        <f t="shared" si="13"/>
        <v>-270718.31719800009</v>
      </c>
      <c r="J45" s="19">
        <f t="shared" si="13"/>
        <v>-276132.68354196008</v>
      </c>
      <c r="K45" s="19">
        <f t="shared" si="13"/>
        <v>-281655.33721279929</v>
      </c>
      <c r="L45" s="19">
        <f t="shared" si="13"/>
        <v>-287288.44395705522</v>
      </c>
      <c r="M45" s="19">
        <f t="shared" si="13"/>
        <v>-293034.21283619636</v>
      </c>
      <c r="N45" s="19">
        <f t="shared" si="13"/>
        <v>-298894.89709292026</v>
      </c>
      <c r="O45" s="19">
        <f t="shared" si="13"/>
        <v>-304872.79503477871</v>
      </c>
    </row>
    <row r="46" spans="2:15" x14ac:dyDescent="0.25">
      <c r="B46" s="24" t="s">
        <v>14</v>
      </c>
      <c r="C46" s="8"/>
      <c r="E46" s="8"/>
      <c r="F46" s="8">
        <v>3.5000000000000003E-2</v>
      </c>
      <c r="G46" s="8">
        <v>3.5000000000000003E-2</v>
      </c>
      <c r="H46" s="8">
        <v>3.5000000000000003E-2</v>
      </c>
      <c r="I46" s="8">
        <v>3.5000000000000003E-2</v>
      </c>
      <c r="J46" s="8">
        <v>3.5000000000000003E-2</v>
      </c>
      <c r="K46" s="8">
        <v>3.5000000000000003E-2</v>
      </c>
      <c r="L46" s="8">
        <v>3.5000000000000003E-2</v>
      </c>
      <c r="M46" s="8">
        <v>3.5000000000000003E-2</v>
      </c>
      <c r="N46" s="8">
        <v>3.5000000000000003E-2</v>
      </c>
      <c r="O46" s="8">
        <v>3.5000000000000003E-2</v>
      </c>
    </row>
    <row r="47" spans="2:15" x14ac:dyDescent="0.25">
      <c r="B47" s="24" t="s">
        <v>15</v>
      </c>
      <c r="C47" s="5"/>
      <c r="E47" s="5"/>
      <c r="F47" s="5">
        <f>-E53</f>
        <v>7288683.333333334</v>
      </c>
      <c r="G47" s="5">
        <f t="shared" ref="G47:O47" si="14">F47*(1+CostGrowth)</f>
        <v>7434457.0000000009</v>
      </c>
      <c r="H47" s="5">
        <f t="shared" si="14"/>
        <v>7583146.1400000015</v>
      </c>
      <c r="I47" s="5">
        <f t="shared" si="14"/>
        <v>7734809.0628000014</v>
      </c>
      <c r="J47" s="5">
        <f t="shared" si="14"/>
        <v>7889505.2440560013</v>
      </c>
      <c r="K47" s="5">
        <f t="shared" si="14"/>
        <v>8047295.3489371212</v>
      </c>
      <c r="L47" s="5">
        <f t="shared" si="14"/>
        <v>8208241.2559158634</v>
      </c>
      <c r="M47" s="5">
        <f t="shared" si="14"/>
        <v>8372406.0810341807</v>
      </c>
      <c r="N47" s="5">
        <f t="shared" si="14"/>
        <v>8539854.2026548646</v>
      </c>
      <c r="O47" s="5">
        <f t="shared" si="14"/>
        <v>8710651.2867079619</v>
      </c>
    </row>
    <row r="48" spans="2:15" x14ac:dyDescent="0.25">
      <c r="B48" s="2"/>
      <c r="C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</row>
    <row r="49" spans="2:15" x14ac:dyDescent="0.25">
      <c r="B49" s="3" t="s">
        <v>8</v>
      </c>
      <c r="C49" s="22">
        <f>SUM(C35,C38,C41,C44,C45,)</f>
        <v>-466404</v>
      </c>
      <c r="D49" s="22"/>
      <c r="E49" s="22">
        <f>SUM(E35,E38,E41,E44,E45,)</f>
        <v>0</v>
      </c>
      <c r="F49" s="22">
        <f t="shared" ref="F49:O49" si="15">SUM(F35,F38,F41,F44,F45,)</f>
        <v>-447937.55666666676</v>
      </c>
      <c r="G49" s="22">
        <f t="shared" si="15"/>
        <v>-334273.02780000004</v>
      </c>
      <c r="H49" s="22">
        <f t="shared" si="15"/>
        <v>-300546.9355560001</v>
      </c>
      <c r="I49" s="22">
        <f t="shared" si="15"/>
        <v>-297018.58161112008</v>
      </c>
      <c r="J49" s="22">
        <f t="shared" si="15"/>
        <v>-293157.02963022247</v>
      </c>
      <c r="K49" s="22">
        <f t="shared" si="15"/>
        <v>-288940.76746256452</v>
      </c>
      <c r="L49" s="22">
        <f t="shared" si="15"/>
        <v>-284348.79261421057</v>
      </c>
      <c r="M49" s="22">
        <f t="shared" si="15"/>
        <v>-279359.02077302261</v>
      </c>
      <c r="N49" s="22">
        <f t="shared" si="15"/>
        <v>-273948.19811061758</v>
      </c>
      <c r="O49" s="22">
        <f t="shared" si="15"/>
        <v>-268091.84084107686</v>
      </c>
    </row>
    <row r="50" spans="2:15" x14ac:dyDescent="0.25">
      <c r="B50"/>
      <c r="C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</row>
    <row r="51" spans="2:15" x14ac:dyDescent="0.25">
      <c r="B51" s="3" t="s">
        <v>9</v>
      </c>
      <c r="C51" s="18">
        <f>SUM(C33,C49)</f>
        <v>437321</v>
      </c>
      <c r="D51" s="18"/>
      <c r="E51" s="18">
        <f>SUM(E33,E49)</f>
        <v>0</v>
      </c>
      <c r="F51" s="18">
        <f t="shared" ref="F51:O51" si="16">SUM(F33,F49)</f>
        <v>-447937.55666666676</v>
      </c>
      <c r="G51" s="18">
        <f>SUM(G33,G49)</f>
        <v>1421086.9722</v>
      </c>
      <c r="H51" s="18">
        <f t="shared" si="16"/>
        <v>1990032.2644440001</v>
      </c>
      <c r="I51" s="18">
        <f t="shared" si="16"/>
        <v>2108089.57838888</v>
      </c>
      <c r="J51" s="18">
        <f t="shared" si="16"/>
        <v>2232206.5383697771</v>
      </c>
      <c r="K51" s="18">
        <f t="shared" si="16"/>
        <v>2362690.978937435</v>
      </c>
      <c r="L51" s="18">
        <f t="shared" si="16"/>
        <v>2499864.5411057891</v>
      </c>
      <c r="M51" s="18">
        <f t="shared" si="16"/>
        <v>2644064.9796329779</v>
      </c>
      <c r="N51" s="18">
        <f t="shared" si="16"/>
        <v>2795647.0023156828</v>
      </c>
      <c r="O51" s="18">
        <f t="shared" si="16"/>
        <v>2954983.1196065391</v>
      </c>
    </row>
    <row r="52" spans="2:15" x14ac:dyDescent="0.25">
      <c r="B52"/>
      <c r="C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</row>
    <row r="53" spans="2:15" x14ac:dyDescent="0.25">
      <c r="B53" t="s">
        <v>43</v>
      </c>
      <c r="C53" s="19">
        <v>-1000</v>
      </c>
      <c r="E53" s="19">
        <f>-PurchasePrice</f>
        <v>-7288683.333333334</v>
      </c>
      <c r="F53" s="19">
        <f>IF(HoldingPeriod=F21,SalePrice,0)</f>
        <v>0</v>
      </c>
      <c r="G53" s="19">
        <f t="shared" ref="G53:O53" si="17">IF(HoldingPeriod=G21,SalePrice,0)</f>
        <v>0</v>
      </c>
      <c r="H53" s="19">
        <f t="shared" si="17"/>
        <v>0</v>
      </c>
      <c r="I53" s="19">
        <f t="shared" si="17"/>
        <v>0</v>
      </c>
      <c r="J53" s="19">
        <f t="shared" si="17"/>
        <v>0</v>
      </c>
      <c r="K53" s="19">
        <f t="shared" si="17"/>
        <v>0</v>
      </c>
      <c r="L53" s="19">
        <f t="shared" si="17"/>
        <v>0</v>
      </c>
      <c r="M53" s="19">
        <f t="shared" si="17"/>
        <v>0</v>
      </c>
      <c r="N53" s="19">
        <f t="shared" si="17"/>
        <v>0</v>
      </c>
      <c r="O53" s="19">
        <f>IF(HoldingPeriod=O21,SalePrice,0)</f>
        <v>59099662.392178126</v>
      </c>
    </row>
    <row r="54" spans="2:15" x14ac:dyDescent="0.25">
      <c r="B54" t="s">
        <v>10</v>
      </c>
      <c r="C54" s="19">
        <v>-20182</v>
      </c>
      <c r="E54" s="19">
        <v>0</v>
      </c>
      <c r="F54" s="19">
        <f>Units*-25000</f>
        <v>-2000000</v>
      </c>
      <c r="G54" s="19">
        <v>0</v>
      </c>
      <c r="H54" s="19">
        <v>0</v>
      </c>
      <c r="I54" s="19">
        <v>0</v>
      </c>
      <c r="J54" s="19">
        <v>0</v>
      </c>
      <c r="K54" s="19">
        <v>0</v>
      </c>
      <c r="L54" s="19">
        <v>0</v>
      </c>
      <c r="M54" s="19">
        <v>0</v>
      </c>
      <c r="N54" s="19">
        <v>0</v>
      </c>
      <c r="O54" s="19">
        <v>0</v>
      </c>
    </row>
    <row r="55" spans="2:15" x14ac:dyDescent="0.25">
      <c r="B55"/>
      <c r="C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</row>
    <row r="56" spans="2:15" x14ac:dyDescent="0.25">
      <c r="B56" s="3" t="s">
        <v>11</v>
      </c>
      <c r="C56" s="18">
        <f>SUM(C53,C54)</f>
        <v>-21182</v>
      </c>
      <c r="D56" s="18"/>
      <c r="E56" s="18">
        <f>SUM(E53,E54)</f>
        <v>-7288683.333333334</v>
      </c>
      <c r="F56" s="18">
        <f t="shared" ref="F56:O56" si="18">SUM(F53,F54)</f>
        <v>-2000000</v>
      </c>
      <c r="G56" s="18">
        <f t="shared" si="18"/>
        <v>0</v>
      </c>
      <c r="H56" s="18">
        <f t="shared" si="18"/>
        <v>0</v>
      </c>
      <c r="I56" s="18">
        <f t="shared" si="18"/>
        <v>0</v>
      </c>
      <c r="J56" s="18">
        <f t="shared" si="18"/>
        <v>0</v>
      </c>
      <c r="K56" s="18">
        <f t="shared" si="18"/>
        <v>0</v>
      </c>
      <c r="L56" s="18">
        <f t="shared" si="18"/>
        <v>0</v>
      </c>
      <c r="M56" s="18">
        <f t="shared" si="18"/>
        <v>0</v>
      </c>
      <c r="N56" s="18">
        <f t="shared" si="18"/>
        <v>0</v>
      </c>
      <c r="O56" s="18">
        <f t="shared" si="18"/>
        <v>59099662.392178126</v>
      </c>
    </row>
    <row r="57" spans="2:15" x14ac:dyDescent="0.25">
      <c r="B57"/>
      <c r="C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</row>
    <row r="58" spans="2:15" x14ac:dyDescent="0.25">
      <c r="B58" s="3" t="s">
        <v>21</v>
      </c>
      <c r="C58" s="18">
        <f>SUM(C51,C56)</f>
        <v>416139</v>
      </c>
      <c r="D58" s="18"/>
      <c r="E58" s="18">
        <f>SUM(E51,E56)</f>
        <v>-7288683.333333334</v>
      </c>
      <c r="F58" s="18">
        <f t="shared" ref="F58:O58" si="19">SUM(F51,F56)</f>
        <v>-2447937.5566666666</v>
      </c>
      <c r="G58" s="18">
        <f t="shared" si="19"/>
        <v>1421086.9722</v>
      </c>
      <c r="H58" s="18">
        <f t="shared" si="19"/>
        <v>1990032.2644440001</v>
      </c>
      <c r="I58" s="18">
        <f t="shared" si="19"/>
        <v>2108089.57838888</v>
      </c>
      <c r="J58" s="18">
        <f t="shared" si="19"/>
        <v>2232206.5383697771</v>
      </c>
      <c r="K58" s="18">
        <f t="shared" si="19"/>
        <v>2362690.978937435</v>
      </c>
      <c r="L58" s="18">
        <f t="shared" si="19"/>
        <v>2499864.5411057891</v>
      </c>
      <c r="M58" s="18">
        <f t="shared" si="19"/>
        <v>2644064.9796329779</v>
      </c>
      <c r="N58" s="18">
        <f t="shared" si="19"/>
        <v>2795647.0023156828</v>
      </c>
      <c r="O58" s="18">
        <f t="shared" si="19"/>
        <v>62054645.511784665</v>
      </c>
    </row>
    <row r="59" spans="2:15" x14ac:dyDescent="0.25">
      <c r="B59"/>
      <c r="C59" s="12"/>
    </row>
    <row r="60" spans="2:15" x14ac:dyDescent="0.25">
      <c r="B60"/>
      <c r="C60" s="12"/>
      <c r="E60" s="50" t="s">
        <v>58</v>
      </c>
    </row>
    <row r="61" spans="2:15" x14ac:dyDescent="0.25">
      <c r="B61"/>
      <c r="C61" s="12"/>
    </row>
    <row r="62" spans="2:15" x14ac:dyDescent="0.25">
      <c r="B62" s="34">
        <f>O51</f>
        <v>2954983.1196065391</v>
      </c>
      <c r="C62" s="34">
        <v>2000</v>
      </c>
      <c r="D62" s="34">
        <f>C62+250</f>
        <v>2250</v>
      </c>
      <c r="E62" s="34">
        <f t="shared" ref="E62:G62" si="20">D62+250</f>
        <v>2500</v>
      </c>
      <c r="F62" s="34">
        <f t="shared" si="20"/>
        <v>2750</v>
      </c>
      <c r="G62" s="34">
        <f t="shared" si="20"/>
        <v>3000</v>
      </c>
      <c r="O62" s="9"/>
    </row>
    <row r="63" spans="2:15" x14ac:dyDescent="0.25">
      <c r="B63" s="25">
        <v>0</v>
      </c>
      <c r="C63" s="16">
        <f t="dataTable" ref="C63:G67" dt2D="1" dtr="1" r1="G24" r2="C15"/>
        <v>1526859.3160475681</v>
      </c>
      <c r="D63" s="34">
        <v>1782219.3160475681</v>
      </c>
      <c r="E63" s="34">
        <v>2037579.3160475681</v>
      </c>
      <c r="F63" s="34">
        <v>2292939.3160475679</v>
      </c>
      <c r="G63" s="34">
        <v>2548299.3160475679</v>
      </c>
    </row>
    <row r="64" spans="2:15" x14ac:dyDescent="0.25">
      <c r="B64" s="25">
        <f>B63+2.5%</f>
        <v>2.5000000000000001E-2</v>
      </c>
      <c r="C64" s="16">
        <v>1973030.2273126282</v>
      </c>
      <c r="D64" s="34">
        <v>2284161.5912207607</v>
      </c>
      <c r="E64" s="34">
        <v>2595292.9551288923</v>
      </c>
      <c r="F64" s="34">
        <v>2906424.3190370249</v>
      </c>
      <c r="G64" s="34">
        <v>3217555.6829451579</v>
      </c>
    </row>
    <row r="65" spans="2:7" x14ac:dyDescent="0.25">
      <c r="B65" s="25">
        <f t="shared" ref="B65:B67" si="21">B64+2.5%</f>
        <v>0.05</v>
      </c>
      <c r="C65" s="16">
        <v>2502243.4930553688</v>
      </c>
      <c r="D65" s="34">
        <v>2879526.5151813435</v>
      </c>
      <c r="E65" s="34">
        <v>3256809.5373073178</v>
      </c>
      <c r="F65" s="34">
        <v>3634092.5594332935</v>
      </c>
      <c r="G65" s="34">
        <v>4011375.5815592697</v>
      </c>
    </row>
    <row r="66" spans="2:7" x14ac:dyDescent="0.25">
      <c r="B66" s="25">
        <f t="shared" si="21"/>
        <v>7.5000000000000011E-2</v>
      </c>
      <c r="C66" s="16">
        <v>3127410.496331004</v>
      </c>
      <c r="D66" s="34">
        <v>3582839.3938664328</v>
      </c>
      <c r="E66" s="34">
        <v>4038268.2914018631</v>
      </c>
      <c r="F66" s="34">
        <v>4493697.1889372915</v>
      </c>
      <c r="G66" s="34">
        <v>4949126.0864727218</v>
      </c>
    </row>
    <row r="67" spans="2:7" x14ac:dyDescent="0.25">
      <c r="B67" s="25">
        <f t="shared" si="21"/>
        <v>0.1</v>
      </c>
      <c r="C67" s="16">
        <v>3863074.0242203693</v>
      </c>
      <c r="D67" s="34">
        <v>4410460.8627419705</v>
      </c>
      <c r="E67" s="34">
        <v>4957847.7012635712</v>
      </c>
      <c r="F67" s="34">
        <v>5505234.5397851737</v>
      </c>
      <c r="G67" s="34">
        <v>6052621.3783067716</v>
      </c>
    </row>
    <row r="68" spans="2:7" x14ac:dyDescent="0.25">
      <c r="B68"/>
      <c r="C68" s="12"/>
    </row>
    <row r="92" spans="1:1" x14ac:dyDescent="0.25">
      <c r="A92" s="63"/>
    </row>
  </sheetData>
  <scenarios current="0" show="0" sqref="N46">
    <scenario name="Expected Rent" locked="1" count="2" user="Strife Ez" comment="Created by Strife Ez on 8/25/2024">
      <inputCells r="C15" val="0.05" numFmtId="10"/>
      <inputCells r="G24" val="2300" numFmtId="165"/>
    </scenario>
    <scenario name="High Rent" locked="1" count="2" user="Strife Ez" comment="Created by Strife Ez on 8/25/2024">
      <inputCells r="C15" val="0.08" numFmtId="10"/>
      <inputCells r="G24" val="2500" numFmtId="165"/>
    </scenario>
  </scenarios>
  <conditionalFormatting sqref="C63:G6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B974F-90BB-410D-B491-164EF7D2D0EA}">
  <sheetPr>
    <outlinePr summaryBelow="0"/>
  </sheetPr>
  <dimension ref="B1:F12"/>
  <sheetViews>
    <sheetView showGridLines="0" zoomScale="145" zoomScaleNormal="145" workbookViewId="0">
      <selection activeCell="H8" sqref="H8"/>
    </sheetView>
  </sheetViews>
  <sheetFormatPr defaultRowHeight="15" outlineLevelRow="1" outlineLevelCol="1" x14ac:dyDescent="0.25"/>
  <cols>
    <col min="3" max="3" width="12.85546875" bestFit="1" customWidth="1"/>
    <col min="4" max="6" width="13.140625" bestFit="1" customWidth="1" outlineLevel="1"/>
  </cols>
  <sheetData>
    <row r="1" spans="2:6" ht="15.75" thickBot="1" x14ac:dyDescent="0.3"/>
    <row r="2" spans="2:6" ht="15.75" x14ac:dyDescent="0.25">
      <c r="B2" s="40" t="s">
        <v>51</v>
      </c>
      <c r="C2" s="40"/>
      <c r="D2" s="45"/>
      <c r="E2" s="45"/>
      <c r="F2" s="45"/>
    </row>
    <row r="3" spans="2:6" ht="15.75" collapsed="1" x14ac:dyDescent="0.25">
      <c r="B3" s="39"/>
      <c r="C3" s="39"/>
      <c r="D3" s="46" t="s">
        <v>53</v>
      </c>
      <c r="E3" s="46" t="s">
        <v>48</v>
      </c>
      <c r="F3" s="46" t="s">
        <v>50</v>
      </c>
    </row>
    <row r="4" spans="2:6" ht="22.5" hidden="1" outlineLevel="1" x14ac:dyDescent="0.25">
      <c r="B4" s="42"/>
      <c r="C4" s="42"/>
      <c r="E4" s="49" t="s">
        <v>49</v>
      </c>
      <c r="F4" s="49" t="s">
        <v>49</v>
      </c>
    </row>
    <row r="5" spans="2:6" x14ac:dyDescent="0.25">
      <c r="B5" s="43" t="s">
        <v>52</v>
      </c>
      <c r="C5" s="43"/>
      <c r="D5" s="41"/>
      <c r="E5" s="41"/>
      <c r="F5" s="41"/>
    </row>
    <row r="6" spans="2:6" outlineLevel="1" x14ac:dyDescent="0.25">
      <c r="B6" s="42"/>
      <c r="C6" s="42" t="s">
        <v>45</v>
      </c>
      <c r="D6" s="25">
        <v>0.08</v>
      </c>
      <c r="E6" s="47">
        <v>0.05</v>
      </c>
      <c r="F6" s="47">
        <v>0.08</v>
      </c>
    </row>
    <row r="7" spans="2:6" outlineLevel="1" x14ac:dyDescent="0.25">
      <c r="B7" s="42"/>
      <c r="C7" s="42" t="s">
        <v>46</v>
      </c>
      <c r="D7" s="34">
        <v>2500</v>
      </c>
      <c r="E7" s="48">
        <v>2300</v>
      </c>
      <c r="F7" s="48">
        <v>2500</v>
      </c>
    </row>
    <row r="8" spans="2:6" x14ac:dyDescent="0.25">
      <c r="B8" s="43" t="s">
        <v>54</v>
      </c>
      <c r="C8" s="43"/>
      <c r="D8" s="41"/>
      <c r="E8" s="41"/>
      <c r="F8" s="41"/>
    </row>
    <row r="9" spans="2:6" ht="15.75" outlineLevel="1" thickBot="1" x14ac:dyDescent="0.3">
      <c r="B9" s="44"/>
      <c r="C9" s="44" t="s">
        <v>47</v>
      </c>
      <c r="D9" s="38">
        <v>4210514.7010233803</v>
      </c>
      <c r="E9" s="38">
        <v>2954983.1196065401</v>
      </c>
      <c r="F9" s="38">
        <v>4210514.7010233803</v>
      </c>
    </row>
    <row r="10" spans="2:6" x14ac:dyDescent="0.25">
      <c r="B10" t="s">
        <v>55</v>
      </c>
    </row>
    <row r="11" spans="2:6" x14ac:dyDescent="0.25">
      <c r="B11" t="s">
        <v>56</v>
      </c>
    </row>
    <row r="12" spans="2:6" x14ac:dyDescent="0.25">
      <c r="B12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6E33F-4EA6-4DCA-81E9-2EF1986B406E}">
  <dimension ref="A1:G5"/>
  <sheetViews>
    <sheetView showGridLines="0" zoomScale="160" zoomScaleNormal="160" workbookViewId="0">
      <selection activeCell="G5" sqref="G5"/>
    </sheetView>
  </sheetViews>
  <sheetFormatPr defaultRowHeight="15" x14ac:dyDescent="0.25"/>
  <cols>
    <col min="3" max="3" width="12.42578125" bestFit="1" customWidth="1"/>
    <col min="7" max="7" width="12.42578125" bestFit="1" customWidth="1"/>
  </cols>
  <sheetData>
    <row r="1" spans="1:7" x14ac:dyDescent="0.25">
      <c r="A1" s="30" t="s">
        <v>59</v>
      </c>
      <c r="B1" s="30"/>
      <c r="C1" s="30"/>
      <c r="E1" s="30" t="s">
        <v>60</v>
      </c>
      <c r="F1" s="30"/>
      <c r="G1" s="30"/>
    </row>
    <row r="2" spans="1:7" x14ac:dyDescent="0.25">
      <c r="A2" t="s">
        <v>61</v>
      </c>
      <c r="B2" s="51"/>
      <c r="C2" s="52">
        <f>Analysis!K10</f>
        <v>0.2</v>
      </c>
      <c r="E2" t="s">
        <v>61</v>
      </c>
      <c r="F2" s="51"/>
      <c r="G2" s="52">
        <f>Analysis!K10</f>
        <v>0.2</v>
      </c>
    </row>
    <row r="3" spans="1:7" x14ac:dyDescent="0.25">
      <c r="A3" t="s">
        <v>62</v>
      </c>
      <c r="B3" s="51"/>
      <c r="C3" s="53">
        <f>Analysis!HoldingPeriod</f>
        <v>10</v>
      </c>
      <c r="E3" t="s">
        <v>62</v>
      </c>
      <c r="F3" s="51"/>
      <c r="G3" s="53">
        <f>Analysis!HoldingPeriod</f>
        <v>10</v>
      </c>
    </row>
    <row r="4" spans="1:7" x14ac:dyDescent="0.25">
      <c r="A4" t="s">
        <v>63</v>
      </c>
      <c r="B4" s="54"/>
      <c r="C4" s="53">
        <f>Analysis!K7</f>
        <v>9288683.333333334</v>
      </c>
      <c r="E4" t="s">
        <v>64</v>
      </c>
      <c r="F4" s="54"/>
      <c r="G4" s="53">
        <f>Analysis!K8</f>
        <v>70371707.477179199</v>
      </c>
    </row>
    <row r="5" spans="1:7" x14ac:dyDescent="0.25">
      <c r="A5" t="s">
        <v>64</v>
      </c>
      <c r="B5" s="55"/>
      <c r="C5" s="16">
        <f>FV(C2,C3,,-C4,)</f>
        <v>57513078.911139838</v>
      </c>
      <c r="E5" t="s">
        <v>63</v>
      </c>
      <c r="F5" s="55"/>
      <c r="G5" s="16">
        <f>PV(G2,G3,,-G4)</f>
        <v>11365423.635055542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10</vt:i4>
      </vt:variant>
    </vt:vector>
  </HeadingPairs>
  <TitlesOfParts>
    <vt:vector size="13" baseType="lpstr">
      <vt:lpstr>Analysis</vt:lpstr>
      <vt:lpstr>Scenario Summary</vt:lpstr>
      <vt:lpstr>TVM Analysis</vt:lpstr>
      <vt:lpstr>Analysis!AcquisitionCapRate</vt:lpstr>
      <vt:lpstr>Analysis!Cost_Growth</vt:lpstr>
      <vt:lpstr>Analysis!CostGrowth</vt:lpstr>
      <vt:lpstr>Analysis!HoldingPeriod</vt:lpstr>
      <vt:lpstr>NetOperatingIncome</vt:lpstr>
      <vt:lpstr>PresentValue</vt:lpstr>
      <vt:lpstr>Analysis!PurchasePrice</vt:lpstr>
      <vt:lpstr>Analysis!Rent_Growth</vt:lpstr>
      <vt:lpstr>Analysis!SalePrice</vt:lpstr>
      <vt:lpstr>Analysis!Units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Edwards</dc:creator>
  <cp:lastModifiedBy>Muhammad Zilany</cp:lastModifiedBy>
  <dcterms:created xsi:type="dcterms:W3CDTF">2023-09-18T02:06:14Z</dcterms:created>
  <dcterms:modified xsi:type="dcterms:W3CDTF">2024-08-27T17:06:12Z</dcterms:modified>
</cp:coreProperties>
</file>