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 Projects\Financial Modeling In Excel\"/>
    </mc:Choice>
  </mc:AlternateContent>
  <xr:revisionPtr revIDLastSave="0" documentId="13_ncr:1_{28C574FC-26B7-4D18-8616-662F09176B47}" xr6:coauthVersionLast="47" xr6:coauthVersionMax="47" xr10:uidLastSave="{00000000-0000-0000-0000-000000000000}"/>
  <bookViews>
    <workbookView xWindow="3330" yWindow="510" windowWidth="31080" windowHeight="20010" xr2:uid="{4FDF45FB-1CFF-4C45-826A-662E4B25C150}"/>
  </bookViews>
  <sheets>
    <sheet name="Analysis" sheetId="2" r:id="rId1"/>
    <sheet name="Scenario Summary" sheetId="5" r:id="rId2"/>
    <sheet name="TVM Analysis" sheetId="6" r:id="rId3"/>
  </sheets>
  <definedNames>
    <definedName name="AcquisitionCapRate" localSheetId="0">Analysis!$F$3</definedName>
    <definedName name="AcquisitionCapRate">#REF!</definedName>
    <definedName name="Cost_Growth" localSheetId="0">Analysis!$B$9</definedName>
    <definedName name="Cost_Growth">#REF!</definedName>
    <definedName name="CostGrowth" localSheetId="0">Analysis!$B$9</definedName>
    <definedName name="CostGrowth" comment="The rate at which estimated costs will grow each year.">#REF!</definedName>
    <definedName name="HoldingPeriod" localSheetId="0">Analysis!$F$6</definedName>
    <definedName name="HoldingPeriod">#REF!</definedName>
    <definedName name="NetOperatingIncome">Analysis!$B$46</definedName>
    <definedName name="PresentValue" comment="The analyzed present value of the total return.">Analysis!$J$7</definedName>
    <definedName name="PurchasePrice" localSheetId="0">Analysis!$F$2</definedName>
    <definedName name="PurchasePrice">#REF!</definedName>
    <definedName name="Rent_Growth" localSheetId="0">Analysis!$B$10</definedName>
    <definedName name="Rent_Growth">#REF!</definedName>
    <definedName name="SalePrice" localSheetId="0">Analysis!$F$8</definedName>
    <definedName name="SalePrice">#REF!</definedName>
    <definedName name="Units" localSheetId="0">Analysis!$B$3</definedName>
    <definedName name="Units" comment="The number of units the property has.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F15" i="2" s="1"/>
  <c r="G15" i="2" s="1"/>
  <c r="H15" i="2" s="1"/>
  <c r="I15" i="2" s="1"/>
  <c r="J15" i="2" s="1"/>
  <c r="K15" i="2" s="1"/>
  <c r="L15" i="2" s="1"/>
  <c r="M15" i="2" s="1"/>
  <c r="N15" i="2" s="1"/>
  <c r="G3" i="6"/>
  <c r="G2" i="6"/>
  <c r="C3" i="6"/>
  <c r="C2" i="6"/>
  <c r="F57" i="2"/>
  <c r="D57" i="2"/>
  <c r="E57" i="2"/>
  <c r="C57" i="2"/>
  <c r="A59" i="2"/>
  <c r="A60" i="2"/>
  <c r="A61" i="2"/>
  <c r="A62" i="2"/>
  <c r="B51" i="2" l="1"/>
  <c r="E49" i="2"/>
  <c r="D44" i="2"/>
  <c r="B44" i="2"/>
  <c r="F37" i="2"/>
  <c r="G37" i="2" s="1"/>
  <c r="E36" i="2"/>
  <c r="B28" i="2"/>
  <c r="N23" i="2"/>
  <c r="M23" i="2"/>
  <c r="L23" i="2"/>
  <c r="K23" i="2"/>
  <c r="J23" i="2"/>
  <c r="I23" i="2"/>
  <c r="H23" i="2"/>
  <c r="G23" i="2"/>
  <c r="F23" i="2"/>
  <c r="E23" i="2"/>
  <c r="E21" i="2" s="1"/>
  <c r="D21" i="2"/>
  <c r="D28" i="2" s="1"/>
  <c r="D46" i="2" s="1"/>
  <c r="G19" i="2"/>
  <c r="H19" i="2" s="1"/>
  <c r="F18" i="2"/>
  <c r="E16" i="2"/>
  <c r="F16" i="2" l="1"/>
  <c r="F48" i="2" s="1"/>
  <c r="F51" i="2" s="1"/>
  <c r="E48" i="2"/>
  <c r="E51" i="2" s="1"/>
  <c r="B46" i="2"/>
  <c r="F2" i="2" s="1"/>
  <c r="D48" i="2" s="1"/>
  <c r="E39" i="2"/>
  <c r="E30" i="2"/>
  <c r="E25" i="2"/>
  <c r="E28" i="2" s="1"/>
  <c r="E33" i="2"/>
  <c r="G18" i="2"/>
  <c r="G21" i="2" s="1"/>
  <c r="G33" i="2" s="1"/>
  <c r="G16" i="2"/>
  <c r="G48" i="2" s="1"/>
  <c r="F39" i="2"/>
  <c r="H37" i="2"/>
  <c r="G36" i="2"/>
  <c r="I19" i="2"/>
  <c r="H18" i="2"/>
  <c r="B53" i="2"/>
  <c r="F36" i="2"/>
  <c r="F21" i="2"/>
  <c r="F25" i="2" l="1"/>
  <c r="F28" i="2" s="1"/>
  <c r="F30" i="2"/>
  <c r="E42" i="2"/>
  <c r="D51" i="2"/>
  <c r="J2" i="2" s="1"/>
  <c r="C4" i="6" s="1"/>
  <c r="F33" i="2"/>
  <c r="H21" i="2"/>
  <c r="H25" i="2" s="1"/>
  <c r="G25" i="2"/>
  <c r="G28" i="2" s="1"/>
  <c r="G30" i="2"/>
  <c r="I18" i="2"/>
  <c r="J19" i="2"/>
  <c r="G51" i="2"/>
  <c r="H16" i="2"/>
  <c r="H48" i="2" s="1"/>
  <c r="G39" i="2"/>
  <c r="I37" i="2"/>
  <c r="H36" i="2"/>
  <c r="D53" i="2" l="1"/>
  <c r="C5" i="6"/>
  <c r="J6" i="2" s="1"/>
  <c r="H30" i="2"/>
  <c r="I16" i="2"/>
  <c r="I48" i="2" s="1"/>
  <c r="H39" i="2"/>
  <c r="H51" i="2"/>
  <c r="I36" i="2"/>
  <c r="J37" i="2"/>
  <c r="J18" i="2"/>
  <c r="K19" i="2"/>
  <c r="I21" i="2"/>
  <c r="I25" i="2" s="1"/>
  <c r="H28" i="2"/>
  <c r="H33" i="2"/>
  <c r="F42" i="2"/>
  <c r="E40" i="2"/>
  <c r="E44" i="2" s="1"/>
  <c r="E46" i="2" s="1"/>
  <c r="E53" i="2" s="1"/>
  <c r="I30" i="2" l="1"/>
  <c r="I28" i="2"/>
  <c r="K18" i="2"/>
  <c r="L19" i="2"/>
  <c r="K37" i="2"/>
  <c r="J36" i="2"/>
  <c r="G42" i="2"/>
  <c r="F40" i="2"/>
  <c r="F44" i="2" s="1"/>
  <c r="F46" i="2" s="1"/>
  <c r="F53" i="2" s="1"/>
  <c r="I33" i="2"/>
  <c r="J21" i="2"/>
  <c r="J25" i="2" s="1"/>
  <c r="J16" i="2"/>
  <c r="I39" i="2"/>
  <c r="L18" i="2" l="1"/>
  <c r="M19" i="2"/>
  <c r="J28" i="2"/>
  <c r="K16" i="2"/>
  <c r="K48" i="2" s="1"/>
  <c r="J39" i="2"/>
  <c r="J33" i="2"/>
  <c r="J30" i="2"/>
  <c r="H42" i="2"/>
  <c r="G40" i="2"/>
  <c r="G44" i="2" s="1"/>
  <c r="G46" i="2" s="1"/>
  <c r="G53" i="2" s="1"/>
  <c r="K36" i="2"/>
  <c r="L37" i="2"/>
  <c r="K21" i="2"/>
  <c r="K25" i="2" s="1"/>
  <c r="K30" i="2" l="1"/>
  <c r="K28" i="2"/>
  <c r="I42" i="2"/>
  <c r="H40" i="2"/>
  <c r="H44" i="2" s="1"/>
  <c r="H46" i="2" s="1"/>
  <c r="H53" i="2" s="1"/>
  <c r="L21" i="2"/>
  <c r="L25" i="2" s="1"/>
  <c r="K33" i="2"/>
  <c r="M37" i="2"/>
  <c r="L36" i="2"/>
  <c r="K51" i="2"/>
  <c r="L16" i="2"/>
  <c r="K39" i="2"/>
  <c r="N19" i="2"/>
  <c r="N18" i="2" s="1"/>
  <c r="M18" i="2"/>
  <c r="L33" i="2" l="1"/>
  <c r="L30" i="2"/>
  <c r="M21" i="2"/>
  <c r="M25" i="2" s="1"/>
  <c r="M36" i="2"/>
  <c r="N37" i="2"/>
  <c r="N36" i="2" s="1"/>
  <c r="N21" i="2"/>
  <c r="N25" i="2" s="1"/>
  <c r="L39" i="2"/>
  <c r="M16" i="2"/>
  <c r="M48" i="2" s="1"/>
  <c r="L28" i="2"/>
  <c r="J42" i="2"/>
  <c r="I40" i="2"/>
  <c r="I44" i="2" s="1"/>
  <c r="I46" i="2" s="1"/>
  <c r="M30" i="2" l="1"/>
  <c r="M33" i="2"/>
  <c r="N30" i="2"/>
  <c r="M28" i="2"/>
  <c r="J40" i="2"/>
  <c r="J44" i="2" s="1"/>
  <c r="J46" i="2" s="1"/>
  <c r="K42" i="2"/>
  <c r="N33" i="2"/>
  <c r="M51" i="2"/>
  <c r="N16" i="2"/>
  <c r="N48" i="2" s="1"/>
  <c r="M39" i="2"/>
  <c r="N28" i="2"/>
  <c r="L42" i="2" l="1"/>
  <c r="K40" i="2"/>
  <c r="K44" i="2" s="1"/>
  <c r="K46" i="2" s="1"/>
  <c r="K53" i="2" s="1"/>
  <c r="N39" i="2"/>
  <c r="L40" i="2" l="1"/>
  <c r="L44" i="2" s="1"/>
  <c r="L46" i="2" s="1"/>
  <c r="M42" i="2"/>
  <c r="M40" i="2" l="1"/>
  <c r="M44" i="2" s="1"/>
  <c r="M46" i="2" s="1"/>
  <c r="M53" i="2" s="1"/>
  <c r="N42" i="2"/>
  <c r="N40" i="2" s="1"/>
  <c r="N44" i="2" s="1"/>
  <c r="N46" i="2" s="1"/>
  <c r="A57" i="2" s="1"/>
  <c r="F8" i="2" l="1"/>
  <c r="L48" i="2" s="1"/>
  <c r="L51" i="2" s="1"/>
  <c r="L53" i="2" s="1"/>
  <c r="N51" i="2"/>
  <c r="N53" i="2" s="1"/>
  <c r="I51" i="2" l="1"/>
  <c r="I53" i="2" s="1"/>
  <c r="J48" i="2"/>
  <c r="J51" i="2" s="1"/>
  <c r="J53" i="2" s="1"/>
  <c r="J9" i="2" s="1"/>
  <c r="J3" i="2" l="1"/>
  <c r="J11" i="2"/>
  <c r="J10" i="2"/>
  <c r="J8" i="2"/>
  <c r="G4" i="6" l="1"/>
  <c r="G5" i="6" s="1"/>
  <c r="J7" i="2" s="1"/>
  <c r="J4" i="2"/>
</calcChain>
</file>

<file path=xl/sharedStrings.xml><?xml version="1.0" encoding="utf-8"?>
<sst xmlns="http://schemas.openxmlformats.org/spreadsheetml/2006/main" count="81" uniqueCount="74">
  <si>
    <t>Units</t>
  </si>
  <si>
    <t>Year Built</t>
  </si>
  <si>
    <t>Effective Monthly Rent / Unit</t>
  </si>
  <si>
    <t>Total Rental Income</t>
  </si>
  <si>
    <t>Delinquency %</t>
  </si>
  <si>
    <t>Repairs &amp; Maintenance</t>
  </si>
  <si>
    <t>Utilities (Vacancy)</t>
  </si>
  <si>
    <t>Taxes</t>
  </si>
  <si>
    <t>Total Operating Expenses</t>
  </si>
  <si>
    <t>Net Operating Income</t>
  </si>
  <si>
    <t>Renovations</t>
  </si>
  <si>
    <t>Total Capital Expenditures</t>
  </si>
  <si>
    <t>Community Name</t>
  </si>
  <si>
    <t>West Ridge North</t>
  </si>
  <si>
    <t>Tax rate</t>
  </si>
  <si>
    <t>Assessed value</t>
  </si>
  <si>
    <t>Avg. Occupancy</t>
  </si>
  <si>
    <t>R&amp;M Ratio</t>
  </si>
  <si>
    <t>Asset Details</t>
  </si>
  <si>
    <t>Turn Ratio</t>
  </si>
  <si>
    <t>Avg. Utilities Cost / Vacant Unit</t>
  </si>
  <si>
    <t>Net Income</t>
  </si>
  <si>
    <t>Last Remodeled</t>
  </si>
  <si>
    <t>N/A</t>
  </si>
  <si>
    <t>Avg. Occupied Units</t>
  </si>
  <si>
    <t>Acquisition Details</t>
  </si>
  <si>
    <t>Purchase Price</t>
  </si>
  <si>
    <t>Cap Rate</t>
  </si>
  <si>
    <t>Sale Details</t>
  </si>
  <si>
    <t>Sale Price</t>
  </si>
  <si>
    <t>Net Potential Rent</t>
  </si>
  <si>
    <t>Vacancy</t>
  </si>
  <si>
    <t>Cash Flow Analysis</t>
  </si>
  <si>
    <t>Delinquency</t>
  </si>
  <si>
    <t>Salaries and Wages</t>
  </si>
  <si>
    <t>Last Year Financials</t>
  </si>
  <si>
    <t>Operational Assumptions</t>
  </si>
  <si>
    <t>Rent Growth %</t>
  </si>
  <si>
    <t>Cost Growth %</t>
  </si>
  <si>
    <t>Exit Cap Rate</t>
  </si>
  <si>
    <t>Holding Period (Years)</t>
  </si>
  <si>
    <t>Seller</t>
  </si>
  <si>
    <t>Shady Tree Mgmt</t>
  </si>
  <si>
    <t>Property (Purchase) Sale</t>
  </si>
  <si>
    <t>Turn &amp; Marketing Expenses</t>
  </si>
  <si>
    <t>Rent_Growth</t>
  </si>
  <si>
    <t>$F$19</t>
  </si>
  <si>
    <t>$N$46</t>
  </si>
  <si>
    <t>Expected Rent</t>
  </si>
  <si>
    <t>Created by Strife Ez on 8/25/2024</t>
  </si>
  <si>
    <t>High Rent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</si>
  <si>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</si>
  <si>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</si>
  <si>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</si>
  <si>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</si>
  <si>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</si>
  <si>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</si>
  <si>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</si>
  <si>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Sensitivity analysis</t>
  </si>
  <si>
    <t>Future Value</t>
  </si>
  <si>
    <t>Present Value</t>
  </si>
  <si>
    <t>Rate</t>
  </si>
  <si>
    <t>Nper</t>
  </si>
  <si>
    <t>PV</t>
  </si>
  <si>
    <t>FV</t>
  </si>
  <si>
    <t>Profit Metrics</t>
  </si>
  <si>
    <t>Total Investment</t>
  </si>
  <si>
    <t>Total Return</t>
  </si>
  <si>
    <t>Return on Investment</t>
  </si>
  <si>
    <t>Benchmark Rate</t>
  </si>
  <si>
    <t>NPV</t>
  </si>
  <si>
    <t>XNPV</t>
  </si>
  <si>
    <t>IRR</t>
  </si>
  <si>
    <t>XIRR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</si>
</sst>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Year&quot;\ 0"/>
    <numFmt numFmtId="165" formatCode="_(* #,##0_);_(* \(#,##0\);_(* &quot;-&quot;??_);_(@_)"/>
    <numFmt numFmtId="166" formatCode="_(* #,##0_);_(* \(#,##0\);_(* &quot;-&quot;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7030A0"/>
      <name val="Arial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CE7F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166" fontId="6" fillId="0" borderId="0" xfId="0" applyNumberFormat="1" applyFont="1"/>
    <xf numFmtId="165" fontId="6" fillId="0" borderId="0" xfId="1" applyNumberFormat="1" applyFont="1"/>
    <xf numFmtId="10" fontId="7" fillId="0" borderId="0" xfId="0" applyNumberFormat="1" applyFont="1"/>
    <xf numFmtId="10" fontId="6" fillId="0" borderId="0" xfId="2" applyNumberFormat="1" applyFon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165" fontId="5" fillId="0" borderId="1" xfId="0" applyNumberFormat="1" applyFont="1" applyBorder="1"/>
    <xf numFmtId="166" fontId="4" fillId="0" borderId="0" xfId="0" applyNumberFormat="1" applyFont="1"/>
    <xf numFmtId="10" fontId="8" fillId="0" borderId="0" xfId="2" applyNumberFormat="1" applyFont="1"/>
    <xf numFmtId="166" fontId="8" fillId="0" borderId="0" xfId="0" applyNumberFormat="1" applyFont="1"/>
    <xf numFmtId="166" fontId="5" fillId="0" borderId="1" xfId="0" applyNumberFormat="1" applyFont="1" applyBorder="1"/>
    <xf numFmtId="10" fontId="6" fillId="0" borderId="0" xfId="0" applyNumberFormat="1" applyFont="1"/>
    <xf numFmtId="0" fontId="3" fillId="0" borderId="0" xfId="0" applyFont="1" applyAlignment="1">
      <alignment horizontal="right"/>
    </xf>
    <xf numFmtId="10" fontId="0" fillId="0" borderId="0" xfId="0" applyNumberFormat="1"/>
    <xf numFmtId="1" fontId="0" fillId="0" borderId="0" xfId="0" applyNumberFormat="1"/>
    <xf numFmtId="10" fontId="6" fillId="2" borderId="0" xfId="2" applyNumberFormat="1" applyFont="1" applyFill="1"/>
    <xf numFmtId="165" fontId="6" fillId="0" borderId="0" xfId="1" applyNumberFormat="1" applyFont="1" applyAlignment="1">
      <alignment horizontal="center"/>
    </xf>
    <xf numFmtId="10" fontId="4" fillId="0" borderId="0" xfId="0" applyNumberFormat="1" applyFont="1"/>
    <xf numFmtId="0" fontId="5" fillId="3" borderId="0" xfId="0" applyFont="1" applyFill="1" applyAlignment="1">
      <alignment horizontal="centerContinuous"/>
    </xf>
    <xf numFmtId="0" fontId="2" fillId="3" borderId="0" xfId="0" applyFont="1" applyFill="1"/>
    <xf numFmtId="0" fontId="4" fillId="3" borderId="0" xfId="0" applyFont="1" applyFill="1"/>
    <xf numFmtId="0" fontId="0" fillId="3" borderId="0" xfId="0" applyFill="1"/>
    <xf numFmtId="165" fontId="0" fillId="0" borderId="0" xfId="0" applyNumberFormat="1"/>
    <xf numFmtId="0" fontId="6" fillId="0" borderId="0" xfId="0" applyFont="1"/>
    <xf numFmtId="165" fontId="0" fillId="0" borderId="0" xfId="1" applyNumberFormat="1" applyFont="1"/>
    <xf numFmtId="164" fontId="0" fillId="0" borderId="1" xfId="1" applyNumberFormat="1" applyFont="1" applyBorder="1" applyAlignment="1">
      <alignment horizontal="center"/>
    </xf>
    <xf numFmtId="165" fontId="0" fillId="0" borderId="3" xfId="0" applyNumberFormat="1" applyBorder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0" fillId="0" borderId="4" xfId="0" applyBorder="1"/>
    <xf numFmtId="0" fontId="10" fillId="5" borderId="0" xfId="0" applyFont="1" applyFill="1" applyAlignment="1">
      <alignment horizontal="left"/>
    </xf>
    <xf numFmtId="0" fontId="11" fillId="5" borderId="4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10" fontId="0" fillId="6" borderId="0" xfId="0" applyNumberFormat="1" applyFill="1"/>
    <xf numFmtId="165" fontId="0" fillId="6" borderId="0" xfId="0" applyNumberFormat="1" applyFill="1"/>
    <xf numFmtId="0" fontId="13" fillId="0" borderId="0" xfId="0" applyFont="1" applyAlignment="1">
      <alignment vertical="top" wrapText="1"/>
    </xf>
    <xf numFmtId="0" fontId="8" fillId="0" borderId="0" xfId="0" applyFont="1"/>
    <xf numFmtId="10" fontId="15" fillId="0" borderId="0" xfId="2" applyNumberFormat="1" applyFont="1"/>
    <xf numFmtId="165" fontId="15" fillId="0" borderId="0" xfId="1" applyNumberFormat="1" applyFont="1"/>
    <xf numFmtId="0" fontId="8" fillId="0" borderId="0" xfId="1" applyNumberFormat="1" applyFont="1"/>
    <xf numFmtId="0" fontId="4" fillId="0" borderId="0" xfId="1" applyNumberFormat="1" applyFont="1"/>
    <xf numFmtId="165" fontId="0" fillId="2" borderId="0" xfId="1" applyNumberFormat="1" applyFont="1" applyFill="1"/>
    <xf numFmtId="10" fontId="0" fillId="0" borderId="0" xfId="2" applyNumberFormat="1" applyFont="1"/>
    <xf numFmtId="10" fontId="7" fillId="2" borderId="0" xfId="0" applyNumberFormat="1" applyFont="1" applyFill="1"/>
    <xf numFmtId="165" fontId="15" fillId="2" borderId="0" xfId="1" applyNumberFormat="1" applyFont="1" applyFill="1"/>
    <xf numFmtId="165" fontId="4" fillId="2" borderId="0" xfId="1" applyNumberFormat="1" applyFont="1" applyFill="1"/>
    <xf numFmtId="10" fontId="0" fillId="2" borderId="0" xfId="2" applyNumberFormat="1" applyFont="1" applyFill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right" wrapText="1"/>
    </xf>
    <xf numFmtId="9" fontId="0" fillId="0" borderId="0" xfId="0" applyNumberFormat="1"/>
    <xf numFmtId="0" fontId="1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29308</xdr:colOff>
      <xdr:row>0</xdr:row>
      <xdr:rowOff>0</xdr:rowOff>
    </xdr:from>
    <xdr:to>
      <xdr:col>14</xdr:col>
      <xdr:colOff>749792</xdr:colOff>
      <xdr:row>9</xdr:row>
      <xdr:rowOff>152332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EC60B-29D8-4921-B1B3-564D56C5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8708" y="0"/>
          <a:ext cx="3763173" cy="1866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3A6A-D52D-4332-808F-367750D059EC}">
  <dimension ref="A1:T92"/>
  <sheetViews>
    <sheetView showGridLines="0" tabSelected="1" zoomScale="85" zoomScaleNormal="85" workbookViewId="0">
      <selection activeCell="U35" sqref="U35"/>
    </sheetView>
  </sheetViews>
  <sheetFormatPr defaultColWidth="6.5703125" defaultRowHeight="15" x14ac:dyDescent="0.25"/>
  <cols>
    <col min="1" max="1" width="29.42578125" bestFit="1" customWidth="1"/>
    <col min="2" max="2" width="19.85546875" style="11" bestFit="1" customWidth="1"/>
    <col min="3" max="3" width="10.5703125" bestFit="1" customWidth="1"/>
    <col min="4" max="4" width="22.140625" bestFit="1" customWidth="1"/>
    <col min="5" max="5" width="11.28515625" bestFit="1" customWidth="1"/>
    <col min="6" max="6" width="11.5703125" bestFit="1" customWidth="1"/>
    <col min="7" max="7" width="11.28515625" bestFit="1" customWidth="1"/>
    <col min="8" max="8" width="21.140625" bestFit="1" customWidth="1"/>
    <col min="9" max="9" width="11.28515625" bestFit="1" customWidth="1"/>
    <col min="10" max="10" width="11.5703125" bestFit="1" customWidth="1"/>
    <col min="11" max="11" width="11.28515625" bestFit="1" customWidth="1"/>
    <col min="12" max="12" width="11.5703125" bestFit="1" customWidth="1"/>
    <col min="13" max="14" width="11.28515625" bestFit="1" customWidth="1"/>
    <col min="15" max="15" width="20.42578125" bestFit="1" customWidth="1"/>
    <col min="16" max="20" width="10.5703125" bestFit="1" customWidth="1"/>
  </cols>
  <sheetData>
    <row r="1" spans="1:14" x14ac:dyDescent="0.25">
      <c r="A1" s="29" t="s">
        <v>18</v>
      </c>
      <c r="B1" s="29"/>
      <c r="D1" s="29" t="s">
        <v>25</v>
      </c>
      <c r="E1" s="29"/>
      <c r="F1" s="29"/>
      <c r="H1" s="29" t="s">
        <v>65</v>
      </c>
      <c r="I1" s="29"/>
      <c r="J1" s="29"/>
    </row>
    <row r="2" spans="1:14" x14ac:dyDescent="0.25">
      <c r="A2" t="s">
        <v>12</v>
      </c>
      <c r="B2" s="9" t="s">
        <v>13</v>
      </c>
      <c r="D2" t="s">
        <v>26</v>
      </c>
      <c r="F2" s="33">
        <f>NetOperatingIncome/AcquisitionCapRate</f>
        <v>7288683.333333334</v>
      </c>
      <c r="H2" t="s">
        <v>66</v>
      </c>
      <c r="J2" s="35">
        <f>ABS(SUM(D51,E51))</f>
        <v>9288683.333333334</v>
      </c>
    </row>
    <row r="3" spans="1:14" x14ac:dyDescent="0.25">
      <c r="A3" s="4" t="s">
        <v>0</v>
      </c>
      <c r="B3" s="10">
        <v>80</v>
      </c>
      <c r="D3" s="4" t="s">
        <v>27</v>
      </c>
      <c r="E3" s="4"/>
      <c r="F3" s="26">
        <v>0.06</v>
      </c>
      <c r="H3" s="4" t="s">
        <v>67</v>
      </c>
      <c r="I3" s="4"/>
      <c r="J3" s="54">
        <f>SUM(D53:N53)</f>
        <v>55339794.745550722</v>
      </c>
      <c r="K3" s="25"/>
    </row>
    <row r="4" spans="1:14" x14ac:dyDescent="0.25">
      <c r="A4" t="s">
        <v>1</v>
      </c>
      <c r="B4" s="9">
        <v>1994</v>
      </c>
      <c r="H4" t="s">
        <v>68</v>
      </c>
      <c r="J4" s="55">
        <f>J3/J2</f>
        <v>5.9577652461203563</v>
      </c>
    </row>
    <row r="5" spans="1:14" x14ac:dyDescent="0.25">
      <c r="A5" s="4" t="s">
        <v>22</v>
      </c>
      <c r="B5" s="10" t="s">
        <v>23</v>
      </c>
      <c r="D5" s="29" t="s">
        <v>28</v>
      </c>
      <c r="E5" s="29"/>
      <c r="F5" s="29"/>
      <c r="H5" s="4" t="s">
        <v>69</v>
      </c>
      <c r="I5" s="4"/>
      <c r="J5" s="56">
        <v>0.2</v>
      </c>
    </row>
    <row r="6" spans="1:14" x14ac:dyDescent="0.25">
      <c r="A6" t="s">
        <v>41</v>
      </c>
      <c r="B6" s="9" t="s">
        <v>42</v>
      </c>
      <c r="D6" t="s">
        <v>40</v>
      </c>
      <c r="F6" s="34">
        <v>8</v>
      </c>
      <c r="H6" t="s">
        <v>64</v>
      </c>
      <c r="J6" s="51">
        <f>'TVM Analysis'!C5</f>
        <v>39939638.132735997</v>
      </c>
    </row>
    <row r="7" spans="1:14" x14ac:dyDescent="0.25">
      <c r="D7" s="4" t="s">
        <v>39</v>
      </c>
      <c r="E7" s="4"/>
      <c r="F7" s="26">
        <v>0.06</v>
      </c>
      <c r="H7" s="4" t="s">
        <v>63</v>
      </c>
      <c r="I7" s="4"/>
      <c r="J7" s="57">
        <f>'TVM Analysis'!G5</f>
        <v>12870267.562633812</v>
      </c>
    </row>
    <row r="8" spans="1:14" x14ac:dyDescent="0.25">
      <c r="A8" s="29" t="s">
        <v>36</v>
      </c>
      <c r="B8" s="29"/>
      <c r="D8" t="s">
        <v>29</v>
      </c>
      <c r="F8" s="35">
        <f>HLOOKUP(F6,D16:N46,31,FALSE)/F7</f>
        <v>44067749.660549633</v>
      </c>
      <c r="H8" t="s">
        <v>70</v>
      </c>
      <c r="J8" s="15">
        <f>NPV(J5,E53:N53)+D53</f>
        <v>8095243.4249216542</v>
      </c>
    </row>
    <row r="9" spans="1:14" x14ac:dyDescent="0.25">
      <c r="A9" s="24" t="s">
        <v>38</v>
      </c>
      <c r="B9" s="8">
        <v>0.02</v>
      </c>
      <c r="H9" s="4" t="s">
        <v>71</v>
      </c>
      <c r="I9" s="4"/>
      <c r="J9" s="58">
        <f>XNPV(J5,D53:N53,D15:N15)</f>
        <v>8079930.4497212227</v>
      </c>
    </row>
    <row r="10" spans="1:14" x14ac:dyDescent="0.25">
      <c r="A10" s="4" t="s">
        <v>37</v>
      </c>
      <c r="B10" s="26">
        <v>0.05</v>
      </c>
      <c r="H10" t="s">
        <v>72</v>
      </c>
      <c r="J10" s="24">
        <f>IRR(D53:N53,)</f>
        <v>0.32173987477522092</v>
      </c>
    </row>
    <row r="11" spans="1:14" x14ac:dyDescent="0.25">
      <c r="H11" s="4" t="s">
        <v>73</v>
      </c>
      <c r="I11" s="4"/>
      <c r="J11" s="59">
        <f>XIRR(D53:N53,D15:N15,)</f>
        <v>0.32148365378379828</v>
      </c>
    </row>
    <row r="14" spans="1:14" x14ac:dyDescent="0.25">
      <c r="A14" s="30" t="s">
        <v>32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25">
      <c r="D15" s="61">
        <v>45322</v>
      </c>
      <c r="E15" s="60">
        <f>EOMONTH(D15,12)</f>
        <v>45688</v>
      </c>
      <c r="F15" s="60">
        <f t="shared" ref="F15:N15" si="0">EOMONTH(E15,12)</f>
        <v>46053</v>
      </c>
      <c r="G15" s="60">
        <f t="shared" si="0"/>
        <v>46418</v>
      </c>
      <c r="H15" s="60">
        <f t="shared" si="0"/>
        <v>46783</v>
      </c>
      <c r="I15" s="60">
        <f t="shared" si="0"/>
        <v>47149</v>
      </c>
      <c r="J15" s="60">
        <f t="shared" si="0"/>
        <v>47514</v>
      </c>
      <c r="K15" s="60">
        <f t="shared" si="0"/>
        <v>47879</v>
      </c>
      <c r="L15" s="60">
        <f t="shared" si="0"/>
        <v>48244</v>
      </c>
      <c r="M15" s="60">
        <f t="shared" si="0"/>
        <v>48610</v>
      </c>
      <c r="N15" s="60">
        <f t="shared" si="0"/>
        <v>48975</v>
      </c>
    </row>
    <row r="16" spans="1:14" x14ac:dyDescent="0.25">
      <c r="B16" s="12" t="s">
        <v>35</v>
      </c>
      <c r="C16" s="1"/>
      <c r="D16" s="36">
        <v>0</v>
      </c>
      <c r="E16" s="36">
        <f>D16+1</f>
        <v>1</v>
      </c>
      <c r="F16" s="36">
        <f t="shared" ref="F16:N16" si="1">E16+1</f>
        <v>2</v>
      </c>
      <c r="G16" s="36">
        <f t="shared" si="1"/>
        <v>3</v>
      </c>
      <c r="H16" s="36">
        <f t="shared" si="1"/>
        <v>4</v>
      </c>
      <c r="I16" s="36">
        <f t="shared" si="1"/>
        <v>5</v>
      </c>
      <c r="J16" s="36">
        <f t="shared" si="1"/>
        <v>6</v>
      </c>
      <c r="K16" s="36">
        <f t="shared" si="1"/>
        <v>7</v>
      </c>
      <c r="L16" s="36">
        <f t="shared" si="1"/>
        <v>8</v>
      </c>
      <c r="M16" s="36">
        <f>L16+1</f>
        <v>9</v>
      </c>
      <c r="N16" s="36">
        <f t="shared" si="1"/>
        <v>10</v>
      </c>
    </row>
    <row r="17" spans="1:15" x14ac:dyDescent="0.25">
      <c r="B17" s="13"/>
      <c r="G17" s="1"/>
      <c r="H17" s="1"/>
      <c r="I17" s="1"/>
      <c r="J17" s="1"/>
    </row>
    <row r="18" spans="1:15" x14ac:dyDescent="0.25">
      <c r="A18" t="s">
        <v>30</v>
      </c>
      <c r="B18" s="14">
        <v>1493760</v>
      </c>
      <c r="D18" s="14">
        <v>0</v>
      </c>
      <c r="E18" s="14">
        <v>0</v>
      </c>
      <c r="F18" s="14">
        <f t="shared" ref="F18:N18" si="2">F19*Units*12</f>
        <v>2208000</v>
      </c>
      <c r="G18" s="14">
        <f t="shared" si="2"/>
        <v>2318400</v>
      </c>
      <c r="H18" s="14">
        <f t="shared" si="2"/>
        <v>2434320</v>
      </c>
      <c r="I18" s="14">
        <f t="shared" si="2"/>
        <v>2556036</v>
      </c>
      <c r="J18" s="14">
        <f t="shared" si="2"/>
        <v>2683837.7999999998</v>
      </c>
      <c r="K18" s="14">
        <f t="shared" si="2"/>
        <v>2818029.69</v>
      </c>
      <c r="L18" s="14">
        <f t="shared" si="2"/>
        <v>2958931.1745000007</v>
      </c>
      <c r="M18" s="14">
        <f t="shared" si="2"/>
        <v>3106877.7332250006</v>
      </c>
      <c r="N18" s="14">
        <f t="shared" si="2"/>
        <v>3262221.6198862512</v>
      </c>
    </row>
    <row r="19" spans="1:15" x14ac:dyDescent="0.25">
      <c r="A19" s="62" t="s">
        <v>2</v>
      </c>
      <c r="B19" s="6"/>
      <c r="D19" s="6"/>
      <c r="E19" s="6"/>
      <c r="F19" s="6">
        <v>2300</v>
      </c>
      <c r="G19" s="6">
        <f t="shared" ref="G19:N19" si="3">F19*(1+Rent_Growth)</f>
        <v>2415</v>
      </c>
      <c r="H19" s="6">
        <f t="shared" si="3"/>
        <v>2535.75</v>
      </c>
      <c r="I19" s="6">
        <f t="shared" si="3"/>
        <v>2662.5374999999999</v>
      </c>
      <c r="J19" s="6">
        <f t="shared" si="3"/>
        <v>2795.6643749999998</v>
      </c>
      <c r="K19" s="6">
        <f t="shared" si="3"/>
        <v>2935.4475937500001</v>
      </c>
      <c r="L19" s="6">
        <f t="shared" si="3"/>
        <v>3082.2199734375004</v>
      </c>
      <c r="M19" s="6">
        <f t="shared" si="3"/>
        <v>3236.3309721093756</v>
      </c>
      <c r="N19" s="6">
        <f t="shared" si="3"/>
        <v>3398.1475207148446</v>
      </c>
    </row>
    <row r="20" spans="1:15" x14ac:dyDescent="0.25">
      <c r="B20" s="14"/>
      <c r="D20" s="14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5" x14ac:dyDescent="0.25">
      <c r="A21" t="s">
        <v>31</v>
      </c>
      <c r="B21" s="15">
        <v>-410784.00000000006</v>
      </c>
      <c r="D21" s="15">
        <f t="shared" ref="D21:N21" si="4">-D18*(1-D23)</f>
        <v>0</v>
      </c>
      <c r="E21" s="15">
        <f t="shared" si="4"/>
        <v>0</v>
      </c>
      <c r="F21" s="15">
        <f t="shared" si="4"/>
        <v>-552000</v>
      </c>
      <c r="G21" s="15">
        <f t="shared" si="4"/>
        <v>-115920.0000000001</v>
      </c>
      <c r="H21" s="15">
        <f t="shared" si="4"/>
        <v>-121716.0000000001</v>
      </c>
      <c r="I21" s="15">
        <f t="shared" si="4"/>
        <v>-127801.80000000012</v>
      </c>
      <c r="J21" s="15">
        <f t="shared" si="4"/>
        <v>-134191.8900000001</v>
      </c>
      <c r="K21" s="15">
        <f t="shared" si="4"/>
        <v>-140901.48450000014</v>
      </c>
      <c r="L21" s="15">
        <f t="shared" si="4"/>
        <v>-147946.55872500016</v>
      </c>
      <c r="M21" s="15">
        <f t="shared" si="4"/>
        <v>-155343.88666125017</v>
      </c>
      <c r="N21" s="15">
        <f t="shared" si="4"/>
        <v>-163111.08099431271</v>
      </c>
    </row>
    <row r="22" spans="1:15" x14ac:dyDescent="0.25">
      <c r="A22" s="23" t="s">
        <v>24</v>
      </c>
      <c r="B22" s="6"/>
      <c r="D22" s="6"/>
      <c r="E22" s="6">
        <v>0</v>
      </c>
      <c r="F22" s="6">
        <v>60</v>
      </c>
      <c r="G22" s="6">
        <v>76</v>
      </c>
      <c r="H22" s="6">
        <v>76</v>
      </c>
      <c r="I22" s="6">
        <v>76</v>
      </c>
      <c r="J22" s="6">
        <v>76</v>
      </c>
      <c r="K22" s="6">
        <v>76</v>
      </c>
      <c r="L22" s="6">
        <v>76</v>
      </c>
      <c r="M22" s="6">
        <v>76</v>
      </c>
      <c r="N22" s="6">
        <v>76</v>
      </c>
      <c r="O22" s="6"/>
    </row>
    <row r="23" spans="1:15" x14ac:dyDescent="0.25">
      <c r="A23" s="23" t="s">
        <v>16</v>
      </c>
      <c r="B23" s="22"/>
      <c r="D23" s="28"/>
      <c r="E23" s="28">
        <f t="shared" ref="E23:N23" si="5">E22/Units</f>
        <v>0</v>
      </c>
      <c r="F23" s="28">
        <f t="shared" si="5"/>
        <v>0.75</v>
      </c>
      <c r="G23" s="28">
        <f t="shared" si="5"/>
        <v>0.95</v>
      </c>
      <c r="H23" s="28">
        <f t="shared" si="5"/>
        <v>0.95</v>
      </c>
      <c r="I23" s="28">
        <f t="shared" si="5"/>
        <v>0.95</v>
      </c>
      <c r="J23" s="28">
        <f t="shared" si="5"/>
        <v>0.95</v>
      </c>
      <c r="K23" s="28">
        <f t="shared" si="5"/>
        <v>0.95</v>
      </c>
      <c r="L23" s="28">
        <f t="shared" si="5"/>
        <v>0.95</v>
      </c>
      <c r="M23" s="28">
        <f t="shared" si="5"/>
        <v>0.95</v>
      </c>
      <c r="N23" s="28">
        <f t="shared" si="5"/>
        <v>0.95</v>
      </c>
    </row>
    <row r="24" spans="1:15" x14ac:dyDescent="0.25">
      <c r="A24" s="23"/>
      <c r="B24" s="22"/>
      <c r="D24" s="22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5">
      <c r="A25" t="s">
        <v>33</v>
      </c>
      <c r="B25" s="16">
        <v>-179251</v>
      </c>
      <c r="D25" s="16">
        <v>0</v>
      </c>
      <c r="E25" s="16">
        <f t="shared" ref="E25:N25" si="6">SUM(E21,E18)*E26</f>
        <v>0</v>
      </c>
      <c r="F25" s="16">
        <f t="shared" si="6"/>
        <v>99360</v>
      </c>
      <c r="G25" s="16">
        <f t="shared" si="6"/>
        <v>88099.199999999997</v>
      </c>
      <c r="H25" s="16">
        <f t="shared" si="6"/>
        <v>92504.16</v>
      </c>
      <c r="I25" s="16">
        <f t="shared" si="6"/>
        <v>97129.367999999988</v>
      </c>
      <c r="J25" s="16">
        <f t="shared" si="6"/>
        <v>101985.83639999999</v>
      </c>
      <c r="K25" s="16">
        <f t="shared" si="6"/>
        <v>107085.12821999998</v>
      </c>
      <c r="L25" s="16">
        <f t="shared" si="6"/>
        <v>112439.38463100001</v>
      </c>
      <c r="M25" s="16">
        <f t="shared" si="6"/>
        <v>118061.35386255002</v>
      </c>
      <c r="N25" s="16">
        <f t="shared" si="6"/>
        <v>123964.42155567755</v>
      </c>
    </row>
    <row r="26" spans="1:15" x14ac:dyDescent="0.25">
      <c r="A26" s="23" t="s">
        <v>4</v>
      </c>
      <c r="B26" s="7"/>
      <c r="D26" s="7"/>
      <c r="E26" s="7">
        <v>0.12</v>
      </c>
      <c r="F26" s="7">
        <v>0.06</v>
      </c>
      <c r="G26" s="7">
        <v>0.04</v>
      </c>
      <c r="H26" s="7">
        <v>0.04</v>
      </c>
      <c r="I26" s="7">
        <v>0.04</v>
      </c>
      <c r="J26" s="7">
        <v>0.04</v>
      </c>
      <c r="K26" s="7">
        <v>0.04</v>
      </c>
      <c r="L26" s="7">
        <v>0.04</v>
      </c>
      <c r="M26" s="7">
        <v>0.04</v>
      </c>
      <c r="N26" s="7">
        <v>0.04</v>
      </c>
    </row>
    <row r="27" spans="1:15" x14ac:dyDescent="0.25"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5" x14ac:dyDescent="0.25">
      <c r="A28" s="3" t="s">
        <v>3</v>
      </c>
      <c r="B28" s="17">
        <f>SUM(B18,B21,B25)</f>
        <v>903725</v>
      </c>
      <c r="C28" s="17"/>
      <c r="D28" s="17">
        <f>SUM(D18,D21,D25)</f>
        <v>0</v>
      </c>
      <c r="E28" s="17">
        <f t="shared" ref="E28:N28" si="7">SUM(E18,E21,E25)</f>
        <v>0</v>
      </c>
      <c r="F28" s="17">
        <f>SUM(F18,F21,F25)</f>
        <v>1755360</v>
      </c>
      <c r="G28" s="17">
        <f t="shared" si="7"/>
        <v>2290579.2000000002</v>
      </c>
      <c r="H28" s="17">
        <f t="shared" si="7"/>
        <v>2405108.16</v>
      </c>
      <c r="I28" s="17">
        <f t="shared" si="7"/>
        <v>2525363.5679999995</v>
      </c>
      <c r="J28" s="17">
        <f t="shared" si="7"/>
        <v>2651631.7463999996</v>
      </c>
      <c r="K28" s="17">
        <f t="shared" si="7"/>
        <v>2784213.3337199995</v>
      </c>
      <c r="L28" s="17">
        <f t="shared" si="7"/>
        <v>2923424.0004060003</v>
      </c>
      <c r="M28" s="17">
        <f t="shared" si="7"/>
        <v>3069595.2004263005</v>
      </c>
      <c r="N28" s="17">
        <f t="shared" si="7"/>
        <v>3223074.9604476159</v>
      </c>
    </row>
    <row r="29" spans="1:15" x14ac:dyDescent="0.25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5" x14ac:dyDescent="0.25">
      <c r="A30" t="s">
        <v>5</v>
      </c>
      <c r="B30" s="18">
        <v>-58742</v>
      </c>
      <c r="D30" s="18">
        <v>0</v>
      </c>
      <c r="E30" s="18">
        <f>SUM(E$18+E$21)*E31</f>
        <v>0</v>
      </c>
      <c r="F30" s="18">
        <f t="shared" ref="F30:N30" si="8">SUM(F18+F21)*F31</f>
        <v>82800</v>
      </c>
      <c r="G30" s="18">
        <f t="shared" si="8"/>
        <v>110124</v>
      </c>
      <c r="H30" s="18">
        <f t="shared" si="8"/>
        <v>115630.20000000001</v>
      </c>
      <c r="I30" s="18">
        <f t="shared" si="8"/>
        <v>121411.70999999999</v>
      </c>
      <c r="J30" s="18">
        <f t="shared" si="8"/>
        <v>127482.29549999999</v>
      </c>
      <c r="K30" s="18">
        <f t="shared" si="8"/>
        <v>133856.410275</v>
      </c>
      <c r="L30" s="18">
        <f t="shared" si="8"/>
        <v>140549.23078875002</v>
      </c>
      <c r="M30" s="18">
        <f t="shared" si="8"/>
        <v>147576.69232818752</v>
      </c>
      <c r="N30" s="18">
        <f t="shared" si="8"/>
        <v>154955.52694459693</v>
      </c>
    </row>
    <row r="31" spans="1:15" x14ac:dyDescent="0.25">
      <c r="A31" s="23" t="s">
        <v>17</v>
      </c>
      <c r="B31" s="8"/>
      <c r="D31" s="8"/>
      <c r="E31" s="8">
        <v>0.05</v>
      </c>
      <c r="F31" s="8">
        <v>0.05</v>
      </c>
      <c r="G31" s="8">
        <v>0.05</v>
      </c>
      <c r="H31" s="8">
        <v>0.05</v>
      </c>
      <c r="I31" s="8">
        <v>0.05</v>
      </c>
      <c r="J31" s="8">
        <v>0.05</v>
      </c>
      <c r="K31" s="8">
        <v>0.05</v>
      </c>
      <c r="L31" s="8">
        <v>0.05</v>
      </c>
      <c r="M31" s="8">
        <v>0.05</v>
      </c>
      <c r="N31" s="8">
        <v>0.05</v>
      </c>
    </row>
    <row r="32" spans="1:15" x14ac:dyDescent="0.25">
      <c r="A32" s="2"/>
      <c r="B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25">
      <c r="A33" t="s">
        <v>44</v>
      </c>
      <c r="B33" s="18">
        <v>-27111</v>
      </c>
      <c r="D33" s="18">
        <v>0</v>
      </c>
      <c r="E33" s="18">
        <f t="shared" ref="E33:N33" si="9">SUM(E$18+E$21)*E34</f>
        <v>0</v>
      </c>
      <c r="F33" s="18">
        <f t="shared" si="9"/>
        <v>49680</v>
      </c>
      <c r="G33" s="18">
        <f t="shared" si="9"/>
        <v>66074.399999999994</v>
      </c>
      <c r="H33" s="18">
        <f t="shared" si="9"/>
        <v>69378.12</v>
      </c>
      <c r="I33" s="18">
        <f t="shared" si="9"/>
        <v>72847.025999999983</v>
      </c>
      <c r="J33" s="18">
        <f t="shared" si="9"/>
        <v>76489.377299999993</v>
      </c>
      <c r="K33" s="18">
        <f t="shared" si="9"/>
        <v>80313.846164999981</v>
      </c>
      <c r="L33" s="18">
        <f t="shared" si="9"/>
        <v>84329.53847325001</v>
      </c>
      <c r="M33" s="18">
        <f t="shared" si="9"/>
        <v>88546.015396912509</v>
      </c>
      <c r="N33" s="18">
        <f t="shared" si="9"/>
        <v>92973.316166758159</v>
      </c>
    </row>
    <row r="34" spans="1:14" x14ac:dyDescent="0.25">
      <c r="A34" s="23" t="s">
        <v>19</v>
      </c>
      <c r="B34" s="8"/>
      <c r="D34" s="8"/>
      <c r="E34" s="8">
        <v>0.03</v>
      </c>
      <c r="F34" s="8">
        <v>0.03</v>
      </c>
      <c r="G34" s="8">
        <v>0.03</v>
      </c>
      <c r="H34" s="8">
        <v>0.03</v>
      </c>
      <c r="I34" s="8">
        <v>0.03</v>
      </c>
      <c r="J34" s="8">
        <v>0.03</v>
      </c>
      <c r="K34" s="8">
        <v>0.03</v>
      </c>
      <c r="L34" s="8">
        <v>0.03</v>
      </c>
      <c r="M34" s="8">
        <v>0.03</v>
      </c>
      <c r="N34" s="8">
        <v>0.03</v>
      </c>
    </row>
    <row r="35" spans="1:14" x14ac:dyDescent="0.25"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25">
      <c r="A36" t="s">
        <v>6</v>
      </c>
      <c r="B36" s="18">
        <v>-7304</v>
      </c>
      <c r="D36" s="18">
        <v>0</v>
      </c>
      <c r="E36" s="18">
        <f t="shared" ref="E36:N36" si="10">(Units-E22)*E37</f>
        <v>24000</v>
      </c>
      <c r="F36" s="18">
        <f t="shared" si="10"/>
        <v>6120</v>
      </c>
      <c r="G36" s="18">
        <f t="shared" si="10"/>
        <v>1248.48</v>
      </c>
      <c r="H36" s="18">
        <f t="shared" si="10"/>
        <v>1273.4496000000001</v>
      </c>
      <c r="I36" s="18">
        <f t="shared" si="10"/>
        <v>1298.9185920000002</v>
      </c>
      <c r="J36" s="18">
        <f t="shared" si="10"/>
        <v>1324.8969638400004</v>
      </c>
      <c r="K36" s="18">
        <f t="shared" si="10"/>
        <v>1351.3949031168004</v>
      </c>
      <c r="L36" s="18">
        <f t="shared" si="10"/>
        <v>1378.4228011791365</v>
      </c>
      <c r="M36" s="18">
        <f t="shared" si="10"/>
        <v>1405.9912572027192</v>
      </c>
      <c r="N36" s="18">
        <f t="shared" si="10"/>
        <v>1434.1110823467736</v>
      </c>
    </row>
    <row r="37" spans="1:14" x14ac:dyDescent="0.25">
      <c r="A37" s="62" t="s">
        <v>20</v>
      </c>
      <c r="B37" s="5"/>
      <c r="D37" s="5"/>
      <c r="E37" s="5">
        <v>300</v>
      </c>
      <c r="F37" s="5">
        <f t="shared" ref="F37:N37" si="11">E37*(1+CostGrowth)</f>
        <v>306</v>
      </c>
      <c r="G37" s="5">
        <f t="shared" si="11"/>
        <v>312.12</v>
      </c>
      <c r="H37" s="5">
        <f t="shared" si="11"/>
        <v>318.36240000000004</v>
      </c>
      <c r="I37" s="5">
        <f t="shared" si="11"/>
        <v>324.72964800000005</v>
      </c>
      <c r="J37" s="5">
        <f t="shared" si="11"/>
        <v>331.22424096000009</v>
      </c>
      <c r="K37" s="5">
        <f t="shared" si="11"/>
        <v>337.84872577920009</v>
      </c>
      <c r="L37" s="5">
        <f t="shared" si="11"/>
        <v>344.60570029478413</v>
      </c>
      <c r="M37" s="5">
        <f t="shared" si="11"/>
        <v>351.49781430067981</v>
      </c>
      <c r="N37" s="5">
        <f t="shared" si="11"/>
        <v>358.52777058669341</v>
      </c>
    </row>
    <row r="38" spans="1:14" x14ac:dyDescent="0.25"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25">
      <c r="A39" t="s">
        <v>34</v>
      </c>
      <c r="B39" s="18">
        <v>-212582</v>
      </c>
      <c r="D39" s="18">
        <v>0</v>
      </c>
      <c r="E39" s="18">
        <f t="shared" ref="E39:N39" si="12">$B$39*(1+CostGrowth^E16)</f>
        <v>-216833.64</v>
      </c>
      <c r="F39" s="18">
        <f t="shared" si="12"/>
        <v>-212667.03279999999</v>
      </c>
      <c r="G39" s="18">
        <f t="shared" si="12"/>
        <v>-212583.700656</v>
      </c>
      <c r="H39" s="18">
        <f t="shared" si="12"/>
        <v>-212582.03401311999</v>
      </c>
      <c r="I39" s="18">
        <f t="shared" si="12"/>
        <v>-212582.0006802624</v>
      </c>
      <c r="J39" s="18">
        <f t="shared" si="12"/>
        <v>-212582.00001360523</v>
      </c>
      <c r="K39" s="18">
        <f t="shared" si="12"/>
        <v>-212582.00000027212</v>
      </c>
      <c r="L39" s="18">
        <f t="shared" si="12"/>
        <v>-212582.00000000544</v>
      </c>
      <c r="M39" s="18">
        <f t="shared" si="12"/>
        <v>-212582.00000000009</v>
      </c>
      <c r="N39" s="18">
        <f t="shared" si="12"/>
        <v>-212582</v>
      </c>
    </row>
    <row r="40" spans="1:14" x14ac:dyDescent="0.25">
      <c r="A40" t="s">
        <v>7</v>
      </c>
      <c r="B40" s="18">
        <v>-160665</v>
      </c>
      <c r="D40" s="18">
        <v>0</v>
      </c>
      <c r="E40" s="18">
        <f>-E41*E42</f>
        <v>-255103.91666666672</v>
      </c>
      <c r="F40" s="18">
        <f t="shared" ref="F40:N40" si="13">-F41*F42</f>
        <v>-260205.99500000005</v>
      </c>
      <c r="G40" s="18">
        <f t="shared" si="13"/>
        <v>-265410.1149000001</v>
      </c>
      <c r="H40" s="18">
        <f t="shared" si="13"/>
        <v>-270718.31719800009</v>
      </c>
      <c r="I40" s="18">
        <f t="shared" si="13"/>
        <v>-276132.68354196008</v>
      </c>
      <c r="J40" s="18">
        <f t="shared" si="13"/>
        <v>-281655.33721279929</v>
      </c>
      <c r="K40" s="18">
        <f t="shared" si="13"/>
        <v>-287288.44395705522</v>
      </c>
      <c r="L40" s="18">
        <f t="shared" si="13"/>
        <v>-293034.21283619636</v>
      </c>
      <c r="M40" s="18">
        <f t="shared" si="13"/>
        <v>-298894.89709292026</v>
      </c>
      <c r="N40" s="18">
        <f t="shared" si="13"/>
        <v>-304872.79503477871</v>
      </c>
    </row>
    <row r="41" spans="1:14" x14ac:dyDescent="0.25">
      <c r="A41" s="23" t="s">
        <v>14</v>
      </c>
      <c r="B41" s="8"/>
      <c r="D41" s="8"/>
      <c r="E41" s="8">
        <v>3.5000000000000003E-2</v>
      </c>
      <c r="F41" s="8">
        <v>3.5000000000000003E-2</v>
      </c>
      <c r="G41" s="8">
        <v>3.5000000000000003E-2</v>
      </c>
      <c r="H41" s="8">
        <v>3.5000000000000003E-2</v>
      </c>
      <c r="I41" s="8">
        <v>3.5000000000000003E-2</v>
      </c>
      <c r="J41" s="8">
        <v>3.5000000000000003E-2</v>
      </c>
      <c r="K41" s="8">
        <v>3.5000000000000003E-2</v>
      </c>
      <c r="L41" s="8">
        <v>3.5000000000000003E-2</v>
      </c>
      <c r="M41" s="8">
        <v>3.5000000000000003E-2</v>
      </c>
      <c r="N41" s="8">
        <v>3.5000000000000003E-2</v>
      </c>
    </row>
    <row r="42" spans="1:14" x14ac:dyDescent="0.25">
      <c r="A42" s="23" t="s">
        <v>15</v>
      </c>
      <c r="B42" s="5"/>
      <c r="D42" s="5"/>
      <c r="E42" s="5">
        <f>-D48</f>
        <v>7288683.333333334</v>
      </c>
      <c r="F42" s="5">
        <f t="shared" ref="F42:N42" si="14">E42*(1+CostGrowth)</f>
        <v>7434457.0000000009</v>
      </c>
      <c r="G42" s="5">
        <f t="shared" si="14"/>
        <v>7583146.1400000015</v>
      </c>
      <c r="H42" s="5">
        <f t="shared" si="14"/>
        <v>7734809.0628000014</v>
      </c>
      <c r="I42" s="5">
        <f t="shared" si="14"/>
        <v>7889505.2440560013</v>
      </c>
      <c r="J42" s="5">
        <f t="shared" si="14"/>
        <v>8047295.3489371212</v>
      </c>
      <c r="K42" s="5">
        <f t="shared" si="14"/>
        <v>8208241.2559158634</v>
      </c>
      <c r="L42" s="5">
        <f t="shared" si="14"/>
        <v>8372406.0810341807</v>
      </c>
      <c r="M42" s="5">
        <f t="shared" si="14"/>
        <v>8539854.2026548646</v>
      </c>
      <c r="N42" s="5">
        <f t="shared" si="14"/>
        <v>8710651.2867079619</v>
      </c>
    </row>
    <row r="43" spans="1:14" x14ac:dyDescent="0.25">
      <c r="A43" s="2"/>
      <c r="B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3" t="s">
        <v>8</v>
      </c>
      <c r="B44" s="21">
        <f>SUM(B30,B33,B36,B39,B40,)</f>
        <v>-466404</v>
      </c>
      <c r="C44" s="21"/>
      <c r="D44" s="21">
        <f>SUM(D30,D33,D36,D39,D40,)</f>
        <v>0</v>
      </c>
      <c r="E44" s="21">
        <f t="shared" ref="E44:N44" si="15">SUM(E30,E33,E36,E39,E40,)</f>
        <v>-447937.55666666676</v>
      </c>
      <c r="F44" s="21">
        <f t="shared" si="15"/>
        <v>-334273.02780000004</v>
      </c>
      <c r="G44" s="21">
        <f t="shared" si="15"/>
        <v>-300546.9355560001</v>
      </c>
      <c r="H44" s="21">
        <f t="shared" si="15"/>
        <v>-297018.58161112008</v>
      </c>
      <c r="I44" s="21">
        <f t="shared" si="15"/>
        <v>-293157.02963022247</v>
      </c>
      <c r="J44" s="21">
        <f t="shared" si="15"/>
        <v>-288940.76746256452</v>
      </c>
      <c r="K44" s="21">
        <f t="shared" si="15"/>
        <v>-284348.79261421057</v>
      </c>
      <c r="L44" s="21">
        <f t="shared" si="15"/>
        <v>-279359.02077302261</v>
      </c>
      <c r="M44" s="21">
        <f t="shared" si="15"/>
        <v>-273948.19811061758</v>
      </c>
      <c r="N44" s="21">
        <f t="shared" si="15"/>
        <v>-268091.84084107686</v>
      </c>
    </row>
    <row r="45" spans="1:14" x14ac:dyDescent="0.25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3" t="s">
        <v>9</v>
      </c>
      <c r="B46" s="17">
        <f>SUM(B28,B44)</f>
        <v>437321</v>
      </c>
      <c r="C46" s="17"/>
      <c r="D46" s="17">
        <f>SUM(D28,D44)</f>
        <v>0</v>
      </c>
      <c r="E46" s="17">
        <f t="shared" ref="E46:N46" si="16">SUM(E28,E44)</f>
        <v>-447937.55666666676</v>
      </c>
      <c r="F46" s="17">
        <f>SUM(F28,F44)</f>
        <v>1421086.9722</v>
      </c>
      <c r="G46" s="17">
        <f t="shared" si="16"/>
        <v>1990032.2644440001</v>
      </c>
      <c r="H46" s="17">
        <f t="shared" si="16"/>
        <v>2108089.57838888</v>
      </c>
      <c r="I46" s="17">
        <f t="shared" si="16"/>
        <v>2232206.5383697771</v>
      </c>
      <c r="J46" s="17">
        <f t="shared" si="16"/>
        <v>2362690.978937435</v>
      </c>
      <c r="K46" s="17">
        <f t="shared" si="16"/>
        <v>2499864.5411057891</v>
      </c>
      <c r="L46" s="17">
        <f t="shared" si="16"/>
        <v>2644064.9796329779</v>
      </c>
      <c r="M46" s="17">
        <f t="shared" si="16"/>
        <v>2795647.0023156828</v>
      </c>
      <c r="N46" s="17">
        <f t="shared" si="16"/>
        <v>2954983.1196065391</v>
      </c>
    </row>
    <row r="47" spans="1:14" x14ac:dyDescent="0.25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t="s">
        <v>43</v>
      </c>
      <c r="B48" s="18">
        <v>-1000</v>
      </c>
      <c r="D48" s="18">
        <f>-PurchasePrice</f>
        <v>-7288683.333333334</v>
      </c>
      <c r="E48" s="18">
        <f t="shared" ref="E48:N48" si="17">IF(HoldingPeriod=E16,SalePrice,0)</f>
        <v>0</v>
      </c>
      <c r="F48" s="18">
        <f t="shared" si="17"/>
        <v>0</v>
      </c>
      <c r="G48" s="18">
        <f t="shared" si="17"/>
        <v>0</v>
      </c>
      <c r="H48" s="18">
        <f t="shared" si="17"/>
        <v>0</v>
      </c>
      <c r="I48" s="18">
        <f t="shared" si="17"/>
        <v>0</v>
      </c>
      <c r="J48" s="18">
        <f t="shared" si="17"/>
        <v>0</v>
      </c>
      <c r="K48" s="18">
        <f t="shared" si="17"/>
        <v>0</v>
      </c>
      <c r="L48" s="18">
        <f t="shared" si="17"/>
        <v>44067749.660549633</v>
      </c>
      <c r="M48" s="18">
        <f t="shared" si="17"/>
        <v>0</v>
      </c>
      <c r="N48" s="18">
        <f t="shared" si="17"/>
        <v>0</v>
      </c>
    </row>
    <row r="49" spans="1:20" x14ac:dyDescent="0.25">
      <c r="A49" t="s">
        <v>10</v>
      </c>
      <c r="B49" s="18">
        <v>-20182</v>
      </c>
      <c r="D49" s="18">
        <v>0</v>
      </c>
      <c r="E49" s="18">
        <f>Units*-25000</f>
        <v>-2000000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20" x14ac:dyDescent="0.25">
      <c r="B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20" x14ac:dyDescent="0.25">
      <c r="A51" s="3" t="s">
        <v>11</v>
      </c>
      <c r="B51" s="17">
        <f>SUM(B48,B49)</f>
        <v>-21182</v>
      </c>
      <c r="C51" s="17"/>
      <c r="D51" s="17">
        <f>SUM(D48,D49)</f>
        <v>-7288683.333333334</v>
      </c>
      <c r="E51" s="17">
        <f t="shared" ref="E51:N51" si="18">SUM(E48,E49)</f>
        <v>-2000000</v>
      </c>
      <c r="F51" s="17">
        <f t="shared" si="18"/>
        <v>0</v>
      </c>
      <c r="G51" s="17">
        <f t="shared" si="18"/>
        <v>0</v>
      </c>
      <c r="H51" s="17">
        <f t="shared" si="18"/>
        <v>0</v>
      </c>
      <c r="I51" s="17">
        <f t="shared" si="18"/>
        <v>0</v>
      </c>
      <c r="J51" s="17">
        <f t="shared" si="18"/>
        <v>0</v>
      </c>
      <c r="K51" s="17">
        <f t="shared" si="18"/>
        <v>0</v>
      </c>
      <c r="L51" s="17">
        <f t="shared" si="18"/>
        <v>44067749.660549633</v>
      </c>
      <c r="M51" s="17">
        <f t="shared" si="18"/>
        <v>0</v>
      </c>
      <c r="N51" s="17">
        <f t="shared" si="18"/>
        <v>0</v>
      </c>
    </row>
    <row r="52" spans="1:20" x14ac:dyDescent="0.25"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20" x14ac:dyDescent="0.25">
      <c r="A53" s="3" t="s">
        <v>21</v>
      </c>
      <c r="B53" s="17">
        <f>SUM(B46,B51)</f>
        <v>416139</v>
      </c>
      <c r="C53" s="17"/>
      <c r="D53" s="17">
        <f>SUM(D46,D51)</f>
        <v>-7288683.333333334</v>
      </c>
      <c r="E53" s="17">
        <f t="shared" ref="E53:N53" si="19">SUM(E46,E51)</f>
        <v>-2447937.5566666666</v>
      </c>
      <c r="F53" s="17">
        <f t="shared" si="19"/>
        <v>1421086.9722</v>
      </c>
      <c r="G53" s="17">
        <f t="shared" si="19"/>
        <v>1990032.2644440001</v>
      </c>
      <c r="H53" s="17">
        <f t="shared" si="19"/>
        <v>2108089.57838888</v>
      </c>
      <c r="I53" s="17">
        <f t="shared" si="19"/>
        <v>2232206.5383697771</v>
      </c>
      <c r="J53" s="17">
        <f t="shared" si="19"/>
        <v>2362690.978937435</v>
      </c>
      <c r="K53" s="17">
        <f t="shared" si="19"/>
        <v>2499864.5411057891</v>
      </c>
      <c r="L53" s="17">
        <f t="shared" si="19"/>
        <v>46711814.640182614</v>
      </c>
      <c r="M53" s="17">
        <f t="shared" si="19"/>
        <v>2795647.0023156828</v>
      </c>
      <c r="N53" s="17">
        <f t="shared" si="19"/>
        <v>2954983.1196065391</v>
      </c>
    </row>
    <row r="56" spans="1:20" x14ac:dyDescent="0.25">
      <c r="D56" s="64" t="s">
        <v>58</v>
      </c>
      <c r="P56" s="11"/>
    </row>
    <row r="57" spans="1:20" x14ac:dyDescent="0.25">
      <c r="A57" s="33">
        <f>N46</f>
        <v>2954983.1196065391</v>
      </c>
      <c r="B57" s="16">
        <v>2000</v>
      </c>
      <c r="C57" s="33">
        <f>B57+250</f>
        <v>2250</v>
      </c>
      <c r="D57" s="33">
        <f t="shared" ref="D57:E57" si="20">C57+250</f>
        <v>2500</v>
      </c>
      <c r="E57" s="33">
        <f t="shared" si="20"/>
        <v>2750</v>
      </c>
      <c r="F57" s="33">
        <f>E57+250</f>
        <v>3000</v>
      </c>
      <c r="P57" s="11"/>
    </row>
    <row r="58" spans="1:20" x14ac:dyDescent="0.25">
      <c r="A58" s="63">
        <v>0</v>
      </c>
      <c r="B58" s="15">
        <f t="dataTable" ref="B58:F62" dt2D="1" dtr="1" r1="F19" r2="B10"/>
        <v>1526859.3160475681</v>
      </c>
      <c r="C58" s="33">
        <v>1782219.3160475681</v>
      </c>
      <c r="D58" s="33">
        <v>2037579.3160475681</v>
      </c>
      <c r="E58" s="33">
        <v>2292939.3160475679</v>
      </c>
      <c r="F58" s="33">
        <v>2548299.3160475679</v>
      </c>
      <c r="O58" s="33"/>
      <c r="P58" s="33"/>
      <c r="Q58" s="33"/>
      <c r="R58" s="33"/>
      <c r="S58" s="33"/>
      <c r="T58" s="33"/>
    </row>
    <row r="59" spans="1:20" x14ac:dyDescent="0.25">
      <c r="A59" s="24">
        <f>A58+2.5%</f>
        <v>2.5000000000000001E-2</v>
      </c>
      <c r="B59" s="15">
        <v>1973030.2273126282</v>
      </c>
      <c r="C59" s="33">
        <v>2284161.5912207607</v>
      </c>
      <c r="D59" s="33">
        <v>2595292.9551288923</v>
      </c>
      <c r="E59" s="33">
        <v>2906424.3190370249</v>
      </c>
      <c r="F59" s="33">
        <v>3217555.6829451579</v>
      </c>
      <c r="O59" s="24"/>
      <c r="P59" s="15"/>
      <c r="Q59" s="33"/>
      <c r="R59" s="33"/>
      <c r="S59" s="33"/>
      <c r="T59" s="33"/>
    </row>
    <row r="60" spans="1:20" x14ac:dyDescent="0.25">
      <c r="A60" s="24">
        <f t="shared" ref="A60:A61" si="21">A59+2.5%</f>
        <v>0.05</v>
      </c>
      <c r="B60" s="15">
        <v>2502243.4930553688</v>
      </c>
      <c r="C60" s="33">
        <v>2879526.5151813435</v>
      </c>
      <c r="D60" s="33">
        <v>3256809.5373073178</v>
      </c>
      <c r="E60" s="33">
        <v>3634092.5594332935</v>
      </c>
      <c r="F60" s="33">
        <v>4011375.5815592697</v>
      </c>
      <c r="O60" s="24"/>
      <c r="P60" s="15"/>
      <c r="Q60" s="33"/>
      <c r="R60" s="33"/>
      <c r="S60" s="33"/>
      <c r="T60" s="33"/>
    </row>
    <row r="61" spans="1:20" x14ac:dyDescent="0.25">
      <c r="A61" s="24">
        <f t="shared" si="21"/>
        <v>7.5000000000000011E-2</v>
      </c>
      <c r="B61" s="15">
        <v>3127410.496331004</v>
      </c>
      <c r="C61" s="33">
        <v>3582839.3938664328</v>
      </c>
      <c r="D61" s="33">
        <v>4038268.2914018631</v>
      </c>
      <c r="E61" s="33">
        <v>4493697.1889372915</v>
      </c>
      <c r="F61" s="33">
        <v>4949126.0864727218</v>
      </c>
      <c r="O61" s="24"/>
      <c r="P61" s="15"/>
      <c r="Q61" s="33"/>
      <c r="R61" s="33"/>
      <c r="S61" s="33"/>
      <c r="T61" s="33"/>
    </row>
    <row r="62" spans="1:20" x14ac:dyDescent="0.25">
      <c r="A62" s="24">
        <f>A61+2.5%</f>
        <v>0.1</v>
      </c>
      <c r="B62" s="15">
        <v>3863074.0242203693</v>
      </c>
      <c r="C62" s="33">
        <v>4410460.8627419705</v>
      </c>
      <c r="D62" s="33">
        <v>4957847.7012635712</v>
      </c>
      <c r="E62" s="33">
        <v>5505234.5397851737</v>
      </c>
      <c r="F62" s="33">
        <v>6052621.3783067716</v>
      </c>
      <c r="O62" s="24"/>
      <c r="P62" s="15"/>
      <c r="Q62" s="33"/>
      <c r="R62" s="33"/>
      <c r="S62" s="33"/>
      <c r="T62" s="33"/>
    </row>
    <row r="63" spans="1:20" x14ac:dyDescent="0.25">
      <c r="O63" s="24"/>
      <c r="P63" s="15"/>
      <c r="Q63" s="33"/>
      <c r="R63" s="33"/>
      <c r="S63" s="33"/>
      <c r="T63" s="33"/>
    </row>
    <row r="64" spans="1:20" x14ac:dyDescent="0.25">
      <c r="M64" s="11"/>
    </row>
    <row r="92" spans="1:1" x14ac:dyDescent="0.25">
      <c r="A92" s="61"/>
    </row>
  </sheetData>
  <scenarios current="0" show="0" sqref="N46">
    <scenario name="Expected Rent" locked="1" count="2" user="Strife Ez" comment="Created by Strife Ez on 8/25/2024">
      <inputCells r="B10" val="0.05" numFmtId="10"/>
      <inputCells r="F19" val="2300" numFmtId="165"/>
    </scenario>
    <scenario name="High Rent" locked="1" count="2" user="Strife Ez" comment="Created by Strife Ez on 8/25/2024">
      <inputCells r="B10" val="0.08" numFmtId="10"/>
      <inputCells r="F19" val="2500" numFmtId="165"/>
    </scenario>
  </scenarios>
  <conditionalFormatting sqref="B58:F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T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974F-90BB-410D-B491-164EF7D2D0EA}">
  <sheetPr>
    <outlinePr summaryBelow="0"/>
  </sheetPr>
  <dimension ref="B1:F12"/>
  <sheetViews>
    <sheetView showGridLines="0" zoomScale="145" zoomScaleNormal="145" workbookViewId="0">
      <selection activeCell="H8" sqref="H8"/>
    </sheetView>
  </sheetViews>
  <sheetFormatPr defaultRowHeight="15" outlineLevelRow="1" outlineLevelCol="1" x14ac:dyDescent="0.25"/>
  <cols>
    <col min="3" max="3" width="12.8554687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39" t="s">
        <v>51</v>
      </c>
      <c r="C2" s="39"/>
      <c r="D2" s="44"/>
      <c r="E2" s="44"/>
      <c r="F2" s="44"/>
    </row>
    <row r="3" spans="2:6" ht="15.75" collapsed="1" x14ac:dyDescent="0.25">
      <c r="B3" s="38"/>
      <c r="C3" s="38"/>
      <c r="D3" s="45" t="s">
        <v>53</v>
      </c>
      <c r="E3" s="45" t="s">
        <v>48</v>
      </c>
      <c r="F3" s="45" t="s">
        <v>50</v>
      </c>
    </row>
    <row r="4" spans="2:6" ht="22.5" hidden="1" outlineLevel="1" x14ac:dyDescent="0.25">
      <c r="B4" s="41"/>
      <c r="C4" s="41"/>
      <c r="E4" s="48" t="s">
        <v>49</v>
      </c>
      <c r="F4" s="48" t="s">
        <v>49</v>
      </c>
    </row>
    <row r="5" spans="2:6" x14ac:dyDescent="0.25">
      <c r="B5" s="42" t="s">
        <v>52</v>
      </c>
      <c r="C5" s="42"/>
      <c r="D5" s="40"/>
      <c r="E5" s="40"/>
      <c r="F5" s="40"/>
    </row>
    <row r="6" spans="2:6" outlineLevel="1" x14ac:dyDescent="0.25">
      <c r="B6" s="41"/>
      <c r="C6" s="41" t="s">
        <v>45</v>
      </c>
      <c r="D6" s="24">
        <v>0.08</v>
      </c>
      <c r="E6" s="46">
        <v>0.05</v>
      </c>
      <c r="F6" s="46">
        <v>0.08</v>
      </c>
    </row>
    <row r="7" spans="2:6" outlineLevel="1" x14ac:dyDescent="0.25">
      <c r="B7" s="41"/>
      <c r="C7" s="41" t="s">
        <v>46</v>
      </c>
      <c r="D7" s="33">
        <v>2500</v>
      </c>
      <c r="E7" s="47">
        <v>2300</v>
      </c>
      <c r="F7" s="47">
        <v>2500</v>
      </c>
    </row>
    <row r="8" spans="2:6" x14ac:dyDescent="0.25">
      <c r="B8" s="42" t="s">
        <v>54</v>
      </c>
      <c r="C8" s="42"/>
      <c r="D8" s="40"/>
      <c r="E8" s="40"/>
      <c r="F8" s="40"/>
    </row>
    <row r="9" spans="2:6" ht="15.75" outlineLevel="1" thickBot="1" x14ac:dyDescent="0.3">
      <c r="B9" s="43"/>
      <c r="C9" s="43" t="s">
        <v>47</v>
      </c>
      <c r="D9" s="37">
        <v>4210514.7010233803</v>
      </c>
      <c r="E9" s="37">
        <v>2954983.1196065401</v>
      </c>
      <c r="F9" s="37">
        <v>4210514.7010233803</v>
      </c>
    </row>
    <row r="10" spans="2:6" x14ac:dyDescent="0.25">
      <c r="B10" t="s">
        <v>55</v>
      </c>
    </row>
    <row r="11" spans="2:6" x14ac:dyDescent="0.25">
      <c r="B11" t="s">
        <v>56</v>
      </c>
    </row>
    <row r="12" spans="2:6" x14ac:dyDescent="0.25">
      <c r="B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E33F-4EA6-4DCA-81E9-2EF1986B406E}">
  <dimension ref="A1:G5"/>
  <sheetViews>
    <sheetView showGridLines="0" zoomScale="160" zoomScaleNormal="160" workbookViewId="0">
      <selection activeCell="G4" sqref="G4"/>
    </sheetView>
  </sheetViews>
  <sheetFormatPr defaultRowHeight="15" x14ac:dyDescent="0.25"/>
  <cols>
    <col min="3" max="3" width="12.42578125" bestFit="1" customWidth="1"/>
    <col min="7" max="7" width="12.42578125" bestFit="1" customWidth="1"/>
  </cols>
  <sheetData>
    <row r="1" spans="1:7" x14ac:dyDescent="0.25">
      <c r="A1" s="29" t="s">
        <v>59</v>
      </c>
      <c r="B1" s="29"/>
      <c r="C1" s="29"/>
      <c r="E1" s="29" t="s">
        <v>60</v>
      </c>
      <c r="F1" s="29"/>
      <c r="G1" s="29"/>
    </row>
    <row r="2" spans="1:7" x14ac:dyDescent="0.25">
      <c r="A2" t="s">
        <v>61</v>
      </c>
      <c r="B2" s="49"/>
      <c r="C2" s="50">
        <f>Analysis!J5</f>
        <v>0.2</v>
      </c>
      <c r="E2" t="s">
        <v>61</v>
      </c>
      <c r="F2" s="49"/>
      <c r="G2" s="50">
        <f>Analysis!J5</f>
        <v>0.2</v>
      </c>
    </row>
    <row r="3" spans="1:7" x14ac:dyDescent="0.25">
      <c r="A3" t="s">
        <v>62</v>
      </c>
      <c r="B3" s="49"/>
      <c r="C3" s="51">
        <f>Analysis!HoldingPeriod</f>
        <v>8</v>
      </c>
      <c r="E3" t="s">
        <v>62</v>
      </c>
      <c r="F3" s="49"/>
      <c r="G3" s="51">
        <f>Analysis!HoldingPeriod</f>
        <v>8</v>
      </c>
    </row>
    <row r="4" spans="1:7" x14ac:dyDescent="0.25">
      <c r="A4" t="s">
        <v>63</v>
      </c>
      <c r="B4" s="52"/>
      <c r="C4" s="51">
        <f>Analysis!J2</f>
        <v>9288683.333333334</v>
      </c>
      <c r="E4" t="s">
        <v>64</v>
      </c>
      <c r="F4" s="52"/>
      <c r="G4" s="51">
        <f>Analysis!J3</f>
        <v>55339794.745550722</v>
      </c>
    </row>
    <row r="5" spans="1:7" x14ac:dyDescent="0.25">
      <c r="A5" t="s">
        <v>64</v>
      </c>
      <c r="B5" s="53"/>
      <c r="C5" s="15">
        <f>FV(C2,C3,,-C4,)</f>
        <v>39939638.132735997</v>
      </c>
      <c r="E5" t="s">
        <v>63</v>
      </c>
      <c r="F5" s="53"/>
      <c r="G5" s="15">
        <f>PV(G2,G3,,-G4)</f>
        <v>12870267.562633812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Analysis</vt:lpstr>
      <vt:lpstr>Scenario Summary</vt:lpstr>
      <vt:lpstr>TVM Analysis</vt:lpstr>
      <vt:lpstr>Analysis!AcquisitionCapRate</vt:lpstr>
      <vt:lpstr>Analysis!Cost_Growth</vt:lpstr>
      <vt:lpstr>Analysis!CostGrowth</vt:lpstr>
      <vt:lpstr>Analysis!HoldingPeriod</vt:lpstr>
      <vt:lpstr>NetOperatingIncome</vt:lpstr>
      <vt:lpstr>PresentValue</vt:lpstr>
      <vt:lpstr>Analysis!PurchasePrice</vt:lpstr>
      <vt:lpstr>Analysis!Rent_Growth</vt:lpstr>
      <vt:lpstr>Analysis!SalePrice</vt:lpstr>
      <vt:lpstr>Analysis!Units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Muhammad Zilany</cp:lastModifiedBy>
  <dcterms:created xsi:type="dcterms:W3CDTF">2023-09-18T02:06:14Z</dcterms:created>
  <dcterms:modified xsi:type="dcterms:W3CDTF">2024-08-28T06:01:29Z</dcterms:modified>
</cp:coreProperties>
</file>