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9185" windowHeight="807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M3" i="1" l="1"/>
  <c r="N3" i="1"/>
  <c r="N15" i="1" l="1"/>
  <c r="P14" i="1"/>
  <c r="N14" i="1"/>
  <c r="M40" i="1"/>
  <c r="M39" i="1"/>
  <c r="N31" i="1"/>
  <c r="M38" i="1" s="1"/>
  <c r="N30" i="1"/>
  <c r="N29" i="1"/>
  <c r="P19" i="1"/>
  <c r="P20" i="1"/>
  <c r="P18" i="1"/>
  <c r="D84" i="1"/>
  <c r="I78" i="1"/>
  <c r="P21" i="1" l="1"/>
  <c r="N9" i="1"/>
  <c r="F73" i="1" l="1"/>
  <c r="D73" i="1"/>
  <c r="H67" i="1"/>
  <c r="H40" i="1"/>
  <c r="D47" i="1"/>
  <c r="F47" i="1" s="1"/>
  <c r="H46" i="1"/>
  <c r="C37" i="1"/>
  <c r="D33" i="1" l="1"/>
  <c r="N12" i="1"/>
  <c r="N11" i="1"/>
  <c r="N10" i="1"/>
  <c r="L16" i="1"/>
  <c r="E5" i="1"/>
  <c r="F5" i="1" l="1"/>
  <c r="G5" i="1" s="1"/>
  <c r="C69" i="1"/>
  <c r="C70" i="1" s="1"/>
  <c r="C71" i="1" s="1"/>
  <c r="C72" i="1" s="1"/>
  <c r="D68" i="1"/>
  <c r="F68" i="1" s="1"/>
  <c r="I77" i="1"/>
  <c r="D81" i="1" l="1"/>
  <c r="D80" i="1"/>
  <c r="D79" i="1"/>
  <c r="B82" i="1"/>
  <c r="B81" i="1"/>
  <c r="B80" i="1"/>
  <c r="B79" i="1"/>
  <c r="C64" i="1"/>
  <c r="C48" i="1"/>
  <c r="D41" i="1"/>
  <c r="F41" i="1" s="1"/>
  <c r="B31" i="1"/>
  <c r="B30" i="1"/>
  <c r="B29" i="1"/>
  <c r="B28" i="1"/>
  <c r="B6" i="1"/>
  <c r="C49" i="1" l="1"/>
  <c r="D48" i="1"/>
  <c r="F48" i="1" s="1"/>
  <c r="E79" i="1"/>
  <c r="E80" i="1"/>
  <c r="D69" i="1"/>
  <c r="F69" i="1" s="1"/>
  <c r="F79" i="1"/>
  <c r="D28" i="1"/>
  <c r="D29" i="1"/>
  <c r="E28" i="1" s="1"/>
  <c r="D30" i="1"/>
  <c r="E29" i="1" s="1"/>
  <c r="F28" i="1" s="1"/>
  <c r="H5" i="1"/>
  <c r="D43" i="1"/>
  <c r="F43" i="1" s="1"/>
  <c r="D42" i="1"/>
  <c r="F42" i="1" s="1"/>
  <c r="C50" i="1" l="1"/>
  <c r="D49" i="1"/>
  <c r="F49" i="1" s="1"/>
  <c r="F44" i="1"/>
  <c r="H41" i="1" s="1"/>
  <c r="J5" i="1"/>
  <c r="D6" i="1"/>
  <c r="C6" i="1"/>
  <c r="I5" i="1"/>
  <c r="D50" i="1" l="1"/>
  <c r="F50" i="1" s="1"/>
  <c r="C51" i="1"/>
  <c r="E6" i="1"/>
  <c r="F6" i="1"/>
  <c r="G6" i="1" s="1"/>
  <c r="H6" i="1"/>
  <c r="B7" i="1"/>
  <c r="C52" i="1" l="1"/>
  <c r="D51" i="1"/>
  <c r="F51" i="1" s="1"/>
  <c r="I6" i="1"/>
  <c r="C7" i="1"/>
  <c r="C53" i="1" l="1"/>
  <c r="D52" i="1"/>
  <c r="F52" i="1" s="1"/>
  <c r="J6" i="1"/>
  <c r="D7" i="1"/>
  <c r="E7" i="1" s="1"/>
  <c r="D53" i="1" l="1"/>
  <c r="F53" i="1" s="1"/>
  <c r="C54" i="1"/>
  <c r="F7" i="1"/>
  <c r="G7" i="1"/>
  <c r="H7" i="1"/>
  <c r="B8" i="1"/>
  <c r="C55" i="1" l="1"/>
  <c r="D55" i="1" s="1"/>
  <c r="F55" i="1" s="1"/>
  <c r="D54" i="1"/>
  <c r="F54" i="1" s="1"/>
  <c r="D74" i="1"/>
  <c r="F74" i="1" s="1"/>
  <c r="J7" i="1"/>
  <c r="D8" i="1"/>
  <c r="I7" i="1"/>
  <c r="C8" i="1"/>
  <c r="F56" i="1" l="1"/>
  <c r="H47" i="1" s="1"/>
  <c r="E8" i="1"/>
  <c r="F8" i="1"/>
  <c r="G8" i="1"/>
  <c r="B9" i="1"/>
  <c r="H8" i="1"/>
  <c r="D9" i="1" l="1"/>
  <c r="J8" i="1"/>
  <c r="C9" i="1"/>
  <c r="E9" i="1" s="1"/>
  <c r="I8" i="1"/>
  <c r="F9" i="1" l="1"/>
  <c r="G9" i="1"/>
  <c r="B10" i="1"/>
  <c r="H9" i="1"/>
  <c r="D10" i="1" l="1"/>
  <c r="J9" i="1"/>
  <c r="I9" i="1"/>
  <c r="C10" i="1"/>
  <c r="E10" i="1" s="1"/>
  <c r="B11" i="1" s="1"/>
  <c r="F10" i="1" l="1"/>
  <c r="C11" i="1" s="1"/>
  <c r="G10" i="1"/>
  <c r="D11" i="1" s="1"/>
  <c r="I10" i="1"/>
  <c r="H10" i="1"/>
  <c r="D71" i="1"/>
  <c r="F71" i="1" s="1"/>
  <c r="D72" i="1"/>
  <c r="F72" i="1"/>
  <c r="D70" i="1"/>
  <c r="F70" i="1" s="1"/>
  <c r="F75" i="1" s="1"/>
  <c r="H68" i="1" s="1"/>
  <c r="E11" i="1" l="1"/>
  <c r="J10" i="1"/>
  <c r="B12" i="1" l="1"/>
  <c r="F11" i="1"/>
  <c r="G11" i="1"/>
  <c r="H11" i="1"/>
  <c r="J11" i="1" l="1"/>
  <c r="D12" i="1"/>
  <c r="C12" i="1"/>
  <c r="I11" i="1"/>
  <c r="E12" i="1" l="1"/>
  <c r="F12" i="1" l="1"/>
  <c r="G12" i="1"/>
  <c r="H12" i="1"/>
  <c r="B13" i="1"/>
  <c r="J12" i="1" l="1"/>
  <c r="D13" i="1"/>
  <c r="I12" i="1"/>
  <c r="C13" i="1"/>
  <c r="E13" i="1" s="1"/>
  <c r="H13" i="1" l="1"/>
  <c r="B14" i="1"/>
  <c r="F13" i="1"/>
  <c r="I13" i="1" l="1"/>
  <c r="C14" i="1"/>
  <c r="G13" i="1"/>
  <c r="J13" i="1" l="1"/>
  <c r="D14" i="1"/>
  <c r="E14" i="1"/>
  <c r="H14" i="1" l="1"/>
  <c r="B15" i="1"/>
  <c r="F14" i="1"/>
  <c r="G14" i="1"/>
  <c r="J14" i="1" l="1"/>
  <c r="D15" i="1"/>
  <c r="I14" i="1"/>
  <c r="C15" i="1"/>
  <c r="E15" i="1" s="1"/>
  <c r="F15" i="1" l="1"/>
  <c r="G15" i="1"/>
  <c r="H15" i="1"/>
  <c r="B16" i="1"/>
  <c r="J15" i="1" l="1"/>
  <c r="D16" i="1"/>
  <c r="I15" i="1"/>
  <c r="C16" i="1"/>
  <c r="E16" i="1" s="1"/>
  <c r="F16" i="1" l="1"/>
  <c r="G16" i="1"/>
  <c r="H16" i="1"/>
  <c r="B17" i="1"/>
  <c r="D17" i="1" l="1"/>
  <c r="J16" i="1"/>
  <c r="I16" i="1"/>
  <c r="C17" i="1"/>
  <c r="E17" i="1" s="1"/>
  <c r="B18" i="1" l="1"/>
  <c r="F17" i="1"/>
  <c r="G17" i="1"/>
  <c r="H17" i="1"/>
  <c r="J17" i="1" l="1"/>
  <c r="D18" i="1"/>
  <c r="I17" i="1"/>
  <c r="C18" i="1"/>
  <c r="E18" i="1" s="1"/>
  <c r="H18" i="1"/>
  <c r="B19" i="1" l="1"/>
  <c r="F18" i="1"/>
  <c r="G18" i="1"/>
  <c r="D19" i="1" l="1"/>
  <c r="J18" i="1"/>
  <c r="C19" i="1"/>
  <c r="E19" i="1" s="1"/>
  <c r="I18" i="1"/>
  <c r="B20" i="1" l="1"/>
  <c r="F19" i="1"/>
  <c r="G19" i="1"/>
  <c r="H19" i="1"/>
  <c r="J19" i="1" l="1"/>
  <c r="D20" i="1"/>
  <c r="C20" i="1"/>
  <c r="E20" i="1" s="1"/>
  <c r="I19" i="1"/>
  <c r="H20" i="1" l="1"/>
  <c r="F20" i="1"/>
  <c r="I20" i="1" s="1"/>
  <c r="G20" i="1"/>
  <c r="J20" i="1" s="1"/>
</calcChain>
</file>

<file path=xl/sharedStrings.xml><?xml version="1.0" encoding="utf-8"?>
<sst xmlns="http://schemas.openxmlformats.org/spreadsheetml/2006/main" count="119" uniqueCount="79">
  <si>
    <t>X</t>
  </si>
  <si>
    <t>x</t>
  </si>
  <si>
    <t>y</t>
  </si>
  <si>
    <t>z</t>
  </si>
  <si>
    <t>xa</t>
  </si>
  <si>
    <t>ya</t>
  </si>
  <si>
    <t>za</t>
  </si>
  <si>
    <t>x1</t>
  </si>
  <si>
    <t>x2</t>
  </si>
  <si>
    <t>x3</t>
  </si>
  <si>
    <t>ex</t>
  </si>
  <si>
    <t>ey</t>
  </si>
  <si>
    <t>ez</t>
  </si>
  <si>
    <t>x4</t>
  </si>
  <si>
    <t>x5</t>
  </si>
  <si>
    <t>D1</t>
  </si>
  <si>
    <t>D2</t>
  </si>
  <si>
    <t>D3</t>
  </si>
  <si>
    <t>P3(X)</t>
  </si>
  <si>
    <t>i</t>
  </si>
  <si>
    <t>= 1548  -0.71 * (X - 93.3) - 0.03 * (X - 93.3)*(X-98.9) + 0.002 * (X-93.3)*(X-98.9)*(X-104.4)</t>
  </si>
  <si>
    <t>Questão 04 da AP2 - 2019_1 Calc Numerico - Turma Terça</t>
  </si>
  <si>
    <t>P1(x)=</t>
  </si>
  <si>
    <t>P1(2920)=</t>
  </si>
  <si>
    <t>Y</t>
  </si>
  <si>
    <t>h=</t>
  </si>
  <si>
    <t>8 Intervalos; 9 pontos</t>
  </si>
  <si>
    <t>ci</t>
  </si>
  <si>
    <t>Yi</t>
  </si>
  <si>
    <t>ciYi</t>
  </si>
  <si>
    <t>f(x)= 1/x</t>
  </si>
  <si>
    <t>I=</t>
  </si>
  <si>
    <t>m+1=n</t>
  </si>
  <si>
    <t>∑ciYi</t>
  </si>
  <si>
    <t>Questão 06 da AP2 - 2019_1 Calc Numerico - Turma Terça</t>
  </si>
  <si>
    <t>Lagrange Grau 2</t>
  </si>
  <si>
    <t>P(1.5)</t>
  </si>
  <si>
    <t>L2(X)=</t>
  </si>
  <si>
    <t>Y0*L0 + Y1*L1 + Y2*L2</t>
  </si>
  <si>
    <t>L2(1.5)</t>
  </si>
  <si>
    <r>
      <t xml:space="preserve">Y0 + (Y1 - Y0)/(X1-X0) * (X - X0) - </t>
    </r>
    <r>
      <rPr>
        <b/>
        <sz val="11"/>
        <color rgb="FFFF0000"/>
        <rFont val="Calibri"/>
        <family val="2"/>
        <scheme val="minor"/>
      </rPr>
      <t>Interpolação Polinomial Linear</t>
    </r>
  </si>
  <si>
    <t>Questão 03 da AP2 - 2019_1 Calc Numerico - Turma Terça - Newton</t>
  </si>
  <si>
    <t>Questão 02 da AP2 - 2019_1 Calc Numerico - Turma Terça - Fatoração LU</t>
  </si>
  <si>
    <t>Questão 01 da AP2 - 2019_1 Calc Numerico - Turma Terça - Gauss Seidel</t>
  </si>
  <si>
    <t>Questão 05 da AP2 - 2019_1 Calc Numerico - Turma Terça - Regra 3/8 Simpson</t>
  </si>
  <si>
    <t>h</t>
  </si>
  <si>
    <t>= 1548  -4 * Ux -(2/2) * Ux*(Ux-1) + (2/6) * Ux*(Ux-1)*(Ux-2)</t>
  </si>
  <si>
    <t>Ux=(X-X0)/h</t>
  </si>
  <si>
    <r>
      <t xml:space="preserve">Y(5; -17; -1/4) e </t>
    </r>
    <r>
      <rPr>
        <b/>
        <sz val="11"/>
        <color rgb="FFFF0000"/>
        <rFont val="Calibri"/>
        <family val="2"/>
        <scheme val="minor"/>
      </rPr>
      <t>X(2; 4; -1)</t>
    </r>
  </si>
  <si>
    <t xml:space="preserve"> '-X + 1</t>
  </si>
  <si>
    <t>Questão 07 da AP2 - 2019_1 Calc Numerico - Turma Terça - Regra Trapézio</t>
  </si>
  <si>
    <t>5 Intervalos; 6 pontos</t>
  </si>
  <si>
    <t>Questão 08 da AP2 - 2019_1 Calc Numerico - Turma Terça - Gregory Newton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</si>
  <si>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</si>
  <si>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</si>
  <si>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</si>
  <si>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</si>
  <si>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</si>
  <si>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</si>
  <si>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</si>
  <si>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</si>
  <si>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</si>
  <si>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</si>
  <si>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P3(100)=</t>
  </si>
  <si>
    <t>Questão 05 da AP2 - 2019_1 Calc Numerico - Turma Terça - Regra 1/8 Simpson</t>
  </si>
  <si>
    <t>Aproxim.</t>
  </si>
  <si>
    <t>Valor Real</t>
  </si>
  <si>
    <t>SSA, 20 de Junho de 2019</t>
  </si>
  <si>
    <t>SUB AP2 2019</t>
  </si>
  <si>
    <t>p1</t>
  </si>
  <si>
    <t>p2</t>
  </si>
  <si>
    <t>p3</t>
  </si>
  <si>
    <t>3x1+2x2+4x3=1</t>
  </si>
  <si>
    <t>x1+x2+2x3=2</t>
  </si>
  <si>
    <t>4x1+3x2+2x3=3</t>
  </si>
  <si>
    <t>y1</t>
  </si>
  <si>
    <t>y2</t>
  </si>
  <si>
    <t>y3</t>
  </si>
  <si>
    <t>5/3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</si>
</sst>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164" fontId="0" fillId="0" borderId="2" xfId="0" applyNumberFormat="1" applyBorder="1"/>
    <xf numFmtId="164" fontId="3" fillId="0" borderId="4" xfId="0" applyNumberFormat="1" applyFont="1" applyBorder="1"/>
    <xf numFmtId="164" fontId="3" fillId="0" borderId="5" xfId="0" applyNumberFormat="1" applyFont="1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Fill="1" applyBorder="1" applyAlignment="1">
      <alignment horizontal="right"/>
    </xf>
    <xf numFmtId="0" fontId="2" fillId="0" borderId="0" xfId="0" applyFont="1" applyBorder="1"/>
    <xf numFmtId="0" fontId="5" fillId="0" borderId="0" xfId="0" quotePrefix="1" applyFont="1"/>
    <xf numFmtId="0" fontId="0" fillId="0" borderId="5" xfId="0" applyBorder="1"/>
    <xf numFmtId="0" fontId="0" fillId="0" borderId="6" xfId="0" applyBorder="1"/>
    <xf numFmtId="164" fontId="6" fillId="0" borderId="2" xfId="0" applyNumberFormat="1" applyFont="1" applyBorder="1"/>
    <xf numFmtId="164" fontId="6" fillId="0" borderId="1" xfId="0" applyNumberFormat="1" applyFont="1" applyBorder="1"/>
    <xf numFmtId="0" fontId="7" fillId="0" borderId="0" xfId="0" applyFont="1" applyBorder="1" applyAlignment="1">
      <alignment horizontal="right"/>
    </xf>
    <xf numFmtId="164" fontId="7" fillId="0" borderId="0" xfId="0" quotePrefix="1" applyNumberFormat="1" applyFont="1" applyBorder="1"/>
    <xf numFmtId="164" fontId="8" fillId="0" borderId="0" xfId="0" applyNumberFormat="1" applyFont="1" applyBorder="1"/>
    <xf numFmtId="2" fontId="2" fillId="0" borderId="0" xfId="0" applyNumberFormat="1" applyFont="1"/>
    <xf numFmtId="0" fontId="0" fillId="0" borderId="13" xfId="0" applyBorder="1"/>
    <xf numFmtId="164" fontId="0" fillId="0" borderId="14" xfId="0" applyNumberFormat="1" applyBorder="1"/>
    <xf numFmtId="0" fontId="0" fillId="0" borderId="14" xfId="0" applyBorder="1" applyAlignment="1">
      <alignment horizontal="center"/>
    </xf>
    <xf numFmtId="164" fontId="0" fillId="0" borderId="15" xfId="0" applyNumberFormat="1" applyBorder="1"/>
    <xf numFmtId="0" fontId="0" fillId="4" borderId="8" xfId="0" applyFill="1" applyBorder="1"/>
    <xf numFmtId="164" fontId="0" fillId="4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>
      <selection activeCell="L7" sqref="L7"/>
    </sheetView>
  </sheetViews>
  <sheetFormatPr defaultRowHeight="15" x14ac:dyDescent="0.25"/>
  <cols>
    <col min="1" max="1" width="3.75" customWidth="1"/>
    <col min="4" max="4" width="11.375" bestFit="1" customWidth="1"/>
    <col min="6" max="6" width="9.375" bestFit="1" customWidth="1"/>
    <col min="9" max="10" width="5.375" bestFit="1" customWidth="1"/>
  </cols>
  <sheetData>
    <row r="1" spans="1:16" x14ac:dyDescent="0.25">
      <c r="B1" s="20" t="s">
        <v>68</v>
      </c>
    </row>
    <row r="3" spans="1:16" ht="15.75" thickBot="1" x14ac:dyDescent="0.3">
      <c r="B3" s="21" t="s">
        <v>43</v>
      </c>
      <c r="M3">
        <f>2*10 ^ -3</f>
        <v>2E-3</v>
      </c>
      <c r="N3">
        <f>10</f>
        <v>10</v>
      </c>
    </row>
    <row r="4" spans="1:16" ht="15.75" thickBot="1" x14ac:dyDescent="0.3">
      <c r="B4" s="17" t="s">
        <v>1</v>
      </c>
      <c r="C4" s="18" t="s">
        <v>2</v>
      </c>
      <c r="D4" s="18" t="s">
        <v>3</v>
      </c>
      <c r="E4" s="18" t="s">
        <v>4</v>
      </c>
      <c r="F4" s="18" t="s">
        <v>5</v>
      </c>
      <c r="G4" s="18" t="s">
        <v>6</v>
      </c>
      <c r="H4" s="18" t="s">
        <v>10</v>
      </c>
      <c r="I4" s="18" t="s">
        <v>11</v>
      </c>
      <c r="J4" s="19" t="s">
        <v>12</v>
      </c>
    </row>
    <row r="5" spans="1:16" x14ac:dyDescent="0.25">
      <c r="A5" s="3"/>
      <c r="B5" s="13">
        <v>0</v>
      </c>
      <c r="C5" s="14">
        <v>0</v>
      </c>
      <c r="D5" s="14">
        <v>0</v>
      </c>
      <c r="E5" s="14">
        <f>1/3*(5-2*C5-D5)</f>
        <v>1.6666666666666665</v>
      </c>
      <c r="F5" s="15">
        <f>1/1*(6-1*E5-D5)</f>
        <v>4.3333333333333339</v>
      </c>
      <c r="G5" s="15">
        <f>1/6*(-4*E5-3*F5)</f>
        <v>-3.2777777777777777</v>
      </c>
      <c r="H5" s="15">
        <f>ABS(E5-B5)</f>
        <v>1.6666666666666665</v>
      </c>
      <c r="I5" s="15">
        <f>ABS(F5-C5)</f>
        <v>4.3333333333333339</v>
      </c>
      <c r="J5" s="16">
        <f>ABS(G5-D5)</f>
        <v>3.2777777777777777</v>
      </c>
    </row>
    <row r="6" spans="1:16" x14ac:dyDescent="0.25">
      <c r="A6" s="3" t="s">
        <v>7</v>
      </c>
      <c r="B6" s="6">
        <f t="shared" ref="B6:D10" si="0">E5</f>
        <v>1.6666666666666665</v>
      </c>
      <c r="C6" s="1">
        <f t="shared" si="0"/>
        <v>4.3333333333333339</v>
      </c>
      <c r="D6" s="1">
        <f t="shared" si="0"/>
        <v>-3.2777777777777777</v>
      </c>
      <c r="E6" s="14">
        <f t="shared" ref="E6:E10" si="1">1/3*(5-2*C6-D6)</f>
        <v>-0.12962962962963004</v>
      </c>
      <c r="F6" s="15">
        <f t="shared" ref="F6:F10" si="2">1/1*(6-1*E6-D6)</f>
        <v>9.4074074074074083</v>
      </c>
      <c r="G6" s="15">
        <f t="shared" ref="G6:G10" si="3">1/6*(-4*E6-3*F6)</f>
        <v>-4.617283950617284</v>
      </c>
      <c r="H6" s="4">
        <f t="shared" ref="H6:H10" si="4">ABS(E6-B6)</f>
        <v>1.7962962962962965</v>
      </c>
      <c r="I6" s="4">
        <f t="shared" ref="I6:I10" si="5">ABS(F6-C6)</f>
        <v>5.0740740740740744</v>
      </c>
      <c r="J6" s="7">
        <f t="shared" ref="J6:J10" si="6">ABS(G6-D6)</f>
        <v>1.3395061728395063</v>
      </c>
    </row>
    <row r="7" spans="1:16" x14ac:dyDescent="0.25">
      <c r="A7" s="3" t="s">
        <v>8</v>
      </c>
      <c r="B7" s="6">
        <f t="shared" si="0"/>
        <v>-0.12962962962963004</v>
      </c>
      <c r="C7" s="1">
        <f t="shared" si="0"/>
        <v>9.4074074074074083</v>
      </c>
      <c r="D7" s="1">
        <f t="shared" si="0"/>
        <v>-4.617283950617284</v>
      </c>
      <c r="E7" s="14">
        <f t="shared" si="1"/>
        <v>-3.0658436213991771</v>
      </c>
      <c r="F7" s="15">
        <f t="shared" si="2"/>
        <v>13.68312757201646</v>
      </c>
      <c r="G7" s="15">
        <f t="shared" si="3"/>
        <v>-4.7976680384087782</v>
      </c>
      <c r="H7" s="4">
        <f t="shared" si="4"/>
        <v>2.9362139917695469</v>
      </c>
      <c r="I7" s="4">
        <f t="shared" si="5"/>
        <v>4.2757201646090515</v>
      </c>
      <c r="J7" s="7">
        <f t="shared" si="6"/>
        <v>0.18038408779149417</v>
      </c>
      <c r="M7" t="s">
        <v>66</v>
      </c>
      <c r="N7">
        <v>-9.75</v>
      </c>
      <c r="O7">
        <v>18.5</v>
      </c>
      <c r="P7">
        <v>-2.75</v>
      </c>
    </row>
    <row r="8" spans="1:16" ht="18.75" x14ac:dyDescent="0.3">
      <c r="A8" s="3" t="s">
        <v>9</v>
      </c>
      <c r="B8" s="56">
        <f t="shared" si="0"/>
        <v>-3.0658436213991771</v>
      </c>
      <c r="C8" s="57">
        <f t="shared" si="0"/>
        <v>13.68312757201646</v>
      </c>
      <c r="D8" s="57">
        <f t="shared" si="0"/>
        <v>-4.7976680384087782</v>
      </c>
      <c r="E8" s="14">
        <f t="shared" si="1"/>
        <v>-5.8561957018747126</v>
      </c>
      <c r="F8" s="15">
        <f t="shared" si="2"/>
        <v>16.653863740283491</v>
      </c>
      <c r="G8" s="15">
        <f t="shared" si="3"/>
        <v>-4.4228014022252697</v>
      </c>
      <c r="H8" s="4">
        <f t="shared" si="4"/>
        <v>2.7903520804755355</v>
      </c>
      <c r="I8" s="4">
        <f t="shared" si="5"/>
        <v>2.970736168267031</v>
      </c>
      <c r="J8" s="7">
        <f t="shared" si="6"/>
        <v>0.37486663618350846</v>
      </c>
      <c r="N8" t="s">
        <v>7</v>
      </c>
      <c r="O8" t="s">
        <v>8</v>
      </c>
      <c r="P8" t="s">
        <v>9</v>
      </c>
    </row>
    <row r="9" spans="1:16" x14ac:dyDescent="0.25">
      <c r="A9" s="3" t="s">
        <v>13</v>
      </c>
      <c r="B9" s="8">
        <f t="shared" si="0"/>
        <v>-5.8561957018747126</v>
      </c>
      <c r="C9" s="4">
        <f t="shared" si="0"/>
        <v>16.653863740283491</v>
      </c>
      <c r="D9" s="4">
        <f t="shared" si="0"/>
        <v>-4.4228014022252697</v>
      </c>
      <c r="E9" s="14">
        <f t="shared" si="1"/>
        <v>-7.9616420261139043</v>
      </c>
      <c r="F9" s="15">
        <f t="shared" si="2"/>
        <v>18.384443428339175</v>
      </c>
      <c r="G9" s="15">
        <f t="shared" si="3"/>
        <v>-3.8844603634269843</v>
      </c>
      <c r="H9" s="4">
        <f t="shared" si="4"/>
        <v>2.1054463242391916</v>
      </c>
      <c r="I9" s="4">
        <f t="shared" si="5"/>
        <v>1.7305796880556841</v>
      </c>
      <c r="J9" s="7">
        <f t="shared" si="6"/>
        <v>0.53834103879828543</v>
      </c>
      <c r="M9" t="s">
        <v>65</v>
      </c>
      <c r="N9">
        <f>-9.727</f>
        <v>-9.7270000000000003</v>
      </c>
      <c r="O9">
        <v>18.468</v>
      </c>
      <c r="P9">
        <v>-2.75</v>
      </c>
    </row>
    <row r="10" spans="1:16" ht="19.5" thickBot="1" x14ac:dyDescent="0.35">
      <c r="A10" s="3" t="s">
        <v>14</v>
      </c>
      <c r="B10" s="9">
        <f t="shared" si="0"/>
        <v>-7.9616420261139043</v>
      </c>
      <c r="C10" s="10">
        <f t="shared" si="0"/>
        <v>18.384443428339175</v>
      </c>
      <c r="D10" s="10">
        <f t="shared" si="0"/>
        <v>-3.8844603634269843</v>
      </c>
      <c r="E10" s="14">
        <f t="shared" si="1"/>
        <v>-9.2948088310837882</v>
      </c>
      <c r="F10" s="15">
        <f t="shared" si="2"/>
        <v>19.179269194510773</v>
      </c>
      <c r="G10" s="15">
        <f t="shared" si="3"/>
        <v>-3.3930953765328611</v>
      </c>
      <c r="H10" s="11">
        <f t="shared" si="4"/>
        <v>1.3331668049698839</v>
      </c>
      <c r="I10" s="11">
        <f t="shared" si="5"/>
        <v>0.7948257661715985</v>
      </c>
      <c r="J10" s="12">
        <f t="shared" si="6"/>
        <v>0.49136498689412322</v>
      </c>
      <c r="N10">
        <f>3*N9+2*O9+P9</f>
        <v>5.004999999999999</v>
      </c>
    </row>
    <row r="11" spans="1:16" ht="19.5" thickBot="1" x14ac:dyDescent="0.35">
      <c r="A11" s="3" t="s">
        <v>53</v>
      </c>
      <c r="B11" s="9">
        <f t="shared" ref="B11:B17" si="7">E10</f>
        <v>-9.2948088310837882</v>
      </c>
      <c r="C11" s="10">
        <f t="shared" ref="C11:C17" si="8">F10</f>
        <v>19.179269194510773</v>
      </c>
      <c r="D11" s="10">
        <f t="shared" ref="D11:D17" si="9">G10</f>
        <v>-3.3930953765328611</v>
      </c>
      <c r="E11" s="14">
        <f t="shared" ref="E11:E17" si="10">1/3*(5-2*C11-D11)</f>
        <v>-9.9884810041628942</v>
      </c>
      <c r="F11" s="15">
        <f t="shared" ref="F11:F17" si="11">1/1*(6-1*E11-D11)</f>
        <v>19.381576380695755</v>
      </c>
      <c r="G11" s="15">
        <f t="shared" ref="G11:G17" si="12">1/6*(-4*E11-3*F11)</f>
        <v>-3.0318008542392811</v>
      </c>
      <c r="H11" s="11">
        <f t="shared" ref="H11:H17" si="13">ABS(E11-B11)</f>
        <v>0.693672173079106</v>
      </c>
      <c r="I11" s="11">
        <f t="shared" ref="I11:I17" si="14">ABS(F11-C11)</f>
        <v>0.20230718618498145</v>
      </c>
      <c r="J11" s="12">
        <f t="shared" ref="J11:J17" si="15">ABS(G11-D11)</f>
        <v>0.36129452229357994</v>
      </c>
      <c r="N11">
        <f>N9+O9+P9</f>
        <v>5.9909999999999997</v>
      </c>
    </row>
    <row r="12" spans="1:16" ht="19.5" thickBot="1" x14ac:dyDescent="0.35">
      <c r="A12" s="3" t="s">
        <v>54</v>
      </c>
      <c r="B12" s="9">
        <f t="shared" si="7"/>
        <v>-9.9884810041628942</v>
      </c>
      <c r="C12" s="10">
        <f t="shared" si="8"/>
        <v>19.381576380695755</v>
      </c>
      <c r="D12" s="10">
        <f t="shared" si="9"/>
        <v>-3.0318008542392811</v>
      </c>
      <c r="E12" s="14">
        <f t="shared" si="10"/>
        <v>-10.243783969050742</v>
      </c>
      <c r="F12" s="15">
        <f t="shared" si="11"/>
        <v>19.275584823290025</v>
      </c>
      <c r="G12" s="15">
        <f t="shared" si="12"/>
        <v>-2.8086030989445172</v>
      </c>
      <c r="H12" s="11">
        <f t="shared" si="13"/>
        <v>0.2553029648878482</v>
      </c>
      <c r="I12" s="11">
        <f t="shared" si="14"/>
        <v>0.10599155740572996</v>
      </c>
      <c r="J12" s="12">
        <f t="shared" si="15"/>
        <v>0.22319775529476393</v>
      </c>
      <c r="N12">
        <f>4*N9+3*O9+6*P9</f>
        <v>-4.0000000000048885E-3</v>
      </c>
    </row>
    <row r="13" spans="1:16" ht="19.5" thickBot="1" x14ac:dyDescent="0.35">
      <c r="A13" s="3" t="s">
        <v>55</v>
      </c>
      <c r="B13" s="9">
        <f t="shared" si="7"/>
        <v>-10.243783969050742</v>
      </c>
      <c r="C13" s="10">
        <f t="shared" si="8"/>
        <v>19.275584823290025</v>
      </c>
      <c r="D13" s="10">
        <f t="shared" si="9"/>
        <v>-2.8086030989445172</v>
      </c>
      <c r="E13" s="14">
        <f t="shared" si="10"/>
        <v>-10.247522182545177</v>
      </c>
      <c r="F13" s="15">
        <f t="shared" si="11"/>
        <v>19.056125281489692</v>
      </c>
      <c r="G13" s="15">
        <f t="shared" si="12"/>
        <v>-2.6963811857147277</v>
      </c>
      <c r="H13" s="11">
        <f t="shared" si="13"/>
        <v>3.7382134944348167E-3</v>
      </c>
      <c r="I13" s="11">
        <f t="shared" si="14"/>
        <v>0.21945954180033311</v>
      </c>
      <c r="J13" s="12">
        <f t="shared" si="15"/>
        <v>0.11222191322978947</v>
      </c>
    </row>
    <row r="14" spans="1:16" ht="19.5" thickBot="1" x14ac:dyDescent="0.35">
      <c r="A14" s="3" t="s">
        <v>56</v>
      </c>
      <c r="B14" s="9">
        <f t="shared" si="7"/>
        <v>-10.247522182545177</v>
      </c>
      <c r="C14" s="10">
        <f t="shared" si="8"/>
        <v>19.056125281489692</v>
      </c>
      <c r="D14" s="10">
        <f t="shared" si="9"/>
        <v>-2.6963811857147277</v>
      </c>
      <c r="E14" s="14">
        <f t="shared" si="10"/>
        <v>-10.138623125754885</v>
      </c>
      <c r="F14" s="15">
        <f t="shared" si="11"/>
        <v>18.835004311469611</v>
      </c>
      <c r="G14" s="15">
        <f t="shared" si="12"/>
        <v>-2.6584200718982154</v>
      </c>
      <c r="H14" s="11">
        <f t="shared" si="13"/>
        <v>0.10889905679029255</v>
      </c>
      <c r="I14" s="11">
        <f t="shared" si="14"/>
        <v>0.22112097002008113</v>
      </c>
      <c r="J14" s="12">
        <f t="shared" si="15"/>
        <v>3.7961113816512349E-2</v>
      </c>
      <c r="N14">
        <f>2*10 ^3 * 1 * 10 ^3</f>
        <v>2000000</v>
      </c>
      <c r="O14">
        <v>2</v>
      </c>
      <c r="P14">
        <f>10^6</f>
        <v>1000000</v>
      </c>
    </row>
    <row r="15" spans="1:16" ht="19.5" thickBot="1" x14ac:dyDescent="0.35">
      <c r="A15" s="3" t="s">
        <v>57</v>
      </c>
      <c r="B15" s="9">
        <f t="shared" si="7"/>
        <v>-10.138623125754885</v>
      </c>
      <c r="C15" s="10">
        <f t="shared" si="8"/>
        <v>18.835004311469611</v>
      </c>
      <c r="D15" s="10">
        <f t="shared" si="9"/>
        <v>-2.6584200718982154</v>
      </c>
      <c r="E15" s="14">
        <f t="shared" si="10"/>
        <v>-10.003862850347002</v>
      </c>
      <c r="F15" s="15">
        <f t="shared" si="11"/>
        <v>18.662282922245218</v>
      </c>
      <c r="G15" s="15">
        <f t="shared" si="12"/>
        <v>-2.6618995608912748</v>
      </c>
      <c r="H15" s="11">
        <f t="shared" si="13"/>
        <v>0.13476027540788316</v>
      </c>
      <c r="I15" s="11">
        <f t="shared" si="14"/>
        <v>0.1727213892243924</v>
      </c>
      <c r="J15" s="12">
        <f t="shared" si="15"/>
        <v>3.4794889930593875E-3</v>
      </c>
      <c r="N15">
        <f>O14*P14</f>
        <v>2000000</v>
      </c>
    </row>
    <row r="16" spans="1:16" ht="19.5" thickBot="1" x14ac:dyDescent="0.35">
      <c r="A16" s="3" t="s">
        <v>58</v>
      </c>
      <c r="B16" s="9">
        <f t="shared" si="7"/>
        <v>-10.003862850347002</v>
      </c>
      <c r="C16" s="10">
        <f t="shared" si="8"/>
        <v>18.662282922245218</v>
      </c>
      <c r="D16" s="10">
        <f t="shared" si="9"/>
        <v>-2.6618995608912748</v>
      </c>
      <c r="E16" s="14">
        <f t="shared" si="10"/>
        <v>-9.8875554278663866</v>
      </c>
      <c r="F16" s="15">
        <f t="shared" si="11"/>
        <v>18.54945498875766</v>
      </c>
      <c r="G16" s="15">
        <f t="shared" si="12"/>
        <v>-2.6830238758012386</v>
      </c>
      <c r="H16" s="11">
        <f t="shared" si="13"/>
        <v>0.11630742248061487</v>
      </c>
      <c r="I16" s="11">
        <f t="shared" si="14"/>
        <v>0.1128279334875586</v>
      </c>
      <c r="J16" s="12">
        <f t="shared" si="15"/>
        <v>2.1124314909963804E-2</v>
      </c>
      <c r="L16">
        <f>10^-2</f>
        <v>0.01</v>
      </c>
    </row>
    <row r="17" spans="1:16" ht="19.5" thickBot="1" x14ac:dyDescent="0.35">
      <c r="A17" s="3" t="s">
        <v>59</v>
      </c>
      <c r="B17" s="9">
        <f t="shared" si="7"/>
        <v>-9.8875554278663866</v>
      </c>
      <c r="C17" s="10">
        <f t="shared" si="8"/>
        <v>18.54945498875766</v>
      </c>
      <c r="D17" s="10">
        <f t="shared" si="9"/>
        <v>-2.6830238758012386</v>
      </c>
      <c r="E17" s="14">
        <f t="shared" si="10"/>
        <v>-9.8052953672380259</v>
      </c>
      <c r="F17" s="15">
        <f t="shared" si="11"/>
        <v>18.488319243039264</v>
      </c>
      <c r="G17" s="15">
        <f t="shared" si="12"/>
        <v>-2.7072960433609481</v>
      </c>
      <c r="H17" s="11">
        <f t="shared" si="13"/>
        <v>8.2260060628360776E-2</v>
      </c>
      <c r="I17" s="11">
        <f t="shared" si="14"/>
        <v>6.113574571839564E-2</v>
      </c>
      <c r="J17" s="12">
        <f t="shared" si="15"/>
        <v>2.4272167559709512E-2</v>
      </c>
    </row>
    <row r="18" spans="1:16" ht="19.5" thickBot="1" x14ac:dyDescent="0.35">
      <c r="A18" s="3" t="s">
        <v>60</v>
      </c>
      <c r="B18" s="9">
        <f t="shared" ref="B18:B20" si="16">E17</f>
        <v>-9.8052953672380259</v>
      </c>
      <c r="C18" s="10">
        <f t="shared" ref="C18:C20" si="17">F17</f>
        <v>18.488319243039264</v>
      </c>
      <c r="D18" s="10">
        <f t="shared" ref="D18:D20" si="18">G17</f>
        <v>-2.7072960433609481</v>
      </c>
      <c r="E18" s="14">
        <f t="shared" ref="E18:E20" si="19">1/3*(5-2*C18-D18)</f>
        <v>-9.7564474809058588</v>
      </c>
      <c r="F18" s="15">
        <f t="shared" ref="F18:F20" si="20">1/1*(6-1*E18-D18)</f>
        <v>18.463743524266807</v>
      </c>
      <c r="G18" s="15">
        <f t="shared" ref="G18:G20" si="21">1/6*(-4*E18-3*F18)</f>
        <v>-2.7275734415294979</v>
      </c>
      <c r="H18" s="11">
        <f t="shared" ref="H18:H20" si="22">ABS(E18-B18)</f>
        <v>4.8847886332167079E-2</v>
      </c>
      <c r="I18" s="11">
        <f t="shared" ref="I18:I20" si="23">ABS(F18-C18)</f>
        <v>2.4575718772457122E-2</v>
      </c>
      <c r="J18" s="12">
        <f t="shared" ref="J18:J20" si="24">ABS(G18-D18)</f>
        <v>2.0277398168549787E-2</v>
      </c>
      <c r="M18" t="s">
        <v>69</v>
      </c>
      <c r="N18">
        <v>3.6</v>
      </c>
      <c r="O18">
        <v>3</v>
      </c>
      <c r="P18">
        <f>N18*O18/10</f>
        <v>1.08</v>
      </c>
    </row>
    <row r="19" spans="1:16" ht="19.5" thickBot="1" x14ac:dyDescent="0.35">
      <c r="A19" s="3" t="s">
        <v>61</v>
      </c>
      <c r="B19" s="9">
        <f t="shared" si="16"/>
        <v>-9.7564474809058588</v>
      </c>
      <c r="C19" s="10">
        <f t="shared" si="17"/>
        <v>18.463743524266807</v>
      </c>
      <c r="D19" s="10">
        <f t="shared" si="18"/>
        <v>-2.7275734415294979</v>
      </c>
      <c r="E19" s="14">
        <f t="shared" si="19"/>
        <v>-9.7333045356680383</v>
      </c>
      <c r="F19" s="15">
        <f t="shared" si="20"/>
        <v>18.460877977197537</v>
      </c>
      <c r="G19" s="15">
        <f t="shared" si="21"/>
        <v>-2.7415692981534088</v>
      </c>
      <c r="H19" s="11">
        <f t="shared" si="22"/>
        <v>2.3142945237820456E-2</v>
      </c>
      <c r="I19" s="11">
        <f t="shared" si="23"/>
        <v>2.8655470692697804E-3</v>
      </c>
      <c r="J19" s="12">
        <f t="shared" si="24"/>
        <v>1.3995856623910896E-2</v>
      </c>
      <c r="M19" t="s">
        <v>70</v>
      </c>
      <c r="N19">
        <v>7.5</v>
      </c>
      <c r="O19">
        <v>3</v>
      </c>
      <c r="P19">
        <f t="shared" ref="P19:P20" si="25">N19*O19/10</f>
        <v>2.25</v>
      </c>
    </row>
    <row r="20" spans="1:16" ht="19.5" thickBot="1" x14ac:dyDescent="0.35">
      <c r="A20" s="3" t="s">
        <v>62</v>
      </c>
      <c r="B20" s="9">
        <f t="shared" si="16"/>
        <v>-9.7333045356680383</v>
      </c>
      <c r="C20" s="10">
        <f t="shared" si="17"/>
        <v>18.460877977197537</v>
      </c>
      <c r="D20" s="10">
        <f t="shared" si="18"/>
        <v>-2.7415692981534088</v>
      </c>
      <c r="E20" s="66">
        <f t="shared" si="19"/>
        <v>-9.7267288854138876</v>
      </c>
      <c r="F20" s="67">
        <f t="shared" si="20"/>
        <v>18.468298183567295</v>
      </c>
      <c r="G20" s="67">
        <f t="shared" si="21"/>
        <v>-2.7496631681743886</v>
      </c>
      <c r="H20" s="11">
        <f t="shared" si="22"/>
        <v>6.5756502541507444E-3</v>
      </c>
      <c r="I20" s="11">
        <f t="shared" si="23"/>
        <v>7.4202063697583753E-3</v>
      </c>
      <c r="J20" s="12">
        <f t="shared" si="24"/>
        <v>8.093870020979832E-3</v>
      </c>
      <c r="M20" t="s">
        <v>71</v>
      </c>
      <c r="N20">
        <v>4.8</v>
      </c>
      <c r="O20">
        <v>4</v>
      </c>
      <c r="P20">
        <f t="shared" si="25"/>
        <v>1.92</v>
      </c>
    </row>
    <row r="21" spans="1:16" x14ac:dyDescent="0.25">
      <c r="P21">
        <f>SUM(P18:P20)</f>
        <v>5.25</v>
      </c>
    </row>
    <row r="23" spans="1:16" x14ac:dyDescent="0.25">
      <c r="B23" s="21" t="s">
        <v>42</v>
      </c>
    </row>
    <row r="24" spans="1:16" x14ac:dyDescent="0.25">
      <c r="B24" s="20" t="s">
        <v>48</v>
      </c>
    </row>
    <row r="25" spans="1:16" x14ac:dyDescent="0.25">
      <c r="M25" t="s">
        <v>75</v>
      </c>
      <c r="N25">
        <v>1</v>
      </c>
    </row>
    <row r="26" spans="1:16" ht="15.75" thickBot="1" x14ac:dyDescent="0.3">
      <c r="B26" s="21" t="s">
        <v>41</v>
      </c>
      <c r="M26" t="s">
        <v>76</v>
      </c>
      <c r="N26" s="25" t="s">
        <v>78</v>
      </c>
    </row>
    <row r="27" spans="1:16" ht="15.75" thickBot="1" x14ac:dyDescent="0.3">
      <c r="A27" s="3" t="s">
        <v>19</v>
      </c>
      <c r="B27" s="22" t="s">
        <v>1</v>
      </c>
      <c r="C27" s="23" t="s">
        <v>2</v>
      </c>
      <c r="D27" s="23" t="s">
        <v>15</v>
      </c>
      <c r="E27" s="23" t="s">
        <v>16</v>
      </c>
      <c r="F27" s="24" t="s">
        <v>17</v>
      </c>
      <c r="M27" t="s">
        <v>77</v>
      </c>
      <c r="N27">
        <v>0</v>
      </c>
    </row>
    <row r="28" spans="1:16" x14ac:dyDescent="0.25">
      <c r="A28" s="3">
        <v>0</v>
      </c>
      <c r="B28" s="14">
        <f>93.3</f>
        <v>93.3</v>
      </c>
      <c r="C28" s="14">
        <v>1548</v>
      </c>
      <c r="D28" s="14">
        <f>(C29-C28)/(B29-B28)</f>
        <v>-0.71428571428571319</v>
      </c>
      <c r="E28" s="14">
        <f>(D29-D28)/(B30-B28)</f>
        <v>-3.3930033930033993E-2</v>
      </c>
      <c r="F28" s="14">
        <f>(E29-E28)/(B31-B28)</f>
        <v>2.1368284841338705E-3</v>
      </c>
    </row>
    <row r="29" spans="1:16" x14ac:dyDescent="0.25">
      <c r="A29" s="3">
        <v>1</v>
      </c>
      <c r="B29" s="1">
        <f>98.9</f>
        <v>98.9</v>
      </c>
      <c r="C29" s="1">
        <v>1544</v>
      </c>
      <c r="D29" s="1">
        <f>(C30-C29)/(B30-B29)</f>
        <v>-1.0909090909090908</v>
      </c>
      <c r="E29" s="1">
        <f>(D30-D29)/(B31-B29)</f>
        <v>1.7550017550016514E-3</v>
      </c>
      <c r="F29" s="1"/>
      <c r="M29" t="s">
        <v>7</v>
      </c>
      <c r="N29">
        <f>-3</f>
        <v>-3</v>
      </c>
    </row>
    <row r="30" spans="1:16" x14ac:dyDescent="0.25">
      <c r="A30" s="3">
        <v>2</v>
      </c>
      <c r="B30" s="1">
        <f>104.4</f>
        <v>104.4</v>
      </c>
      <c r="C30" s="1">
        <v>1538</v>
      </c>
      <c r="D30" s="1">
        <f>(C31-C30)/(B31-B30)</f>
        <v>-1.0714285714285725</v>
      </c>
      <c r="E30" s="1"/>
      <c r="F30" s="1"/>
      <c r="M30" t="s">
        <v>8</v>
      </c>
      <c r="N30">
        <f>5</f>
        <v>5</v>
      </c>
    </row>
    <row r="31" spans="1:16" x14ac:dyDescent="0.25">
      <c r="A31" s="3">
        <v>3</v>
      </c>
      <c r="B31" s="5">
        <f>110</f>
        <v>110</v>
      </c>
      <c r="C31" s="1">
        <v>1532</v>
      </c>
      <c r="D31" s="1"/>
      <c r="E31" s="1"/>
      <c r="F31" s="1"/>
      <c r="M31" t="s">
        <v>9</v>
      </c>
      <c r="N31">
        <f>0</f>
        <v>0</v>
      </c>
    </row>
    <row r="32" spans="1:16" x14ac:dyDescent="0.25">
      <c r="B32" t="s">
        <v>18</v>
      </c>
      <c r="C32" s="53" t="s">
        <v>20</v>
      </c>
    </row>
    <row r="33" spans="2:13" x14ac:dyDescent="0.25">
      <c r="C33" s="21" t="s">
        <v>63</v>
      </c>
      <c r="D33" s="61">
        <f>1548-0.71*(100-93.3) - 0.03 * (100-93.3)*(100-98.9) + 0.002 * (100-93.3)*(100-98.9)*(100-104.4)</f>
        <v>1542.957044</v>
      </c>
    </row>
    <row r="34" spans="2:13" x14ac:dyDescent="0.25">
      <c r="M34" t="s">
        <v>72</v>
      </c>
    </row>
    <row r="35" spans="2:13" x14ac:dyDescent="0.25">
      <c r="B35" s="21" t="s">
        <v>21</v>
      </c>
      <c r="M35" t="s">
        <v>73</v>
      </c>
    </row>
    <row r="36" spans="2:13" x14ac:dyDescent="0.25">
      <c r="B36" t="s">
        <v>22</v>
      </c>
      <c r="C36" s="25" t="s">
        <v>40</v>
      </c>
      <c r="M36" t="s">
        <v>74</v>
      </c>
    </row>
    <row r="37" spans="2:13" x14ac:dyDescent="0.25">
      <c r="B37" s="21" t="s">
        <v>23</v>
      </c>
      <c r="C37" s="21">
        <f>90.67+(90.34-90.67)/(2900-2800)*(2890-2800)</f>
        <v>90.373000000000005</v>
      </c>
    </row>
    <row r="38" spans="2:13" x14ac:dyDescent="0.25">
      <c r="M38">
        <f>3*N29+2*N30+4*N31</f>
        <v>1</v>
      </c>
    </row>
    <row r="39" spans="2:13" ht="15.75" thickBot="1" x14ac:dyDescent="0.3">
      <c r="B39" s="21" t="s">
        <v>64</v>
      </c>
      <c r="M39">
        <f>N29+N30+2*N31</f>
        <v>2</v>
      </c>
    </row>
    <row r="40" spans="2:13" ht="15.75" thickBot="1" x14ac:dyDescent="0.3">
      <c r="B40" s="22" t="s">
        <v>19</v>
      </c>
      <c r="C40" s="23" t="s">
        <v>0</v>
      </c>
      <c r="D40" s="23" t="s">
        <v>28</v>
      </c>
      <c r="E40" s="23" t="s">
        <v>27</v>
      </c>
      <c r="F40" s="24" t="s">
        <v>29</v>
      </c>
      <c r="G40" s="28" t="s">
        <v>25</v>
      </c>
      <c r="H40" s="21">
        <f>(3.6-3)/2</f>
        <v>0.30000000000000004</v>
      </c>
      <c r="M40">
        <f>4*N29+3*N30+2*N31</f>
        <v>3</v>
      </c>
    </row>
    <row r="41" spans="2:13" x14ac:dyDescent="0.25">
      <c r="B41" s="13">
        <v>0</v>
      </c>
      <c r="C41" s="14">
        <v>3</v>
      </c>
      <c r="D41" s="14">
        <f>1/C41</f>
        <v>0.33333333333333331</v>
      </c>
      <c r="E41" s="40">
        <v>1</v>
      </c>
      <c r="F41" s="41">
        <f>D41*E41</f>
        <v>0.33333333333333331</v>
      </c>
      <c r="G41" s="28" t="s">
        <v>31</v>
      </c>
      <c r="H41" s="29">
        <f>(1/8)*H40*F44</f>
        <v>6.8371212121212124E-2</v>
      </c>
    </row>
    <row r="42" spans="2:13" x14ac:dyDescent="0.25">
      <c r="B42" s="6">
        <v>1</v>
      </c>
      <c r="C42" s="4">
        <v>3.3</v>
      </c>
      <c r="D42" s="4">
        <f>1/C42</f>
        <v>0.30303030303030304</v>
      </c>
      <c r="E42" s="2">
        <v>4</v>
      </c>
      <c r="F42" s="7">
        <f t="shared" ref="F42:F43" si="26">D42*E42</f>
        <v>1.2121212121212122</v>
      </c>
      <c r="H42" s="20" t="s">
        <v>30</v>
      </c>
    </row>
    <row r="43" spans="2:13" x14ac:dyDescent="0.25">
      <c r="B43" s="6">
        <v>2</v>
      </c>
      <c r="C43" s="4">
        <v>3.6</v>
      </c>
      <c r="D43" s="4">
        <f t="shared" ref="D43" si="27">1/C43</f>
        <v>0.27777777777777779</v>
      </c>
      <c r="E43" s="2">
        <v>1</v>
      </c>
      <c r="F43" s="7">
        <f t="shared" si="26"/>
        <v>0.27777777777777779</v>
      </c>
      <c r="H43" t="s">
        <v>32</v>
      </c>
    </row>
    <row r="44" spans="2:13" x14ac:dyDescent="0.25">
      <c r="E44" s="30" t="s">
        <v>33</v>
      </c>
      <c r="F44" s="27">
        <f>SUM(F41:F43)</f>
        <v>1.8232323232323231</v>
      </c>
    </row>
    <row r="45" spans="2:13" ht="15.75" thickBot="1" x14ac:dyDescent="0.3">
      <c r="B45" s="21" t="s">
        <v>44</v>
      </c>
    </row>
    <row r="46" spans="2:13" ht="15.75" thickBot="1" x14ac:dyDescent="0.3">
      <c r="B46" s="22" t="s">
        <v>19</v>
      </c>
      <c r="C46" s="23" t="s">
        <v>0</v>
      </c>
      <c r="D46" s="23" t="s">
        <v>28</v>
      </c>
      <c r="E46" s="23" t="s">
        <v>27</v>
      </c>
      <c r="F46" s="24" t="s">
        <v>29</v>
      </c>
      <c r="G46" s="28" t="s">
        <v>25</v>
      </c>
      <c r="H46" s="21">
        <f>(4-1)/8</f>
        <v>0.375</v>
      </c>
    </row>
    <row r="47" spans="2:13" x14ac:dyDescent="0.25">
      <c r="B47" s="13">
        <v>0</v>
      </c>
      <c r="C47" s="14">
        <v>1</v>
      </c>
      <c r="D47" s="14">
        <f>1/C47</f>
        <v>1</v>
      </c>
      <c r="E47" s="40">
        <v>1</v>
      </c>
      <c r="F47" s="41">
        <f>D47*E47</f>
        <v>1</v>
      </c>
      <c r="G47" s="28" t="s">
        <v>31</v>
      </c>
      <c r="H47" s="29">
        <f>(3/8)*H46*F56</f>
        <v>1.5152492175615631</v>
      </c>
    </row>
    <row r="48" spans="2:13" x14ac:dyDescent="0.25">
      <c r="B48" s="6">
        <v>1</v>
      </c>
      <c r="C48" s="4">
        <f t="shared" ref="C48:C55" si="28">C47+$H$40</f>
        <v>1.3</v>
      </c>
      <c r="D48" s="4">
        <f>1/C48</f>
        <v>0.76923076923076916</v>
      </c>
      <c r="E48" s="2">
        <v>3</v>
      </c>
      <c r="F48" s="7">
        <f t="shared" ref="F48:F55" si="29">D48*E48</f>
        <v>2.3076923076923075</v>
      </c>
      <c r="H48" s="20" t="s">
        <v>30</v>
      </c>
    </row>
    <row r="49" spans="2:8" x14ac:dyDescent="0.25">
      <c r="B49" s="6">
        <v>2</v>
      </c>
      <c r="C49" s="4">
        <f t="shared" si="28"/>
        <v>1.6</v>
      </c>
      <c r="D49" s="4">
        <f t="shared" ref="D49:D55" si="30">1/C49</f>
        <v>0.625</v>
      </c>
      <c r="E49" s="2">
        <v>3</v>
      </c>
      <c r="F49" s="7">
        <f t="shared" si="29"/>
        <v>1.875</v>
      </c>
      <c r="H49" t="s">
        <v>32</v>
      </c>
    </row>
    <row r="50" spans="2:8" x14ac:dyDescent="0.25">
      <c r="B50" s="6">
        <v>3</v>
      </c>
      <c r="C50" s="4">
        <f t="shared" si="28"/>
        <v>1.9000000000000001</v>
      </c>
      <c r="D50" s="4">
        <f t="shared" si="30"/>
        <v>0.52631578947368418</v>
      </c>
      <c r="E50" s="2">
        <v>2</v>
      </c>
      <c r="F50" s="7">
        <f t="shared" si="29"/>
        <v>1.0526315789473684</v>
      </c>
      <c r="H50" t="s">
        <v>26</v>
      </c>
    </row>
    <row r="51" spans="2:8" x14ac:dyDescent="0.25">
      <c r="B51" s="6">
        <v>4</v>
      </c>
      <c r="C51" s="4">
        <f t="shared" si="28"/>
        <v>2.2000000000000002</v>
      </c>
      <c r="D51" s="4">
        <f t="shared" si="30"/>
        <v>0.45454545454545453</v>
      </c>
      <c r="E51" s="2">
        <v>3</v>
      </c>
      <c r="F51" s="7">
        <f t="shared" si="29"/>
        <v>1.3636363636363635</v>
      </c>
    </row>
    <row r="52" spans="2:8" x14ac:dyDescent="0.25">
      <c r="B52" s="6">
        <v>5</v>
      </c>
      <c r="C52" s="4">
        <f t="shared" si="28"/>
        <v>2.5</v>
      </c>
      <c r="D52" s="4">
        <f t="shared" si="30"/>
        <v>0.4</v>
      </c>
      <c r="E52" s="2">
        <v>3</v>
      </c>
      <c r="F52" s="7">
        <f t="shared" si="29"/>
        <v>1.2000000000000002</v>
      </c>
    </row>
    <row r="53" spans="2:8" x14ac:dyDescent="0.25">
      <c r="B53" s="6">
        <v>6</v>
      </c>
      <c r="C53" s="4">
        <f t="shared" si="28"/>
        <v>2.8</v>
      </c>
      <c r="D53" s="4">
        <f t="shared" si="30"/>
        <v>0.35714285714285715</v>
      </c>
      <c r="E53" s="2">
        <v>2</v>
      </c>
      <c r="F53" s="7">
        <f t="shared" si="29"/>
        <v>0.7142857142857143</v>
      </c>
    </row>
    <row r="54" spans="2:8" x14ac:dyDescent="0.25">
      <c r="B54" s="6">
        <v>7</v>
      </c>
      <c r="C54" s="4">
        <f t="shared" si="28"/>
        <v>3.0999999999999996</v>
      </c>
      <c r="D54" s="4">
        <f t="shared" si="30"/>
        <v>0.32258064516129037</v>
      </c>
      <c r="E54" s="2">
        <v>3</v>
      </c>
      <c r="F54" s="7">
        <f t="shared" si="29"/>
        <v>0.96774193548387111</v>
      </c>
    </row>
    <row r="55" spans="2:8" ht="15.75" thickBot="1" x14ac:dyDescent="0.3">
      <c r="B55" s="36">
        <v>8</v>
      </c>
      <c r="C55" s="11">
        <f t="shared" si="28"/>
        <v>3.3999999999999995</v>
      </c>
      <c r="D55" s="11">
        <f t="shared" si="30"/>
        <v>0.29411764705882359</v>
      </c>
      <c r="E55" s="39">
        <v>1</v>
      </c>
      <c r="F55" s="12">
        <f t="shared" si="29"/>
        <v>0.29411764705882359</v>
      </c>
    </row>
    <row r="56" spans="2:8" x14ac:dyDescent="0.25">
      <c r="E56" s="30" t="s">
        <v>33</v>
      </c>
      <c r="F56" s="27">
        <f>SUM(F47:F55)</f>
        <v>10.775105547104449</v>
      </c>
    </row>
    <row r="57" spans="2:8" x14ac:dyDescent="0.25">
      <c r="B57" s="21" t="s">
        <v>34</v>
      </c>
    </row>
    <row r="58" spans="2:8" ht="15.75" thickBot="1" x14ac:dyDescent="0.3">
      <c r="B58" s="20" t="s">
        <v>35</v>
      </c>
      <c r="D58" s="20" t="s">
        <v>36</v>
      </c>
      <c r="E58" s="25"/>
    </row>
    <row r="59" spans="2:8" ht="15.75" thickBot="1" x14ac:dyDescent="0.3">
      <c r="B59" s="22" t="s">
        <v>19</v>
      </c>
      <c r="C59" s="23">
        <v>0</v>
      </c>
      <c r="D59" s="23">
        <v>1</v>
      </c>
      <c r="E59" s="24">
        <v>2</v>
      </c>
      <c r="F59" s="33"/>
    </row>
    <row r="60" spans="2:8" x14ac:dyDescent="0.25">
      <c r="B60" s="43" t="s">
        <v>0</v>
      </c>
      <c r="C60" s="40">
        <v>1</v>
      </c>
      <c r="D60" s="40">
        <v>2</v>
      </c>
      <c r="E60" s="42">
        <v>3</v>
      </c>
      <c r="F60" s="34"/>
    </row>
    <row r="61" spans="2:8" ht="15.75" thickBot="1" x14ac:dyDescent="0.3">
      <c r="B61" s="45" t="s">
        <v>24</v>
      </c>
      <c r="C61" s="46">
        <v>0</v>
      </c>
      <c r="D61" s="46">
        <v>-1</v>
      </c>
      <c r="E61" s="37">
        <v>-2</v>
      </c>
      <c r="F61" s="35"/>
    </row>
    <row r="62" spans="2:8" x14ac:dyDescent="0.25">
      <c r="B62" s="58" t="s">
        <v>37</v>
      </c>
      <c r="C62" s="59" t="s">
        <v>38</v>
      </c>
      <c r="D62" s="60"/>
      <c r="E62" s="44"/>
      <c r="F62" s="35"/>
    </row>
    <row r="63" spans="2:8" x14ac:dyDescent="0.25">
      <c r="B63" s="49" t="s">
        <v>37</v>
      </c>
      <c r="C63" s="50" t="s">
        <v>49</v>
      </c>
      <c r="D63" s="32"/>
      <c r="E63" s="44"/>
      <c r="F63" s="35"/>
    </row>
    <row r="64" spans="2:8" x14ac:dyDescent="0.25">
      <c r="B64" s="51" t="s">
        <v>39</v>
      </c>
      <c r="C64" s="52">
        <f xml:space="preserve"> -0.5</f>
        <v>-0.5</v>
      </c>
      <c r="D64" s="31"/>
      <c r="E64" s="31"/>
      <c r="F64" s="34"/>
    </row>
    <row r="65" spans="1:9" x14ac:dyDescent="0.25">
      <c r="B65" s="51"/>
      <c r="C65" s="52"/>
      <c r="D65" s="31"/>
      <c r="E65" s="31"/>
      <c r="F65" s="34"/>
    </row>
    <row r="66" spans="1:9" ht="15.75" thickBot="1" x14ac:dyDescent="0.3">
      <c r="B66" s="21" t="s">
        <v>50</v>
      </c>
    </row>
    <row r="67" spans="1:9" ht="15.75" thickBot="1" x14ac:dyDescent="0.3">
      <c r="B67" s="22" t="s">
        <v>19</v>
      </c>
      <c r="C67" s="23" t="s">
        <v>0</v>
      </c>
      <c r="D67" s="23" t="s">
        <v>28</v>
      </c>
      <c r="E67" s="23" t="s">
        <v>27</v>
      </c>
      <c r="F67" s="24" t="s">
        <v>29</v>
      </c>
      <c r="G67" s="28" t="s">
        <v>25</v>
      </c>
      <c r="H67" s="21">
        <f>(3.6-3)/6</f>
        <v>0.10000000000000002</v>
      </c>
    </row>
    <row r="68" spans="1:9" x14ac:dyDescent="0.25">
      <c r="B68" s="13">
        <v>0</v>
      </c>
      <c r="C68" s="14">
        <v>3</v>
      </c>
      <c r="D68" s="15">
        <f>1/C68</f>
        <v>0.33333333333333331</v>
      </c>
      <c r="E68" s="40">
        <v>1</v>
      </c>
      <c r="F68" s="16">
        <f>D68*E68</f>
        <v>0.33333333333333331</v>
      </c>
      <c r="G68" s="28" t="s">
        <v>31</v>
      </c>
      <c r="H68" s="29">
        <f>(1/2)*H67*F75</f>
        <v>0.18234984365202583</v>
      </c>
    </row>
    <row r="69" spans="1:9" x14ac:dyDescent="0.25">
      <c r="B69" s="6">
        <v>1</v>
      </c>
      <c r="C69" s="4">
        <f>C68+$H$67</f>
        <v>3.1</v>
      </c>
      <c r="D69" s="4">
        <f>1/C69</f>
        <v>0.32258064516129031</v>
      </c>
      <c r="E69" s="2">
        <v>2</v>
      </c>
      <c r="F69" s="7">
        <f t="shared" ref="F69:F74" si="31">D69*E69</f>
        <v>0.64516129032258063</v>
      </c>
      <c r="H69" s="20" t="s">
        <v>30</v>
      </c>
    </row>
    <row r="70" spans="1:9" x14ac:dyDescent="0.25">
      <c r="B70" s="6">
        <v>2</v>
      </c>
      <c r="C70" s="4">
        <f t="shared" ref="C70:C72" si="32">C69+$H$67</f>
        <v>3.2</v>
      </c>
      <c r="D70" s="4">
        <f t="shared" ref="D70:D74" si="33">1/C70</f>
        <v>0.3125</v>
      </c>
      <c r="E70" s="2">
        <v>2</v>
      </c>
      <c r="F70" s="7">
        <f t="shared" si="31"/>
        <v>0.625</v>
      </c>
      <c r="H70" t="s">
        <v>32</v>
      </c>
    </row>
    <row r="71" spans="1:9" x14ac:dyDescent="0.25">
      <c r="B71" s="6">
        <v>3</v>
      </c>
      <c r="C71" s="4">
        <f t="shared" si="32"/>
        <v>3.3000000000000003</v>
      </c>
      <c r="D71" s="4">
        <f t="shared" si="33"/>
        <v>0.30303030303030298</v>
      </c>
      <c r="E71" s="2">
        <v>2</v>
      </c>
      <c r="F71" s="7">
        <f t="shared" si="31"/>
        <v>0.60606060606060597</v>
      </c>
      <c r="H71" t="s">
        <v>51</v>
      </c>
    </row>
    <row r="72" spans="1:9" x14ac:dyDescent="0.25">
      <c r="B72" s="6">
        <v>4</v>
      </c>
      <c r="C72" s="4">
        <f t="shared" si="32"/>
        <v>3.4000000000000004</v>
      </c>
      <c r="D72" s="4">
        <f t="shared" si="33"/>
        <v>0.29411764705882348</v>
      </c>
      <c r="E72" s="2">
        <v>2</v>
      </c>
      <c r="F72" s="7">
        <f t="shared" si="31"/>
        <v>0.58823529411764697</v>
      </c>
    </row>
    <row r="73" spans="1:9" x14ac:dyDescent="0.25">
      <c r="B73" s="62">
        <v>5</v>
      </c>
      <c r="C73" s="63">
        <v>3.5</v>
      </c>
      <c r="D73" s="63">
        <f>1/C73</f>
        <v>0.2857142857142857</v>
      </c>
      <c r="E73" s="64">
        <v>2</v>
      </c>
      <c r="F73" s="65">
        <f t="shared" si="31"/>
        <v>0.5714285714285714</v>
      </c>
    </row>
    <row r="74" spans="1:9" ht="15.75" thickBot="1" x14ac:dyDescent="0.3">
      <c r="B74" s="36">
        <v>6</v>
      </c>
      <c r="C74" s="11">
        <v>3.6</v>
      </c>
      <c r="D74" s="11">
        <f t="shared" si="33"/>
        <v>0.27777777777777779</v>
      </c>
      <c r="E74" s="39">
        <v>1</v>
      </c>
      <c r="F74" s="12">
        <f t="shared" si="31"/>
        <v>0.27777777777777779</v>
      </c>
    </row>
    <row r="75" spans="1:9" x14ac:dyDescent="0.25">
      <c r="E75" s="30" t="s">
        <v>33</v>
      </c>
      <c r="F75" s="27">
        <f>SUM(F68:F74)</f>
        <v>3.646996873040516</v>
      </c>
    </row>
    <row r="76" spans="1:9" x14ac:dyDescent="0.25">
      <c r="B76" s="47"/>
      <c r="C76" s="31"/>
      <c r="D76" s="31"/>
      <c r="E76" s="31"/>
      <c r="F76" s="34"/>
    </row>
    <row r="77" spans="1:9" ht="15.75" thickBot="1" x14ac:dyDescent="0.3">
      <c r="B77" s="21" t="s">
        <v>52</v>
      </c>
      <c r="H77" s="26" t="s">
        <v>45</v>
      </c>
      <c r="I77" s="21">
        <f>5.6</f>
        <v>5.6</v>
      </c>
    </row>
    <row r="78" spans="1:9" ht="15.75" thickBot="1" x14ac:dyDescent="0.3">
      <c r="A78" s="3" t="s">
        <v>19</v>
      </c>
      <c r="B78" s="22" t="s">
        <v>1</v>
      </c>
      <c r="C78" s="23" t="s">
        <v>2</v>
      </c>
      <c r="D78" s="23" t="s">
        <v>15</v>
      </c>
      <c r="E78" s="23" t="s">
        <v>16</v>
      </c>
      <c r="F78" s="24" t="s">
        <v>17</v>
      </c>
      <c r="H78" s="48" t="s">
        <v>47</v>
      </c>
      <c r="I78" s="29">
        <f>(100-B79)/I77</f>
        <v>1.1964285714285721</v>
      </c>
    </row>
    <row r="79" spans="1:9" x14ac:dyDescent="0.25">
      <c r="A79" s="3">
        <v>0</v>
      </c>
      <c r="B79" s="13">
        <f>93.3</f>
        <v>93.3</v>
      </c>
      <c r="C79" s="14">
        <v>1548</v>
      </c>
      <c r="D79" s="14">
        <f>C80-C79</f>
        <v>-4</v>
      </c>
      <c r="E79" s="14">
        <f>D80-D79</f>
        <v>-2</v>
      </c>
      <c r="F79" s="41">
        <f>E80-E79</f>
        <v>2</v>
      </c>
    </row>
    <row r="80" spans="1:9" x14ac:dyDescent="0.25">
      <c r="A80" s="3">
        <v>1</v>
      </c>
      <c r="B80" s="6">
        <f>98.9</f>
        <v>98.9</v>
      </c>
      <c r="C80" s="1">
        <v>1544</v>
      </c>
      <c r="D80" s="14">
        <f>C81-C80</f>
        <v>-6</v>
      </c>
      <c r="E80" s="14">
        <f>D81-D80</f>
        <v>0</v>
      </c>
      <c r="F80" s="38"/>
    </row>
    <row r="81" spans="1:8" x14ac:dyDescent="0.25">
      <c r="A81" s="3">
        <v>2</v>
      </c>
      <c r="B81" s="6">
        <f>104.5</f>
        <v>104.5</v>
      </c>
      <c r="C81" s="1">
        <v>1538</v>
      </c>
      <c r="D81" s="14">
        <f>C82-C81</f>
        <v>-6</v>
      </c>
      <c r="E81" s="1"/>
      <c r="F81" s="38"/>
    </row>
    <row r="82" spans="1:8" ht="15.75" thickBot="1" x14ac:dyDescent="0.3">
      <c r="A82" s="3">
        <v>3</v>
      </c>
      <c r="B82" s="36">
        <f>110.1</f>
        <v>110.1</v>
      </c>
      <c r="C82" s="54">
        <v>1532</v>
      </c>
      <c r="D82" s="54"/>
      <c r="E82" s="54"/>
      <c r="F82" s="55"/>
    </row>
    <row r="83" spans="1:8" x14ac:dyDescent="0.25">
      <c r="B83" t="s">
        <v>18</v>
      </c>
      <c r="C83" s="53" t="s">
        <v>46</v>
      </c>
    </row>
    <row r="84" spans="1:8" x14ac:dyDescent="0.25">
      <c r="C84" s="21" t="s">
        <v>63</v>
      </c>
      <c r="D84" s="21">
        <f>1548 + (-4/1* 1.196) + (-2/2 * 1.196 * (1.196-1)) + (2/6 * 1.196* (1.196-1)*(1.196-2))</f>
        <v>1542.9187605119998</v>
      </c>
      <c r="H84" s="20" t="s">
        <v>67</v>
      </c>
    </row>
    <row r="85" spans="1:8" x14ac:dyDescent="0.25">
      <c r="D85" s="21"/>
    </row>
  </sheetData>
  <pageMargins left="0.511811024" right="0.511811024" top="0.25" bottom="0.28740157500000002" header="0.25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Heleno Cardoso Filho</dc:creator>
  <cp:lastModifiedBy>Heleno Cardoso Filho</cp:lastModifiedBy>
  <dcterms:created xsi:type="dcterms:W3CDTF">2019-05-29T12:36:55Z</dcterms:created>
  <dcterms:modified xsi:type="dcterms:W3CDTF">2019-06-26T15:17:19Z</dcterms:modified>
</cp:coreProperties>
</file>