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autoCompressPictures="0"/>
  <mc:AlternateContent xmlns:mc="http://schemas.openxmlformats.org/markup-compatibility/2006">
    <mc:Choice Requires="x15">
      <x15ac:absPath xmlns:x15ac="http://schemas.microsoft.com/office/spreadsheetml/2010/11/ac" url="D:\Dropbox\_CLOUDIFIER_POC\2. IMPLEMENTARE\00. CONTRACT_BUGET_CONTURI\"/>
    </mc:Choice>
  </mc:AlternateContent>
  <bookViews>
    <workbookView xWindow="0" yWindow="0" windowWidth="20475" windowHeight="15360"/>
  </bookViews>
  <sheets>
    <sheet name="Buget Structura Noua" sheetId="3" r:id="rId1"/>
    <sheet name="VECHI" sheetId="5" r:id="rId2"/>
  </sheets>
  <definedNames>
    <definedName name="bookmark29" localSheetId="0">'Buget Structura Noua'!#REF!</definedName>
    <definedName name="bookmark29" localSheetId="1">VECHI!#REF!</definedName>
    <definedName name="_xlnm.Print_Area" localSheetId="0">'Buget Structura Noua'!$B$2:$H$42</definedName>
    <definedName name="_xlnm.Print_Area" localSheetId="1">VECHI!$B$2:$H$42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3" l="1"/>
  <c r="H49" i="3" l="1"/>
  <c r="H48" i="3"/>
  <c r="E11" i="3" l="1"/>
  <c r="E16" i="3"/>
  <c r="D39" i="3" l="1"/>
  <c r="D38" i="3"/>
  <c r="K38" i="3" s="1"/>
  <c r="E29" i="3"/>
  <c r="E25" i="3"/>
  <c r="D25" i="3" s="1"/>
  <c r="E22" i="3"/>
  <c r="E12" i="3"/>
  <c r="M12" i="3" s="1"/>
  <c r="E7" i="3"/>
  <c r="J7" i="3" s="1"/>
  <c r="D29" i="3"/>
  <c r="I29" i="3" s="1"/>
  <c r="J39" i="3"/>
  <c r="K39" i="3"/>
  <c r="J38" i="3"/>
  <c r="J29" i="3"/>
  <c r="J25" i="3"/>
  <c r="J22" i="3"/>
  <c r="D22" i="3"/>
  <c r="N22" i="3" s="1"/>
  <c r="J16" i="3"/>
  <c r="D16" i="3"/>
  <c r="K16" i="3" s="1"/>
  <c r="E54" i="5"/>
  <c r="E47" i="5"/>
  <c r="E48" i="5" s="1"/>
  <c r="P3" i="5"/>
  <c r="P6" i="5" s="1"/>
  <c r="E6" i="5" s="1"/>
  <c r="P4" i="5"/>
  <c r="P5" i="5"/>
  <c r="Q3" i="5"/>
  <c r="Q6" i="5" s="1"/>
  <c r="E11" i="5" s="1"/>
  <c r="Q4" i="5"/>
  <c r="Q5" i="5"/>
  <c r="E28" i="5"/>
  <c r="F38" i="5"/>
  <c r="F39" i="5"/>
  <c r="F41" i="5"/>
  <c r="F42" i="5"/>
  <c r="D12" i="5"/>
  <c r="D16" i="5"/>
  <c r="D22" i="5"/>
  <c r="D28" i="5" s="1"/>
  <c r="D25" i="5"/>
  <c r="D29" i="5"/>
  <c r="I29" i="5" s="1"/>
  <c r="D41" i="5"/>
  <c r="F9" i="5"/>
  <c r="F17" i="5"/>
  <c r="F28" i="5"/>
  <c r="F31" i="5"/>
  <c r="F32" i="5"/>
  <c r="H29" i="5"/>
  <c r="H28" i="5"/>
  <c r="I25" i="5"/>
  <c r="H25" i="5"/>
  <c r="H22" i="5"/>
  <c r="K20" i="5"/>
  <c r="L21" i="5"/>
  <c r="L20" i="5"/>
  <c r="L17" i="5"/>
  <c r="L16" i="5"/>
  <c r="I16" i="5"/>
  <c r="H16" i="5"/>
  <c r="I12" i="5"/>
  <c r="H12" i="5"/>
  <c r="I7" i="5"/>
  <c r="H7" i="5"/>
  <c r="K5" i="5"/>
  <c r="K4" i="5"/>
  <c r="K3" i="5"/>
  <c r="E28" i="3"/>
  <c r="H28" i="3" s="1"/>
  <c r="L20" i="3"/>
  <c r="R4" i="3"/>
  <c r="R5" i="3"/>
  <c r="M21" i="3"/>
  <c r="M20" i="3"/>
  <c r="M17" i="3"/>
  <c r="M16" i="3"/>
  <c r="I22" i="3"/>
  <c r="Q3" i="3"/>
  <c r="Q4" i="3"/>
  <c r="Q5" i="3"/>
  <c r="Q6" i="3"/>
  <c r="E6" i="3" s="1"/>
  <c r="R3" i="3"/>
  <c r="R6" i="3" s="1"/>
  <c r="L4" i="3"/>
  <c r="L5" i="3"/>
  <c r="L3" i="3"/>
  <c r="E54" i="3"/>
  <c r="E47" i="3"/>
  <c r="E48" i="3" s="1"/>
  <c r="F9" i="3"/>
  <c r="F17" i="3"/>
  <c r="F28" i="3"/>
  <c r="F31" i="3"/>
  <c r="F32" i="3" s="1"/>
  <c r="F38" i="3"/>
  <c r="F41" i="3" s="1"/>
  <c r="F42" i="3" s="1"/>
  <c r="F39" i="3"/>
  <c r="D41" i="3"/>
  <c r="H29" i="3"/>
  <c r="H25" i="3"/>
  <c r="H22" i="3"/>
  <c r="H16" i="3"/>
  <c r="E17" i="5" l="1"/>
  <c r="D11" i="5"/>
  <c r="D17" i="5" s="1"/>
  <c r="H11" i="5"/>
  <c r="H6" i="5"/>
  <c r="D6" i="5"/>
  <c r="D9" i="5" s="1"/>
  <c r="D31" i="5" s="1"/>
  <c r="E9" i="5"/>
  <c r="K25" i="3"/>
  <c r="D28" i="3"/>
  <c r="I25" i="3"/>
  <c r="H11" i="3"/>
  <c r="E17" i="3"/>
  <c r="D11" i="3"/>
  <c r="D17" i="3" s="1"/>
  <c r="E9" i="3"/>
  <c r="D6" i="3"/>
  <c r="H6" i="3"/>
  <c r="K22" i="3"/>
  <c r="M7" i="3"/>
  <c r="I22" i="5"/>
  <c r="H7" i="3"/>
  <c r="D7" i="3"/>
  <c r="K7" i="3" s="1"/>
  <c r="K29" i="3"/>
  <c r="D12" i="3"/>
  <c r="H12" i="3"/>
  <c r="J12" i="3"/>
  <c r="H17" i="5" l="1"/>
  <c r="K12" i="3"/>
  <c r="D9" i="3"/>
  <c r="D31" i="3" s="1"/>
  <c r="E31" i="5"/>
  <c r="H9" i="5"/>
  <c r="E31" i="3"/>
  <c r="H9" i="3"/>
  <c r="H17" i="3"/>
  <c r="D32" i="5"/>
  <c r="H31" i="3" l="1"/>
  <c r="E32" i="3"/>
  <c r="H31" i="5"/>
  <c r="E32" i="5"/>
  <c r="D32" i="3"/>
  <c r="H32" i="5" l="1"/>
  <c r="L35" i="5"/>
  <c r="E34" i="5" s="1"/>
  <c r="H32" i="3"/>
  <c r="M35" i="3"/>
  <c r="M34" i="3" l="1"/>
  <c r="E34" i="3"/>
  <c r="H34" i="5"/>
  <c r="D34" i="5"/>
  <c r="D35" i="5" s="1"/>
  <c r="D42" i="5" s="1"/>
  <c r="E35" i="5"/>
  <c r="P34" i="3" l="1"/>
  <c r="D34" i="3"/>
  <c r="D35" i="3" s="1"/>
  <c r="D42" i="3" s="1"/>
  <c r="H34" i="3"/>
  <c r="E35" i="3"/>
  <c r="E42" i="5"/>
  <c r="H35" i="5"/>
  <c r="H42" i="5" s="1"/>
  <c r="J3" i="5" s="1"/>
  <c r="I17" i="5" l="1"/>
  <c r="I9" i="5"/>
  <c r="H35" i="3"/>
  <c r="H42" i="3" s="1"/>
  <c r="J3" i="3" s="1"/>
  <c r="E42" i="3"/>
  <c r="H45" i="3" l="1"/>
  <c r="I17" i="3"/>
  <c r="I9" i="3"/>
  <c r="H44" i="3"/>
</calcChain>
</file>

<file path=xl/sharedStrings.xml><?xml version="1.0" encoding="utf-8"?>
<sst xmlns="http://schemas.openxmlformats.org/spreadsheetml/2006/main" count="143" uniqueCount="77">
  <si>
    <t>Cod</t>
  </si>
  <si>
    <t>Denumire cheltuială</t>
  </si>
  <si>
    <t>CHELTUIELI ELIGIBILE DIRECTE</t>
  </si>
  <si>
    <t>CHELTUIELI INTEGRAL NEELIGIBILE</t>
  </si>
  <si>
    <t>TOTAL CHELTUIELI NEELIGIBILE</t>
  </si>
  <si>
    <t>Max total</t>
  </si>
  <si>
    <t>Rest</t>
  </si>
  <si>
    <t>Luni</t>
  </si>
  <si>
    <t>Echipa</t>
  </si>
  <si>
    <t>Membru/luna</t>
  </si>
  <si>
    <t>Total Cheltuieli activitati cercetare-dezvoltare</t>
  </si>
  <si>
    <t>Total Cheltuieli pentru introducerea in productie a rezultatelor</t>
  </si>
  <si>
    <t>Cercetatori</t>
  </si>
  <si>
    <t>Implementatori</t>
  </si>
  <si>
    <t>Valoare cheltuială (lei)</t>
  </si>
  <si>
    <t>Valoare eligibilă (lei)</t>
  </si>
  <si>
    <t>Valoare neeligibilă (lei)</t>
  </si>
  <si>
    <t>Intensitatea intervenţiei publice (%)</t>
  </si>
  <si>
    <t>Valoarea asistenţei  financiare nerambursabile (lei)</t>
  </si>
  <si>
    <t>3=4+5</t>
  </si>
  <si>
    <t>7=4x6</t>
  </si>
  <si>
    <r>
      <t xml:space="preserve">1.Cheltuieli pentru activităţile de cercetare-dezvoltare (cercetare industriala/ dezvoltare experimentală)- </t>
    </r>
    <r>
      <rPr>
        <b/>
        <u/>
        <sz val="11"/>
        <color theme="1"/>
        <rFont val="Times New Roman"/>
        <family val="1"/>
      </rPr>
      <t>minim 30% din cheltuielile totale eligibile – conditie de eligibilitate</t>
    </r>
  </si>
  <si>
    <t>Cheltuieli de personal (cheltuieli salariale pentru cercetători, tehnicieni şi personal auxiliar în măsura în care aceştia sunt angajaţi în proiectul de cercetare)</t>
  </si>
  <si>
    <r>
      <t>Cheltuieli pentru achiziţia de servicii de cercetare-dezvoltare (cercetare industrială/ dezvoltare experimentală</t>
    </r>
    <r>
      <rPr>
        <b/>
        <sz val="11"/>
        <color theme="1"/>
        <rFont val="Times New Roman"/>
        <family val="1"/>
      </rPr>
      <t>)</t>
    </r>
  </si>
  <si>
    <t>Cheltuieli pentru achiziţia de materii prime şi  materiale, necesare desfăşurării activităţilor de cercetare-dezvoltare</t>
  </si>
  <si>
    <r>
      <t xml:space="preserve">2. </t>
    </r>
    <r>
      <rPr>
        <b/>
        <sz val="11"/>
        <color theme="1"/>
        <rFont val="Times New Roman"/>
        <family val="1"/>
      </rPr>
      <t xml:space="preserve">Cheltuieli pentru introducerea în producţie a rezultatelor cercetării şi realizarea produsului/procesului/tehnologiei/serviciului- </t>
    </r>
    <r>
      <rPr>
        <b/>
        <u/>
        <sz val="11"/>
        <color theme="1"/>
        <rFont val="Times New Roman"/>
        <family val="1"/>
      </rPr>
      <t>minim 40% din cheltuielile totale eligibile- conditie de eligibilitate</t>
    </r>
  </si>
  <si>
    <t>Cheltuieli de personal (cheltuieli salariale pentru  personalul implicat în activităţile de introducere în producţie a rezultatelor cercetarii şi realizarea produsului);</t>
  </si>
  <si>
    <t>Cheltuieli pentru achiziţia de utilaje, instalaţii şi echipamente strict necesare pentru introducerea rezultatelor cercetării în ciclul productiv</t>
  </si>
  <si>
    <t>Cheltuieli pentru achiziţia de materii prime şi  materiale, necesare pentru activităţile de introducere în productie şi realizarea produsului/procesului/tehnologiei/serviciului</t>
  </si>
  <si>
    <t>Cheltuieli pentru achiziţia de active necorporale necesare pentru introducerea rezultatelor cercetării în ciclul productiv</t>
  </si>
  <si>
    <r>
      <t xml:space="preserve"> </t>
    </r>
    <r>
      <rPr>
        <i/>
        <sz val="11"/>
        <color theme="1"/>
        <rFont val="Times New Roman"/>
        <family val="1"/>
      </rPr>
      <t>2.4.1 Aplicatii informatice</t>
    </r>
  </si>
  <si>
    <t xml:space="preserve"> 2.4.2 Licente</t>
  </si>
  <si>
    <r>
      <t xml:space="preserve">3 </t>
    </r>
    <r>
      <rPr>
        <b/>
        <sz val="11"/>
        <color theme="1"/>
        <rFont val="Times New Roman"/>
        <family val="1"/>
      </rPr>
      <t>Cheltuieli pentru servicii de consultanţă în domeniul inovării şi pentru serviciile de sprijinire a inovării</t>
    </r>
  </si>
  <si>
    <t>Cheltuieli pentru servicii de consultanţă în domeniul inovării</t>
  </si>
  <si>
    <t>3.1.1 Asistenţă tehnologică</t>
  </si>
  <si>
    <t>3.1.2 Servicii de transfer de tehnologie</t>
  </si>
  <si>
    <t>3.1.3 Consultanţă în materie de achiziţie, protejare şi comercializare a drepturilor de proprietate intelectuală </t>
  </si>
  <si>
    <t>3.1.4 Servicii de consultanta  referitoare la utilizarea standardelor</t>
  </si>
  <si>
    <t>3.2.1 Servicii de cercetare de piata</t>
  </si>
  <si>
    <t>3.2.2 Servicii în materie de incercari şi testari în laboratoarele de    specialitate;</t>
  </si>
  <si>
    <t>3.2.3 Servicii referitoare la cerificarea, testarea şi marcarea calitatii produselor obtinute în proiect.</t>
  </si>
  <si>
    <r>
      <t>4 .</t>
    </r>
    <r>
      <rPr>
        <b/>
        <sz val="11"/>
        <color theme="1"/>
        <rFont val="Times New Roman"/>
        <family val="1"/>
      </rPr>
      <t>Cheltuieli pentru informare şi publicitate pentru proiect (obligatorii)</t>
    </r>
  </si>
  <si>
    <t xml:space="preserve">TOTAL  CHELTUIELI ELIGIBILE DIRECTE </t>
  </si>
  <si>
    <t>TOTAL  CHELTUIELI ELIGIBILE DIRECTE MINUS ACHIZITIA DE SERVICII</t>
  </si>
  <si>
    <t>CHELTUIELI ELIGIBILE INDIRECTE</t>
  </si>
  <si>
    <t>6.Cheltuieli generale de administraţie (de regie)</t>
  </si>
  <si>
    <t>TOTAL  CHELTUIELI ELIGIBILE</t>
  </si>
  <si>
    <t xml:space="preserve">Taxa pe valoarea adăugată </t>
  </si>
  <si>
    <t>Cheltuieli aferente managementului de proiect  (obligatorii)</t>
  </si>
  <si>
    <t>Cheltuieli aferente auditului final al proiectului (obligatorii)</t>
  </si>
  <si>
    <t>…</t>
  </si>
  <si>
    <t>......................</t>
  </si>
  <si>
    <t>TOTAL GENERAL</t>
  </si>
  <si>
    <r>
      <t xml:space="preserve"> </t>
    </r>
    <r>
      <rPr>
        <sz val="11"/>
        <color theme="1"/>
        <rFont val="Times New Roman"/>
        <family val="1"/>
      </rPr>
      <t>Cheltuieli pentru servicii suport pentru  inovare</t>
    </r>
  </si>
  <si>
    <t xml:space="preserve">5 . Cheltuieli pentru infiinţarea  şi înregistrarea SPIN-OFF-urilor </t>
  </si>
  <si>
    <t>Total Cheltuieli pentru servicii de consultanta in domeniul inovarii si  pentru serviciile de sprijinire a inovării</t>
  </si>
  <si>
    <t>Damian</t>
  </si>
  <si>
    <t>Patricia</t>
  </si>
  <si>
    <t>Expert</t>
  </si>
  <si>
    <t>Cercetare</t>
  </si>
  <si>
    <t>Implementare</t>
  </si>
  <si>
    <t>Total Implementare</t>
  </si>
  <si>
    <t>Salariu</t>
  </si>
  <si>
    <t>Zile</t>
  </si>
  <si>
    <t>Brut (EURO)</t>
  </si>
  <si>
    <t>Total Cercetare</t>
  </si>
  <si>
    <t>TVA</t>
  </si>
  <si>
    <t>contrib</t>
  </si>
  <si>
    <t>contrib elig</t>
  </si>
  <si>
    <t>div2</t>
  </si>
  <si>
    <t>div7</t>
  </si>
  <si>
    <t>div 7</t>
  </si>
  <si>
    <t>div 20</t>
  </si>
  <si>
    <t>REGIE SALARII</t>
  </si>
  <si>
    <t>REGIE ECHIP</t>
  </si>
  <si>
    <t>REGIE TOTALA INIT</t>
  </si>
  <si>
    <t>REGIE TOTALA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</si>
</sst>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A0A0A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3" fontId="2" fillId="0" borderId="4" xfId="0" applyNumberFormat="1" applyFont="1" applyBorder="1" applyAlignment="1">
      <alignment vertical="center"/>
    </xf>
    <xf numFmtId="3" fontId="2" fillId="0" borderId="4" xfId="0" applyNumberFormat="1" applyFont="1" applyBorder="1" applyAlignment="1">
      <alignment vertical="center" wrapText="1"/>
    </xf>
    <xf numFmtId="3" fontId="2" fillId="0" borderId="0" xfId="0" applyNumberFormat="1" applyFont="1" applyBorder="1" applyAlignment="1">
      <alignment vertical="center"/>
    </xf>
    <xf numFmtId="0" fontId="0" fillId="0" borderId="0" xfId="0" applyBorder="1"/>
    <xf numFmtId="3" fontId="0" fillId="0" borderId="0" xfId="0" applyNumberFormat="1"/>
    <xf numFmtId="0" fontId="5" fillId="0" borderId="4" xfId="0" applyFont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7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 wrapText="1"/>
    </xf>
    <xf numFmtId="0" fontId="7" fillId="4" borderId="4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10" fontId="7" fillId="0" borderId="4" xfId="0" applyNumberFormat="1" applyFont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right" vertical="center"/>
    </xf>
    <xf numFmtId="3" fontId="7" fillId="0" borderId="9" xfId="0" applyNumberFormat="1" applyFont="1" applyBorder="1" applyAlignment="1">
      <alignment horizontal="right" vertical="center"/>
    </xf>
    <xf numFmtId="3" fontId="2" fillId="0" borderId="8" xfId="0" applyNumberFormat="1" applyFont="1" applyBorder="1" applyAlignment="1">
      <alignment vertical="center" wrapText="1"/>
    </xf>
    <xf numFmtId="3" fontId="7" fillId="0" borderId="4" xfId="0" applyNumberFormat="1" applyFont="1" applyBorder="1" applyAlignment="1">
      <alignment horizontal="right" vertical="center" wrapText="1"/>
    </xf>
    <xf numFmtId="3" fontId="7" fillId="0" borderId="4" xfId="0" applyNumberFormat="1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3" fontId="2" fillId="3" borderId="4" xfId="0" applyNumberFormat="1" applyFont="1" applyFill="1" applyBorder="1" applyAlignment="1">
      <alignment horizontal="left" vertical="center" wrapText="1" indent="1"/>
    </xf>
    <xf numFmtId="3" fontId="2" fillId="3" borderId="4" xfId="0" applyNumberFormat="1" applyFont="1" applyFill="1" applyBorder="1" applyAlignment="1">
      <alignment vertical="center" wrapText="1"/>
    </xf>
    <xf numFmtId="3" fontId="2" fillId="4" borderId="4" xfId="0" applyNumberFormat="1" applyFont="1" applyFill="1" applyBorder="1" applyAlignment="1">
      <alignment vertical="center" wrapText="1"/>
    </xf>
    <xf numFmtId="3" fontId="2" fillId="0" borderId="4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vertical="center"/>
    </xf>
    <xf numFmtId="3" fontId="2" fillId="4" borderId="4" xfId="0" applyNumberFormat="1" applyFont="1" applyFill="1" applyBorder="1" applyAlignment="1">
      <alignment vertical="center"/>
    </xf>
    <xf numFmtId="3" fontId="8" fillId="5" borderId="3" xfId="0" applyNumberFormat="1" applyFont="1" applyFill="1" applyBorder="1" applyAlignment="1">
      <alignment horizontal="right" vertical="center"/>
    </xf>
    <xf numFmtId="10" fontId="1" fillId="5" borderId="3" xfId="0" applyNumberFormat="1" applyFont="1" applyFill="1" applyBorder="1" applyAlignment="1">
      <alignment vertical="center" wrapText="1"/>
    </xf>
    <xf numFmtId="3" fontId="8" fillId="5" borderId="4" xfId="0" applyNumberFormat="1" applyFont="1" applyFill="1" applyBorder="1" applyAlignment="1">
      <alignment horizontal="right" vertical="center"/>
    </xf>
    <xf numFmtId="10" fontId="8" fillId="5" borderId="4" xfId="0" applyNumberFormat="1" applyFont="1" applyFill="1" applyBorder="1" applyAlignment="1">
      <alignment horizontal="right" vertical="center" wrapText="1"/>
    </xf>
    <xf numFmtId="10" fontId="1" fillId="5" borderId="4" xfId="0" applyNumberFormat="1" applyFont="1" applyFill="1" applyBorder="1" applyAlignment="1">
      <alignment vertical="center" wrapText="1"/>
    </xf>
    <xf numFmtId="10" fontId="7" fillId="4" borderId="4" xfId="0" applyNumberFormat="1" applyFont="1" applyFill="1" applyBorder="1" applyAlignment="1">
      <alignment horizontal="righ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3" fontId="7" fillId="6" borderId="4" xfId="0" applyNumberFormat="1" applyFont="1" applyFill="1" applyBorder="1" applyAlignment="1">
      <alignment horizontal="right" vertical="center" wrapText="1"/>
    </xf>
    <xf numFmtId="0" fontId="0" fillId="6" borderId="0" xfId="0" applyFill="1"/>
    <xf numFmtId="4" fontId="7" fillId="7" borderId="4" xfId="0" applyNumberFormat="1" applyFont="1" applyFill="1" applyBorder="1" applyAlignment="1">
      <alignment horizontal="right" vertical="center" wrapText="1"/>
    </xf>
    <xf numFmtId="4" fontId="7" fillId="0" borderId="4" xfId="0" applyNumberFormat="1" applyFont="1" applyBorder="1" applyAlignment="1">
      <alignment horizontal="right" vertical="center" wrapText="1"/>
    </xf>
    <xf numFmtId="4" fontId="0" fillId="0" borderId="0" xfId="0" applyNumberFormat="1"/>
    <xf numFmtId="4" fontId="0" fillId="0" borderId="0" xfId="0" applyNumberFormat="1" applyAlignment="1">
      <alignment wrapText="1"/>
    </xf>
    <xf numFmtId="4" fontId="1" fillId="2" borderId="8" xfId="0" applyNumberFormat="1" applyFont="1" applyFill="1" applyBorder="1" applyAlignment="1">
      <alignment horizontal="center" vertical="center" wrapText="1"/>
    </xf>
    <xf numFmtId="4" fontId="1" fillId="2" borderId="3" xfId="0" applyNumberFormat="1" applyFont="1" applyFill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vertical="center"/>
    </xf>
    <xf numFmtId="4" fontId="2" fillId="0" borderId="4" xfId="0" applyNumberFormat="1" applyFont="1" applyBorder="1" applyAlignment="1">
      <alignment vertical="center" wrapText="1"/>
    </xf>
    <xf numFmtId="4" fontId="2" fillId="0" borderId="2" xfId="0" applyNumberFormat="1" applyFont="1" applyBorder="1" applyAlignment="1">
      <alignment vertical="center"/>
    </xf>
    <xf numFmtId="4" fontId="7" fillId="0" borderId="4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vertical="center" wrapText="1"/>
    </xf>
    <xf numFmtId="4" fontId="7" fillId="0" borderId="9" xfId="0" applyNumberFormat="1" applyFont="1" applyBorder="1" applyAlignment="1">
      <alignment horizontal="right" vertical="center"/>
    </xf>
    <xf numFmtId="4" fontId="2" fillId="0" borderId="6" xfId="0" applyNumberFormat="1" applyFont="1" applyBorder="1" applyAlignment="1">
      <alignment vertical="center" wrapText="1"/>
    </xf>
    <xf numFmtId="4" fontId="1" fillId="5" borderId="8" xfId="0" applyNumberFormat="1" applyFont="1" applyFill="1" applyBorder="1" applyAlignment="1">
      <alignment horizontal="left" vertical="center" wrapText="1"/>
    </xf>
    <xf numFmtId="4" fontId="8" fillId="5" borderId="3" xfId="0" applyNumberFormat="1" applyFont="1" applyFill="1" applyBorder="1" applyAlignment="1">
      <alignment horizontal="right" vertical="center"/>
    </xf>
    <xf numFmtId="4" fontId="1" fillId="5" borderId="3" xfId="0" applyNumberFormat="1" applyFont="1" applyFill="1" applyBorder="1" applyAlignment="1">
      <alignment vertical="center" wrapText="1"/>
    </xf>
    <xf numFmtId="4" fontId="2" fillId="0" borderId="8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/>
    </xf>
    <xf numFmtId="4" fontId="2" fillId="0" borderId="2" xfId="0" applyNumberFormat="1" applyFont="1" applyBorder="1" applyAlignment="1">
      <alignment vertical="center" wrapText="1"/>
    </xf>
    <xf numFmtId="4" fontId="2" fillId="0" borderId="4" xfId="0" applyNumberFormat="1" applyFont="1" applyBorder="1" applyAlignment="1">
      <alignment horizontal="justify" vertical="center" wrapText="1"/>
    </xf>
    <xf numFmtId="4" fontId="5" fillId="0" borderId="4" xfId="0" applyNumberFormat="1" applyFont="1" applyBorder="1" applyAlignment="1">
      <alignment vertical="center" wrapText="1"/>
    </xf>
    <xf numFmtId="4" fontId="2" fillId="0" borderId="5" xfId="0" applyNumberFormat="1" applyFont="1" applyBorder="1" applyAlignment="1">
      <alignment vertical="center" wrapText="1"/>
    </xf>
    <xf numFmtId="4" fontId="8" fillId="5" borderId="4" xfId="0" applyNumberFormat="1" applyFont="1" applyFill="1" applyBorder="1" applyAlignment="1">
      <alignment horizontal="right" vertical="center"/>
    </xf>
    <xf numFmtId="4" fontId="8" fillId="5" borderId="4" xfId="0" applyNumberFormat="1" applyFont="1" applyFill="1" applyBorder="1" applyAlignment="1">
      <alignment horizontal="right" vertical="center" wrapText="1"/>
    </xf>
    <xf numFmtId="4" fontId="1" fillId="0" borderId="4" xfId="0" applyNumberFormat="1" applyFont="1" applyBorder="1" applyAlignment="1">
      <alignment vertical="center" wrapText="1"/>
    </xf>
    <xf numFmtId="4" fontId="1" fillId="5" borderId="4" xfId="0" applyNumberFormat="1" applyFont="1" applyFill="1" applyBorder="1" applyAlignment="1">
      <alignment horizontal="left" vertical="center" wrapText="1"/>
    </xf>
    <xf numFmtId="4" fontId="1" fillId="5" borderId="4" xfId="0" applyNumberFormat="1" applyFont="1" applyFill="1" applyBorder="1" applyAlignment="1">
      <alignment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4" fontId="2" fillId="4" borderId="4" xfId="0" applyNumberFormat="1" applyFont="1" applyFill="1" applyBorder="1" applyAlignment="1">
      <alignment vertical="center" wrapText="1"/>
    </xf>
    <xf numFmtId="4" fontId="2" fillId="3" borderId="4" xfId="0" applyNumberFormat="1" applyFont="1" applyFill="1" applyBorder="1" applyAlignment="1">
      <alignment horizontal="left" vertical="center" wrapText="1" indent="1"/>
    </xf>
    <xf numFmtId="4" fontId="2" fillId="0" borderId="4" xfId="0" applyNumberFormat="1" applyFont="1" applyBorder="1" applyAlignment="1">
      <alignment horizontal="left" vertical="center" wrapText="1" indent="1"/>
    </xf>
    <xf numFmtId="4" fontId="2" fillId="4" borderId="4" xfId="0" applyNumberFormat="1" applyFont="1" applyFill="1" applyBorder="1" applyAlignment="1">
      <alignment vertical="center"/>
    </xf>
    <xf numFmtId="4" fontId="2" fillId="3" borderId="4" xfId="0" applyNumberFormat="1" applyFont="1" applyFill="1" applyBorder="1" applyAlignment="1">
      <alignment vertical="center" wrapText="1"/>
    </xf>
    <xf numFmtId="4" fontId="7" fillId="0" borderId="4" xfId="0" applyNumberFormat="1" applyFont="1" applyBorder="1" applyAlignment="1">
      <alignment vertical="center" wrapText="1"/>
    </xf>
    <xf numFmtId="4" fontId="7" fillId="4" borderId="4" xfId="0" applyNumberFormat="1" applyFont="1" applyFill="1" applyBorder="1" applyAlignment="1">
      <alignment vertical="center" wrapText="1"/>
    </xf>
    <xf numFmtId="4" fontId="2" fillId="0" borderId="0" xfId="0" applyNumberFormat="1" applyFont="1" applyBorder="1" applyAlignment="1">
      <alignment vertical="center"/>
    </xf>
    <xf numFmtId="4" fontId="0" fillId="0" borderId="0" xfId="0" applyNumberFormat="1" applyBorder="1"/>
    <xf numFmtId="4" fontId="1" fillId="0" borderId="6" xfId="0" applyNumberFormat="1" applyFont="1" applyBorder="1" applyAlignment="1">
      <alignment vertical="center" wrapText="1"/>
    </xf>
    <xf numFmtId="4" fontId="1" fillId="0" borderId="7" xfId="0" applyNumberFormat="1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4" fontId="1" fillId="0" borderId="6" xfId="0" applyNumberFormat="1" applyFont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" fontId="1" fillId="0" borderId="6" xfId="0" applyNumberFormat="1" applyFont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4" fontId="2" fillId="0" borderId="6" xfId="0" applyNumberFormat="1" applyFont="1" applyBorder="1" applyAlignment="1">
      <alignment horizontal="justify" vertical="center" wrapText="1"/>
    </xf>
    <xf numFmtId="4" fontId="2" fillId="0" borderId="3" xfId="0" applyNumberFormat="1" applyFont="1" applyBorder="1" applyAlignment="1">
      <alignment horizontal="justify" vertical="center" wrapText="1"/>
    </xf>
    <xf numFmtId="4" fontId="1" fillId="0" borderId="6" xfId="0" applyNumberFormat="1" applyFont="1" applyBorder="1" applyAlignment="1">
      <alignment horizontal="justify" vertical="center" wrapText="1"/>
    </xf>
    <xf numFmtId="4" fontId="1" fillId="0" borderId="3" xfId="0" applyNumberFormat="1" applyFont="1" applyBorder="1" applyAlignment="1">
      <alignment horizontal="justify"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54"/>
  <sheetViews>
    <sheetView tabSelected="1" zoomScale="70" zoomScaleNormal="70" zoomScalePageLayoutView="85" workbookViewId="0">
      <selection activeCell="H50" sqref="H50"/>
    </sheetView>
  </sheetViews>
  <sheetFormatPr defaultColWidth="8.86328125" defaultRowHeight="14.25" x14ac:dyDescent="0.45"/>
  <cols>
    <col min="1" max="1" width="8.86328125" style="58"/>
    <col min="2" max="2" width="5.73046875" style="58" bestFit="1" customWidth="1"/>
    <col min="3" max="3" width="93" style="59" customWidth="1"/>
    <col min="4" max="8" width="16.73046875" style="58" customWidth="1"/>
    <col min="9" max="9" width="10" style="58" bestFit="1" customWidth="1"/>
    <col min="10" max="12" width="11.1328125" style="58" bestFit="1" customWidth="1"/>
    <col min="13" max="13" width="12" style="58" bestFit="1" customWidth="1"/>
    <col min="14" max="14" width="10.3984375" style="58" bestFit="1" customWidth="1"/>
    <col min="15" max="15" width="15.3984375" style="58" bestFit="1" customWidth="1"/>
    <col min="16" max="16" width="10" style="58" bestFit="1" customWidth="1"/>
    <col min="17" max="17" width="16.1328125" style="58" bestFit="1" customWidth="1"/>
    <col min="18" max="18" width="21.1328125" style="58" bestFit="1" customWidth="1"/>
    <col min="19" max="19" width="12.3984375" style="58" bestFit="1" customWidth="1"/>
    <col min="20" max="16384" width="8.86328125" style="58"/>
  </cols>
  <sheetData>
    <row r="1" spans="2:19" ht="14.65" thickBot="1" x14ac:dyDescent="0.5"/>
    <row r="2" spans="2:19" ht="54.4" thickBot="1" x14ac:dyDescent="0.5">
      <c r="B2" s="60" t="s">
        <v>0</v>
      </c>
      <c r="C2" s="61" t="s">
        <v>1</v>
      </c>
      <c r="D2" s="61" t="s">
        <v>14</v>
      </c>
      <c r="E2" s="61" t="s">
        <v>15</v>
      </c>
      <c r="F2" s="61" t="s">
        <v>16</v>
      </c>
      <c r="G2" s="61" t="s">
        <v>17</v>
      </c>
      <c r="H2" s="61" t="s">
        <v>18</v>
      </c>
      <c r="J2" s="58" t="s">
        <v>66</v>
      </c>
      <c r="L2" s="58" t="s">
        <v>63</v>
      </c>
      <c r="N2" s="58" t="s">
        <v>59</v>
      </c>
      <c r="O2" s="58" t="s">
        <v>60</v>
      </c>
      <c r="P2" s="58" t="s">
        <v>62</v>
      </c>
      <c r="Q2" s="58" t="s">
        <v>65</v>
      </c>
      <c r="R2" s="58" t="s">
        <v>61</v>
      </c>
      <c r="S2" s="58" t="s">
        <v>64</v>
      </c>
    </row>
    <row r="3" spans="2:19" ht="14.65" thickBot="1" x14ac:dyDescent="0.5">
      <c r="B3" s="62">
        <v>1</v>
      </c>
      <c r="C3" s="63">
        <v>2</v>
      </c>
      <c r="D3" s="63" t="s">
        <v>19</v>
      </c>
      <c r="E3" s="63">
        <v>4</v>
      </c>
      <c r="F3" s="63">
        <v>5</v>
      </c>
      <c r="G3" s="63">
        <v>6</v>
      </c>
      <c r="H3" s="64" t="s">
        <v>20</v>
      </c>
      <c r="J3" s="58">
        <f>840000-H42</f>
        <v>41772.580645161215</v>
      </c>
      <c r="L3" s="58">
        <f>(N3+O3)*20</f>
        <v>420</v>
      </c>
      <c r="M3" s="58" t="s">
        <v>56</v>
      </c>
      <c r="N3" s="58">
        <v>7</v>
      </c>
      <c r="O3" s="58">
        <v>14</v>
      </c>
      <c r="P3" s="58">
        <v>9000</v>
      </c>
      <c r="Q3" s="58">
        <f>N3*P3</f>
        <v>63000</v>
      </c>
      <c r="R3" s="58">
        <f>O3*P3</f>
        <v>126000</v>
      </c>
      <c r="S3" s="58">
        <v>1650</v>
      </c>
    </row>
    <row r="4" spans="2:19" ht="14.65" thickBot="1" x14ac:dyDescent="0.5">
      <c r="B4" s="97" t="s">
        <v>2</v>
      </c>
      <c r="C4" s="98"/>
      <c r="D4" s="98"/>
      <c r="E4" s="98"/>
      <c r="F4" s="98"/>
      <c r="G4" s="98"/>
      <c r="H4" s="99"/>
      <c r="L4" s="58">
        <f t="shared" ref="L4:L5" si="0">(N4+O4)*20</f>
        <v>220</v>
      </c>
      <c r="M4" s="58" t="s">
        <v>57</v>
      </c>
      <c r="N4" s="58">
        <v>0</v>
      </c>
      <c r="O4" s="58">
        <v>11</v>
      </c>
      <c r="P4" s="58">
        <v>6500</v>
      </c>
      <c r="Q4" s="58">
        <f t="shared" ref="Q4:Q5" si="1">N4*P4</f>
        <v>0</v>
      </c>
      <c r="R4" s="58">
        <f t="shared" ref="R4:R5" si="2">O4*P4</f>
        <v>71500</v>
      </c>
      <c r="S4" s="58">
        <v>1200</v>
      </c>
    </row>
    <row r="5" spans="2:19" ht="14.65" thickBot="1" x14ac:dyDescent="0.5">
      <c r="B5" s="100" t="s">
        <v>21</v>
      </c>
      <c r="C5" s="101"/>
      <c r="D5" s="65"/>
      <c r="E5" s="66"/>
      <c r="F5" s="65"/>
      <c r="G5" s="65"/>
      <c r="H5" s="65"/>
      <c r="L5" s="58">
        <f t="shared" si="0"/>
        <v>260</v>
      </c>
      <c r="M5" s="58" t="s">
        <v>58</v>
      </c>
      <c r="N5" s="58">
        <v>7</v>
      </c>
      <c r="O5" s="58">
        <v>6</v>
      </c>
      <c r="P5" s="58">
        <v>9000</v>
      </c>
      <c r="Q5" s="58">
        <f t="shared" si="1"/>
        <v>63000</v>
      </c>
      <c r="R5" s="58">
        <f t="shared" si="2"/>
        <v>54000</v>
      </c>
      <c r="S5" s="58">
        <v>1650</v>
      </c>
    </row>
    <row r="6" spans="2:19" ht="28.15" thickBot="1" x14ac:dyDescent="0.5">
      <c r="B6" s="67">
        <v>1.1000000000000001</v>
      </c>
      <c r="C6" s="66" t="s">
        <v>22</v>
      </c>
      <c r="D6" s="68">
        <f>E6</f>
        <v>126000</v>
      </c>
      <c r="E6" s="57">
        <f>Q6</f>
        <v>126000</v>
      </c>
      <c r="F6" s="68">
        <v>0</v>
      </c>
      <c r="G6" s="68">
        <v>0.9</v>
      </c>
      <c r="H6" s="68">
        <f>E6*G6</f>
        <v>113400</v>
      </c>
      <c r="Q6" s="58">
        <f>SUM(Q3:Q5)</f>
        <v>126000</v>
      </c>
      <c r="R6" s="58">
        <f>SUM(R3:R5)</f>
        <v>251500</v>
      </c>
    </row>
    <row r="7" spans="2:19" ht="14.65" thickBot="1" x14ac:dyDescent="0.5">
      <c r="B7" s="67">
        <v>1.2</v>
      </c>
      <c r="C7" s="66" t="s">
        <v>23</v>
      </c>
      <c r="D7" s="68">
        <f>E7</f>
        <v>141774.19354838709</v>
      </c>
      <c r="E7" s="57">
        <f>146500/1.24*1.2</f>
        <v>141774.19354838709</v>
      </c>
      <c r="F7" s="68">
        <v>0</v>
      </c>
      <c r="G7" s="68">
        <v>0.9</v>
      </c>
      <c r="H7" s="68">
        <f>E7*G7</f>
        <v>127596.77419354838</v>
      </c>
      <c r="J7" s="58">
        <f>E7/1.2*0.2</f>
        <v>23629.032258064515</v>
      </c>
      <c r="K7" s="58">
        <f>D7-J7</f>
        <v>118145.16129032258</v>
      </c>
      <c r="M7" s="58">
        <f>E7/2</f>
        <v>70887.096774193546</v>
      </c>
      <c r="N7" s="58" t="s">
        <v>69</v>
      </c>
    </row>
    <row r="8" spans="2:19" ht="14.65" thickBot="1" x14ac:dyDescent="0.5">
      <c r="B8" s="69">
        <v>1.3</v>
      </c>
      <c r="C8" s="69" t="s">
        <v>24</v>
      </c>
      <c r="D8" s="70"/>
      <c r="E8" s="69"/>
      <c r="F8" s="69"/>
      <c r="G8" s="69"/>
      <c r="H8" s="70"/>
    </row>
    <row r="9" spans="2:19" ht="14.65" thickBot="1" x14ac:dyDescent="0.5">
      <c r="B9" s="71"/>
      <c r="C9" s="72" t="s">
        <v>10</v>
      </c>
      <c r="D9" s="73">
        <f>D6+D7</f>
        <v>267774.19354838709</v>
      </c>
      <c r="E9" s="73">
        <f>E6+E7</f>
        <v>267774.19354838709</v>
      </c>
      <c r="F9" s="73">
        <f>F6+F7</f>
        <v>0</v>
      </c>
      <c r="G9" s="74">
        <v>0.9</v>
      </c>
      <c r="H9" s="73">
        <f>E9*G9</f>
        <v>240996.77419354839</v>
      </c>
      <c r="I9" s="58">
        <f>E9/E42</f>
        <v>0.30191492844023349</v>
      </c>
    </row>
    <row r="10" spans="2:19" ht="43.5" customHeight="1" thickBot="1" x14ac:dyDescent="0.5">
      <c r="B10" s="104" t="s">
        <v>25</v>
      </c>
      <c r="C10" s="105"/>
      <c r="D10" s="75"/>
      <c r="E10" s="76"/>
      <c r="F10" s="76"/>
      <c r="G10" s="76"/>
      <c r="H10" s="77"/>
    </row>
    <row r="11" spans="2:19" ht="28.15" thickBot="1" x14ac:dyDescent="0.5">
      <c r="B11" s="78">
        <v>2.1</v>
      </c>
      <c r="C11" s="66" t="s">
        <v>26</v>
      </c>
      <c r="D11" s="68">
        <f>E11</f>
        <v>299483.87096774194</v>
      </c>
      <c r="E11" s="57">
        <f>R6+50000/1.24*1.19</f>
        <v>299483.87096774194</v>
      </c>
      <c r="F11" s="57">
        <v>0</v>
      </c>
      <c r="G11" s="57">
        <v>0.9</v>
      </c>
      <c r="H11" s="68">
        <f>E11*G11</f>
        <v>269535.48387096776</v>
      </c>
    </row>
    <row r="12" spans="2:19" ht="28.15" thickBot="1" x14ac:dyDescent="0.5">
      <c r="B12" s="78">
        <v>2.2000000000000002</v>
      </c>
      <c r="C12" s="66" t="s">
        <v>27</v>
      </c>
      <c r="D12" s="68">
        <f>E12</f>
        <v>63870.967741935478</v>
      </c>
      <c r="E12" s="57">
        <f>66000/1.24*1.2</f>
        <v>63870.967741935478</v>
      </c>
      <c r="F12" s="57">
        <v>0</v>
      </c>
      <c r="G12" s="57">
        <v>0.9</v>
      </c>
      <c r="H12" s="68">
        <f>E12*G12</f>
        <v>57483.870967741932</v>
      </c>
      <c r="J12" s="58">
        <f>E12/1.2*0.2</f>
        <v>10645.161290322581</v>
      </c>
      <c r="K12" s="58">
        <f>D12-J12</f>
        <v>53225.806451612894</v>
      </c>
      <c r="M12" s="58">
        <f>E12/1.2</f>
        <v>53225.806451612902</v>
      </c>
    </row>
    <row r="13" spans="2:19" ht="28.15" thickBot="1" x14ac:dyDescent="0.5">
      <c r="B13" s="78">
        <v>2.2999999999999998</v>
      </c>
      <c r="C13" s="79" t="s">
        <v>28</v>
      </c>
      <c r="D13" s="66"/>
      <c r="E13" s="66"/>
      <c r="F13" s="66"/>
      <c r="G13" s="66"/>
      <c r="H13" s="65"/>
    </row>
    <row r="14" spans="2:19" ht="14.65" thickBot="1" x14ac:dyDescent="0.5">
      <c r="B14" s="78">
        <v>2.4</v>
      </c>
      <c r="C14" s="66" t="s">
        <v>29</v>
      </c>
      <c r="D14" s="66"/>
      <c r="E14" s="66"/>
      <c r="F14" s="66"/>
      <c r="G14" s="66"/>
      <c r="H14" s="65"/>
    </row>
    <row r="15" spans="2:19" ht="14.65" thickBot="1" x14ac:dyDescent="0.5">
      <c r="B15" s="78"/>
      <c r="C15" s="66" t="s">
        <v>30</v>
      </c>
      <c r="D15" s="68"/>
      <c r="E15" s="66"/>
      <c r="F15" s="66"/>
      <c r="G15" s="66"/>
      <c r="H15" s="68"/>
    </row>
    <row r="16" spans="2:19" ht="14.65" thickBot="1" x14ac:dyDescent="0.5">
      <c r="B16" s="78"/>
      <c r="C16" s="80" t="s">
        <v>31</v>
      </c>
      <c r="D16" s="68">
        <f>E16</f>
        <v>0</v>
      </c>
      <c r="E16" s="57">
        <f>50000/1.24*1.19-50000/1.24*1.19</f>
        <v>0</v>
      </c>
      <c r="F16" s="57">
        <v>0</v>
      </c>
      <c r="G16" s="57">
        <v>0.9</v>
      </c>
      <c r="H16" s="68">
        <f>E16*G16</f>
        <v>0</v>
      </c>
      <c r="J16" s="58">
        <f>E16/1.2*0.2</f>
        <v>0</v>
      </c>
      <c r="K16" s="58">
        <f>D16-J16</f>
        <v>0</v>
      </c>
      <c r="L16" s="58">
        <v>887.04</v>
      </c>
      <c r="M16" s="58">
        <f>L16*93</f>
        <v>82494.720000000001</v>
      </c>
    </row>
    <row r="17" spans="2:14" ht="14.65" thickBot="1" x14ac:dyDescent="0.5">
      <c r="B17" s="81"/>
      <c r="C17" s="72" t="s">
        <v>11</v>
      </c>
      <c r="D17" s="82">
        <f>D11+D12+D16</f>
        <v>363354.83870967739</v>
      </c>
      <c r="E17" s="82">
        <f t="shared" ref="E17:F17" si="3">E11+E12+E16</f>
        <v>363354.83870967739</v>
      </c>
      <c r="F17" s="82">
        <f t="shared" si="3"/>
        <v>0</v>
      </c>
      <c r="G17" s="83">
        <v>0.9</v>
      </c>
      <c r="H17" s="82">
        <f>E17*G17</f>
        <v>327019.35483870964</v>
      </c>
      <c r="I17" s="58">
        <f>E17/E42</f>
        <v>0.4096819363872774</v>
      </c>
      <c r="M17" s="58">
        <f>L16*22</f>
        <v>19514.879999999997</v>
      </c>
    </row>
    <row r="18" spans="2:14" ht="14.65" thickBot="1" x14ac:dyDescent="0.5">
      <c r="B18" s="104" t="s">
        <v>32</v>
      </c>
      <c r="C18" s="105"/>
      <c r="D18" s="66"/>
      <c r="E18" s="66"/>
      <c r="F18" s="66"/>
      <c r="G18" s="66"/>
      <c r="H18" s="65"/>
    </row>
    <row r="19" spans="2:14" ht="14.65" thickBot="1" x14ac:dyDescent="0.5">
      <c r="B19" s="78">
        <v>3.1</v>
      </c>
      <c r="C19" s="66" t="s">
        <v>33</v>
      </c>
      <c r="D19" s="66"/>
      <c r="E19" s="66"/>
      <c r="F19" s="66"/>
      <c r="G19" s="66"/>
      <c r="H19" s="65"/>
    </row>
    <row r="20" spans="2:14" ht="14.65" thickBot="1" x14ac:dyDescent="0.5">
      <c r="B20" s="78"/>
      <c r="C20" s="80" t="s">
        <v>34</v>
      </c>
      <c r="D20" s="68"/>
      <c r="E20" s="66"/>
      <c r="F20" s="66"/>
      <c r="G20" s="66"/>
      <c r="H20" s="68"/>
      <c r="L20" s="58">
        <f>251500/3</f>
        <v>83833.333333333328</v>
      </c>
      <c r="M20" s="58">
        <f>3/4*L20</f>
        <v>62875</v>
      </c>
    </row>
    <row r="21" spans="2:14" ht="14.65" thickBot="1" x14ac:dyDescent="0.5">
      <c r="B21" s="78"/>
      <c r="C21" s="80" t="s">
        <v>35</v>
      </c>
      <c r="D21" s="68"/>
      <c r="E21" s="66"/>
      <c r="F21" s="66"/>
      <c r="G21" s="66"/>
      <c r="H21" s="68"/>
      <c r="M21" s="58">
        <f>1/4*L20</f>
        <v>20958.333333333332</v>
      </c>
    </row>
    <row r="22" spans="2:14" ht="14.65" thickBot="1" x14ac:dyDescent="0.5">
      <c r="B22" s="78"/>
      <c r="C22" s="80" t="s">
        <v>36</v>
      </c>
      <c r="D22" s="68">
        <f>E22</f>
        <v>67741.93548387097</v>
      </c>
      <c r="E22" s="57">
        <f>70000/1.24*1.2</f>
        <v>67741.93548387097</v>
      </c>
      <c r="F22" s="57">
        <v>0</v>
      </c>
      <c r="G22" s="57">
        <v>0.9</v>
      </c>
      <c r="H22" s="68">
        <f>E22*G22</f>
        <v>60967.741935483871</v>
      </c>
      <c r="I22" s="58">
        <f>D22/1.24*0.24</f>
        <v>13111.342351716961</v>
      </c>
      <c r="J22" s="58">
        <f>E22/1.2*0.2</f>
        <v>11290.322580645163</v>
      </c>
      <c r="K22" s="58">
        <f>D22-J22</f>
        <v>56451.612903225803</v>
      </c>
      <c r="M22" s="58" t="s">
        <v>70</v>
      </c>
      <c r="N22" s="58">
        <f>D22/7</f>
        <v>9677.4193548387102</v>
      </c>
    </row>
    <row r="23" spans="2:14" ht="14.65" thickBot="1" x14ac:dyDescent="0.5">
      <c r="B23" s="78"/>
      <c r="C23" s="80" t="s">
        <v>37</v>
      </c>
      <c r="D23" s="68"/>
      <c r="E23" s="66"/>
      <c r="F23" s="66"/>
      <c r="G23" s="66"/>
      <c r="H23" s="68"/>
    </row>
    <row r="24" spans="2:14" ht="14.65" thickBot="1" x14ac:dyDescent="0.5">
      <c r="B24" s="78">
        <v>3.2</v>
      </c>
      <c r="C24" s="84" t="s">
        <v>53</v>
      </c>
      <c r="D24" s="66"/>
      <c r="E24" s="66"/>
      <c r="F24" s="66"/>
      <c r="G24" s="66"/>
      <c r="H24" s="65"/>
    </row>
    <row r="25" spans="2:14" ht="14.65" thickBot="1" x14ac:dyDescent="0.5">
      <c r="B25" s="78"/>
      <c r="C25" s="80" t="s">
        <v>38</v>
      </c>
      <c r="D25" s="68">
        <f>E25</f>
        <v>38709.677419354841</v>
      </c>
      <c r="E25" s="57">
        <f>40000/1.24*1.2</f>
        <v>38709.677419354841</v>
      </c>
      <c r="F25" s="57">
        <v>0</v>
      </c>
      <c r="G25" s="57">
        <v>0.9</v>
      </c>
      <c r="H25" s="68">
        <f>E25*G25</f>
        <v>34838.709677419356</v>
      </c>
      <c r="I25" s="58">
        <f>D25/1.24*0.24</f>
        <v>7492.1956295525497</v>
      </c>
      <c r="J25" s="58">
        <f>E25/1.2*0.2</f>
        <v>6451.6129032258068</v>
      </c>
      <c r="K25" s="58">
        <f>D25-J25</f>
        <v>32258.064516129034</v>
      </c>
    </row>
    <row r="26" spans="2:14" ht="14.65" thickBot="1" x14ac:dyDescent="0.5">
      <c r="B26" s="78"/>
      <c r="C26" s="80" t="s">
        <v>39</v>
      </c>
      <c r="D26" s="68"/>
      <c r="E26" s="66"/>
      <c r="F26" s="66"/>
      <c r="G26" s="66"/>
      <c r="H26" s="68"/>
    </row>
    <row r="27" spans="2:14" ht="14.65" thickBot="1" x14ac:dyDescent="0.5">
      <c r="B27" s="78"/>
      <c r="C27" s="80" t="s">
        <v>40</v>
      </c>
      <c r="D27" s="68"/>
      <c r="E27" s="66"/>
      <c r="F27" s="66"/>
      <c r="G27" s="66"/>
      <c r="H27" s="68"/>
    </row>
    <row r="28" spans="2:14" ht="14.65" thickBot="1" x14ac:dyDescent="0.5">
      <c r="B28" s="81"/>
      <c r="C28" s="85" t="s">
        <v>55</v>
      </c>
      <c r="D28" s="82">
        <f>D22+D25</f>
        <v>106451.61290322582</v>
      </c>
      <c r="E28" s="82">
        <f t="shared" ref="E28:F28" si="4">E22+E25</f>
        <v>106451.61290322582</v>
      </c>
      <c r="F28" s="82">
        <f t="shared" si="4"/>
        <v>0</v>
      </c>
      <c r="G28" s="86">
        <v>0.9</v>
      </c>
      <c r="H28" s="82">
        <f>E28*G28</f>
        <v>95806.451612903242</v>
      </c>
    </row>
    <row r="29" spans="2:14" ht="14.65" thickBot="1" x14ac:dyDescent="0.5">
      <c r="B29" s="104" t="s">
        <v>41</v>
      </c>
      <c r="C29" s="105"/>
      <c r="D29" s="57">
        <f>E29</f>
        <v>27000</v>
      </c>
      <c r="E29" s="57">
        <f>27900/1.24*1.2</f>
        <v>27000</v>
      </c>
      <c r="F29" s="57">
        <v>0</v>
      </c>
      <c r="G29" s="57">
        <v>0.9</v>
      </c>
      <c r="H29" s="68">
        <f>E29*G29</f>
        <v>24300</v>
      </c>
      <c r="I29" s="58">
        <f>D29/1.2*0.2</f>
        <v>4500</v>
      </c>
      <c r="J29" s="58">
        <f>E29/1.2*0.2</f>
        <v>4500</v>
      </c>
      <c r="K29" s="58">
        <f>D29-J29</f>
        <v>22500</v>
      </c>
    </row>
    <row r="30" spans="2:14" ht="14.65" thickBot="1" x14ac:dyDescent="0.5">
      <c r="B30" s="97" t="s">
        <v>54</v>
      </c>
      <c r="C30" s="99"/>
      <c r="D30" s="66"/>
      <c r="E30" s="66"/>
      <c r="F30" s="66"/>
      <c r="G30" s="66"/>
      <c r="H30" s="65"/>
    </row>
    <row r="31" spans="2:14" ht="14.65" thickBot="1" x14ac:dyDescent="0.5">
      <c r="B31" s="97" t="s">
        <v>42</v>
      </c>
      <c r="C31" s="99"/>
      <c r="D31" s="57">
        <f>D9+D17+D28+D29</f>
        <v>764580.6451612903</v>
      </c>
      <c r="E31" s="57">
        <f>E9+E17+E28+E29</f>
        <v>764580.6451612903</v>
      </c>
      <c r="F31" s="57">
        <f>F9+F17+F28+F29</f>
        <v>0</v>
      </c>
      <c r="G31" s="87">
        <v>0.9</v>
      </c>
      <c r="H31" s="68">
        <f>E31*G31</f>
        <v>688122.58064516133</v>
      </c>
    </row>
    <row r="32" spans="2:14" ht="14.65" thickBot="1" x14ac:dyDescent="0.5">
      <c r="B32" s="97" t="s">
        <v>43</v>
      </c>
      <c r="C32" s="99"/>
      <c r="D32" s="57">
        <f>D31-D25-D22-D7-D29</f>
        <v>489354.83870967739</v>
      </c>
      <c r="E32" s="57">
        <f>E31-E25-E22-E7-E29</f>
        <v>489354.83870967739</v>
      </c>
      <c r="F32" s="57">
        <f>F31-F25-F22-F7</f>
        <v>0</v>
      </c>
      <c r="G32" s="87">
        <v>0.9</v>
      </c>
      <c r="H32" s="68">
        <f>E32*G32</f>
        <v>440419.35483870964</v>
      </c>
    </row>
    <row r="33" spans="2:16" ht="14.65" thickBot="1" x14ac:dyDescent="0.5">
      <c r="B33" s="97" t="s">
        <v>44</v>
      </c>
      <c r="C33" s="99"/>
      <c r="D33" s="66"/>
      <c r="E33" s="66"/>
      <c r="F33" s="66"/>
      <c r="G33" s="88"/>
      <c r="H33" s="65"/>
    </row>
    <row r="34" spans="2:16" ht="14.65" thickBot="1" x14ac:dyDescent="0.5">
      <c r="B34" s="106" t="s">
        <v>45</v>
      </c>
      <c r="C34" s="107"/>
      <c r="D34" s="57">
        <f>E34</f>
        <v>122338.70967741935</v>
      </c>
      <c r="E34" s="57">
        <f>M35</f>
        <v>122338.70967741935</v>
      </c>
      <c r="F34" s="57">
        <v>0</v>
      </c>
      <c r="G34" s="87">
        <v>0.9</v>
      </c>
      <c r="H34" s="68">
        <f>E34*G34</f>
        <v>110104.83870967741</v>
      </c>
      <c r="L34" s="58" t="s">
        <v>71</v>
      </c>
      <c r="M34" s="58">
        <f>M35/7</f>
        <v>17476.958525345621</v>
      </c>
      <c r="O34" s="58" t="s">
        <v>72</v>
      </c>
      <c r="P34" s="58">
        <f>E34/20</f>
        <v>6116.9354838709678</v>
      </c>
    </row>
    <row r="35" spans="2:16" ht="14.65" thickBot="1" x14ac:dyDescent="0.5">
      <c r="B35" s="108" t="s">
        <v>46</v>
      </c>
      <c r="C35" s="109"/>
      <c r="D35" s="57">
        <f>D31+D34</f>
        <v>886919.3548387097</v>
      </c>
      <c r="E35" s="57">
        <f>E31+E34</f>
        <v>886919.3548387097</v>
      </c>
      <c r="F35" s="57">
        <v>0</v>
      </c>
      <c r="G35" s="87">
        <v>0.9</v>
      </c>
      <c r="H35" s="68">
        <f>E35*G35</f>
        <v>798227.41935483878</v>
      </c>
      <c r="M35" s="58">
        <f>E32*0.25</f>
        <v>122338.70967741935</v>
      </c>
    </row>
    <row r="36" spans="2:16" ht="14.65" thickBot="1" x14ac:dyDescent="0.5">
      <c r="B36" s="97" t="s">
        <v>3</v>
      </c>
      <c r="C36" s="98"/>
      <c r="D36" s="98"/>
      <c r="E36" s="98"/>
      <c r="F36" s="98"/>
      <c r="G36" s="98"/>
      <c r="H36" s="99"/>
    </row>
    <row r="37" spans="2:16" ht="14.65" thickBot="1" x14ac:dyDescent="0.5">
      <c r="B37" s="78">
        <v>1</v>
      </c>
      <c r="C37" s="66" t="s">
        <v>47</v>
      </c>
      <c r="D37" s="66"/>
      <c r="E37" s="89"/>
      <c r="F37" s="90"/>
      <c r="G37" s="88"/>
      <c r="H37" s="91"/>
    </row>
    <row r="38" spans="2:16" ht="14.65" thickBot="1" x14ac:dyDescent="0.5">
      <c r="B38" s="78">
        <v>2</v>
      </c>
      <c r="C38" s="66" t="s">
        <v>48</v>
      </c>
      <c r="D38" s="66">
        <f>13000/1.24*1.2</f>
        <v>12580.645161290322</v>
      </c>
      <c r="E38" s="92"/>
      <c r="F38" s="66">
        <f>D38</f>
        <v>12580.645161290322</v>
      </c>
      <c r="G38" s="88"/>
      <c r="H38" s="91"/>
      <c r="J38" s="58">
        <f t="shared" ref="J38:J39" si="5">E38/1.2*0.2</f>
        <v>0</v>
      </c>
      <c r="K38" s="58">
        <f t="shared" ref="K38:K39" si="6">D38-J38</f>
        <v>12580.645161290322</v>
      </c>
    </row>
    <row r="39" spans="2:16" ht="14.65" thickBot="1" x14ac:dyDescent="0.5">
      <c r="B39" s="78">
        <v>3</v>
      </c>
      <c r="C39" s="66" t="s">
        <v>49</v>
      </c>
      <c r="D39" s="66">
        <f>5400/1.24*1.2</f>
        <v>5225.8064516129034</v>
      </c>
      <c r="E39" s="92"/>
      <c r="F39" s="66">
        <f>D39</f>
        <v>5225.8064516129034</v>
      </c>
      <c r="G39" s="88"/>
      <c r="H39" s="91"/>
      <c r="J39" s="58">
        <f t="shared" si="5"/>
        <v>0</v>
      </c>
      <c r="K39" s="58">
        <f t="shared" si="6"/>
        <v>5225.8064516129034</v>
      </c>
    </row>
    <row r="40" spans="2:16" ht="14.65" thickBot="1" x14ac:dyDescent="0.5">
      <c r="B40" s="78" t="s">
        <v>50</v>
      </c>
      <c r="C40" s="66" t="s">
        <v>51</v>
      </c>
      <c r="D40" s="66"/>
      <c r="E40" s="92"/>
      <c r="F40" s="66"/>
      <c r="G40" s="88"/>
      <c r="H40" s="91"/>
    </row>
    <row r="41" spans="2:16" ht="14.65" thickBot="1" x14ac:dyDescent="0.5">
      <c r="B41" s="97" t="s">
        <v>4</v>
      </c>
      <c r="C41" s="99"/>
      <c r="D41" s="93">
        <f>D38+D39</f>
        <v>17806.451612903227</v>
      </c>
      <c r="E41" s="88"/>
      <c r="F41" s="93">
        <f>F38+F39</f>
        <v>17806.451612903227</v>
      </c>
      <c r="G41" s="88"/>
      <c r="H41" s="91"/>
    </row>
    <row r="42" spans="2:16" ht="14.65" thickBot="1" x14ac:dyDescent="0.5">
      <c r="B42" s="102" t="s">
        <v>52</v>
      </c>
      <c r="C42" s="103"/>
      <c r="D42" s="57">
        <f>D35+D41</f>
        <v>904725.80645161297</v>
      </c>
      <c r="E42" s="57">
        <f>E35</f>
        <v>886919.3548387097</v>
      </c>
      <c r="F42" s="57">
        <f>F41</f>
        <v>17806.451612903227</v>
      </c>
      <c r="G42" s="94"/>
      <c r="H42" s="56">
        <f>H35</f>
        <v>798227.41935483878</v>
      </c>
      <c r="J42" s="58">
        <v>798227.41935483878</v>
      </c>
    </row>
    <row r="44" spans="2:16" x14ac:dyDescent="0.45">
      <c r="G44" s="58" t="s">
        <v>67</v>
      </c>
      <c r="H44" s="58">
        <f>D42-H42</f>
        <v>106498.38709677418</v>
      </c>
    </row>
    <row r="45" spans="2:16" x14ac:dyDescent="0.45">
      <c r="G45" s="58" t="s">
        <v>68</v>
      </c>
      <c r="H45" s="58">
        <f>E42-H42</f>
        <v>88691.935483870911</v>
      </c>
    </row>
    <row r="47" spans="2:16" x14ac:dyDescent="0.45">
      <c r="D47" s="58" t="s">
        <v>5</v>
      </c>
      <c r="E47" s="95">
        <f>220000*4.5</f>
        <v>990000</v>
      </c>
    </row>
    <row r="48" spans="2:16" x14ac:dyDescent="0.45">
      <c r="D48" s="58" t="s">
        <v>6</v>
      </c>
      <c r="E48" s="95">
        <f>E47-E38</f>
        <v>990000</v>
      </c>
      <c r="G48" s="58" t="s">
        <v>73</v>
      </c>
      <c r="H48" s="58">
        <f>(E6+E11)*0.25</f>
        <v>106370.96774193548</v>
      </c>
    </row>
    <row r="49" spans="4:8" x14ac:dyDescent="0.45">
      <c r="D49" s="58" t="s">
        <v>7</v>
      </c>
      <c r="E49" s="96">
        <v>21</v>
      </c>
      <c r="G49" s="58" t="s">
        <v>74</v>
      </c>
      <c r="H49" s="58">
        <f>E12*0.25</f>
        <v>15967.741935483869</v>
      </c>
    </row>
    <row r="50" spans="4:8" x14ac:dyDescent="0.45">
      <c r="D50" s="58" t="s">
        <v>8</v>
      </c>
      <c r="E50" s="58">
        <v>1.5</v>
      </c>
      <c r="G50" s="58" t="s">
        <v>76</v>
      </c>
      <c r="H50" s="58">
        <f>H48+H49</f>
        <v>122338.70967741935</v>
      </c>
    </row>
    <row r="51" spans="4:8" x14ac:dyDescent="0.45">
      <c r="D51" s="58" t="s">
        <v>9</v>
      </c>
      <c r="E51" s="58">
        <v>15000</v>
      </c>
      <c r="G51" s="58" t="s">
        <v>75</v>
      </c>
      <c r="H51" s="58">
        <v>122439.51612903226</v>
      </c>
    </row>
    <row r="53" spans="4:8" x14ac:dyDescent="0.45">
      <c r="D53" s="58" t="s">
        <v>12</v>
      </c>
      <c r="E53" s="58">
        <v>0.5</v>
      </c>
    </row>
    <row r="54" spans="4:8" x14ac:dyDescent="0.45">
      <c r="D54" s="58" t="s">
        <v>13</v>
      </c>
      <c r="E54" s="58">
        <f>E50-E53</f>
        <v>1</v>
      </c>
    </row>
  </sheetData>
  <mergeCells count="14">
    <mergeCell ref="B4:H4"/>
    <mergeCell ref="B5:C5"/>
    <mergeCell ref="B42:C42"/>
    <mergeCell ref="B10:C10"/>
    <mergeCell ref="B18:C18"/>
    <mergeCell ref="B29:C29"/>
    <mergeCell ref="B30:C30"/>
    <mergeCell ref="B31:C31"/>
    <mergeCell ref="B32:C32"/>
    <mergeCell ref="B33:C33"/>
    <mergeCell ref="B34:C34"/>
    <mergeCell ref="B35:C35"/>
    <mergeCell ref="B36:H36"/>
    <mergeCell ref="B41:C41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54"/>
  <sheetViews>
    <sheetView topLeftCell="A8" zoomScale="70" zoomScaleNormal="70" zoomScalePageLayoutView="85" workbookViewId="0">
      <selection activeCell="D22" sqref="D22"/>
    </sheetView>
  </sheetViews>
  <sheetFormatPr defaultColWidth="8.86328125" defaultRowHeight="14.25" x14ac:dyDescent="0.45"/>
  <cols>
    <col min="2" max="2" width="4.86328125" bestFit="1" customWidth="1"/>
    <col min="3" max="3" width="93" style="19" customWidth="1"/>
    <col min="4" max="4" width="15.1328125" style="7" bestFit="1" customWidth="1"/>
    <col min="5" max="5" width="11.1328125" style="7" bestFit="1" customWidth="1"/>
    <col min="6" max="6" width="9.73046875" customWidth="1"/>
    <col min="7" max="7" width="12.3984375" customWidth="1"/>
    <col min="8" max="8" width="11.1328125" style="7" customWidth="1"/>
    <col min="13" max="13" width="10.265625" bestFit="1" customWidth="1"/>
    <col min="14" max="14" width="15.265625" bestFit="1" customWidth="1"/>
    <col min="16" max="16" width="16" bestFit="1" customWidth="1"/>
    <col min="17" max="17" width="21" bestFit="1" customWidth="1"/>
    <col min="18" max="18" width="12.265625" bestFit="1" customWidth="1"/>
  </cols>
  <sheetData>
    <row r="1" spans="2:18" ht="14.65" thickBot="1" x14ac:dyDescent="0.5"/>
    <row r="2" spans="2:18" ht="67.900000000000006" thickBot="1" x14ac:dyDescent="0.5">
      <c r="B2" s="9" t="s">
        <v>0</v>
      </c>
      <c r="C2" s="10" t="s">
        <v>1</v>
      </c>
      <c r="D2" s="28" t="s">
        <v>14</v>
      </c>
      <c r="E2" s="28" t="s">
        <v>15</v>
      </c>
      <c r="F2" s="10" t="s">
        <v>16</v>
      </c>
      <c r="G2" s="10" t="s">
        <v>17</v>
      </c>
      <c r="H2" s="28" t="s">
        <v>18</v>
      </c>
      <c r="K2" t="s">
        <v>63</v>
      </c>
      <c r="M2" t="s">
        <v>59</v>
      </c>
      <c r="N2" t="s">
        <v>60</v>
      </c>
      <c r="O2" t="s">
        <v>62</v>
      </c>
      <c r="P2" t="s">
        <v>65</v>
      </c>
      <c r="Q2" t="s">
        <v>61</v>
      </c>
      <c r="R2" t="s">
        <v>64</v>
      </c>
    </row>
    <row r="3" spans="2:18" ht="14.65" thickBot="1" x14ac:dyDescent="0.5">
      <c r="B3" s="11">
        <v>1</v>
      </c>
      <c r="C3" s="12">
        <v>2</v>
      </c>
      <c r="D3" s="29" t="s">
        <v>19</v>
      </c>
      <c r="E3" s="29">
        <v>4</v>
      </c>
      <c r="F3" s="12">
        <v>5</v>
      </c>
      <c r="G3" s="12">
        <v>6</v>
      </c>
      <c r="H3" s="40" t="s">
        <v>20</v>
      </c>
      <c r="J3" s="7">
        <f>840000-H42</f>
        <v>17081.249999999884</v>
      </c>
      <c r="K3" s="7">
        <f>(M3+N3)*20</f>
        <v>420</v>
      </c>
      <c r="L3" t="s">
        <v>56</v>
      </c>
      <c r="M3">
        <v>7</v>
      </c>
      <c r="N3">
        <v>14</v>
      </c>
      <c r="O3">
        <v>9000</v>
      </c>
      <c r="P3">
        <f>M3*O3</f>
        <v>63000</v>
      </c>
      <c r="Q3">
        <f>N3*O3</f>
        <v>126000</v>
      </c>
      <c r="R3">
        <v>1650</v>
      </c>
    </row>
    <row r="4" spans="2:18" ht="14.65" thickBot="1" x14ac:dyDescent="0.5">
      <c r="B4" s="110" t="s">
        <v>2</v>
      </c>
      <c r="C4" s="118"/>
      <c r="D4" s="118"/>
      <c r="E4" s="118"/>
      <c r="F4" s="118"/>
      <c r="G4" s="118"/>
      <c r="H4" s="111"/>
      <c r="K4" s="7">
        <f t="shared" ref="K4:K5" si="0">(M4+N4)*20</f>
        <v>220</v>
      </c>
      <c r="L4" t="s">
        <v>57</v>
      </c>
      <c r="M4">
        <v>0</v>
      </c>
      <c r="N4">
        <v>11</v>
      </c>
      <c r="O4">
        <v>6500</v>
      </c>
      <c r="P4">
        <f t="shared" ref="P4:P5" si="1">M4*O4</f>
        <v>0</v>
      </c>
      <c r="Q4">
        <f t="shared" ref="Q4:Q5" si="2">N4*O4</f>
        <v>71500</v>
      </c>
      <c r="R4">
        <v>1200</v>
      </c>
    </row>
    <row r="5" spans="2:18" ht="14.65" thickBot="1" x14ac:dyDescent="0.5">
      <c r="B5" s="119" t="s">
        <v>21</v>
      </c>
      <c r="C5" s="120"/>
      <c r="D5" s="3"/>
      <c r="E5" s="4"/>
      <c r="F5" s="13"/>
      <c r="G5" s="13"/>
      <c r="H5" s="3"/>
      <c r="K5" s="7">
        <f t="shared" si="0"/>
        <v>260</v>
      </c>
      <c r="L5" t="s">
        <v>58</v>
      </c>
      <c r="M5">
        <v>7</v>
      </c>
      <c r="N5">
        <v>6</v>
      </c>
      <c r="O5">
        <v>9000</v>
      </c>
      <c r="P5">
        <f t="shared" si="1"/>
        <v>63000</v>
      </c>
      <c r="Q5">
        <f t="shared" si="2"/>
        <v>54000</v>
      </c>
      <c r="R5">
        <v>1650</v>
      </c>
    </row>
    <row r="6" spans="2:18" ht="28.15" thickBot="1" x14ac:dyDescent="0.5">
      <c r="B6" s="15">
        <v>1.1000000000000001</v>
      </c>
      <c r="C6" s="14" t="s">
        <v>22</v>
      </c>
      <c r="D6" s="30">
        <f>E6</f>
        <v>248083.33333333334</v>
      </c>
      <c r="E6" s="33">
        <f>P6+146500/1.2</f>
        <v>248083.33333333334</v>
      </c>
      <c r="F6" s="20">
        <v>0</v>
      </c>
      <c r="G6" s="26">
        <v>0.9</v>
      </c>
      <c r="H6" s="30">
        <f>E6*G6</f>
        <v>223275</v>
      </c>
      <c r="P6">
        <f>SUM(P3:P5)</f>
        <v>126000</v>
      </c>
      <c r="Q6">
        <f>SUM(Q3:Q5)</f>
        <v>251500</v>
      </c>
    </row>
    <row r="7" spans="2:18" ht="14.65" thickBot="1" x14ac:dyDescent="0.5">
      <c r="B7" s="15">
        <v>1.2</v>
      </c>
      <c r="C7" s="14" t="s">
        <v>23</v>
      </c>
      <c r="D7" s="30"/>
      <c r="E7" s="33"/>
      <c r="F7" s="20">
        <v>0</v>
      </c>
      <c r="G7" s="26">
        <v>0.9</v>
      </c>
      <c r="H7" s="30">
        <f>E7*G7</f>
        <v>0</v>
      </c>
      <c r="I7">
        <f>D7/1.24*0.24</f>
        <v>0</v>
      </c>
    </row>
    <row r="8" spans="2:18" ht="14.65" thickBot="1" x14ac:dyDescent="0.5">
      <c r="B8" s="23">
        <v>1.3</v>
      </c>
      <c r="C8" s="23" t="s">
        <v>24</v>
      </c>
      <c r="D8" s="31"/>
      <c r="E8" s="35"/>
      <c r="F8" s="23"/>
      <c r="G8" s="24"/>
      <c r="H8" s="31"/>
    </row>
    <row r="9" spans="2:18" ht="14.65" thickBot="1" x14ac:dyDescent="0.5">
      <c r="B9" s="52"/>
      <c r="C9" s="49" t="s">
        <v>10</v>
      </c>
      <c r="D9" s="43">
        <f>D6+D7</f>
        <v>248083.33333333334</v>
      </c>
      <c r="E9" s="43">
        <f>E6+E7</f>
        <v>248083.33333333334</v>
      </c>
      <c r="F9" s="43">
        <f>F6+F7</f>
        <v>0</v>
      </c>
      <c r="G9" s="44">
        <v>0.9</v>
      </c>
      <c r="H9" s="43">
        <f>E9*G9</f>
        <v>223275</v>
      </c>
      <c r="I9" s="55">
        <f>E9/E42</f>
        <v>0.27132083209915925</v>
      </c>
    </row>
    <row r="10" spans="2:18" ht="26.45" customHeight="1" thickBot="1" x14ac:dyDescent="0.5">
      <c r="B10" s="121" t="s">
        <v>25</v>
      </c>
      <c r="C10" s="122"/>
      <c r="D10" s="32"/>
      <c r="E10" s="36"/>
      <c r="F10" s="53"/>
      <c r="G10" s="53"/>
      <c r="H10" s="41"/>
    </row>
    <row r="11" spans="2:18" ht="28.15" thickBot="1" x14ac:dyDescent="0.5">
      <c r="B11" s="1">
        <v>2.1</v>
      </c>
      <c r="C11" s="14" t="s">
        <v>26</v>
      </c>
      <c r="D11" s="30">
        <f>E11</f>
        <v>251500</v>
      </c>
      <c r="E11" s="33">
        <f>Q6</f>
        <v>251500</v>
      </c>
      <c r="F11" s="21">
        <v>0</v>
      </c>
      <c r="G11" s="27">
        <v>0.9</v>
      </c>
      <c r="H11" s="30">
        <f>E11*G11</f>
        <v>226350</v>
      </c>
    </row>
    <row r="12" spans="2:18" ht="28.15" thickBot="1" x14ac:dyDescent="0.5">
      <c r="B12" s="1">
        <v>2.2000000000000002</v>
      </c>
      <c r="C12" s="14" t="s">
        <v>27</v>
      </c>
      <c r="D12" s="30">
        <f>E12</f>
        <v>66000</v>
      </c>
      <c r="E12" s="33">
        <v>66000</v>
      </c>
      <c r="F12" s="21">
        <v>0</v>
      </c>
      <c r="G12" s="27">
        <v>0.9</v>
      </c>
      <c r="H12" s="30">
        <f>E12*G12</f>
        <v>59400</v>
      </c>
      <c r="I12">
        <f>D12/1.24*0.24</f>
        <v>12774.193548387097</v>
      </c>
    </row>
    <row r="13" spans="2:18" ht="28.15" thickBot="1" x14ac:dyDescent="0.5">
      <c r="B13" s="1">
        <v>2.2999999999999998</v>
      </c>
      <c r="C13" s="17" t="s">
        <v>28</v>
      </c>
      <c r="D13" s="4"/>
      <c r="E13" s="4"/>
      <c r="F13" s="14"/>
      <c r="G13" s="25"/>
      <c r="H13" s="3"/>
    </row>
    <row r="14" spans="2:18" ht="14.65" thickBot="1" x14ac:dyDescent="0.5">
      <c r="B14" s="1">
        <v>2.4</v>
      </c>
      <c r="C14" s="14" t="s">
        <v>29</v>
      </c>
      <c r="D14" s="4"/>
      <c r="E14" s="4"/>
      <c r="F14" s="14"/>
      <c r="G14" s="14"/>
      <c r="H14" s="3"/>
    </row>
    <row r="15" spans="2:18" ht="14.65" thickBot="1" x14ac:dyDescent="0.5">
      <c r="B15" s="1"/>
      <c r="C15" s="14" t="s">
        <v>30</v>
      </c>
      <c r="D15" s="30"/>
      <c r="E15" s="4"/>
      <c r="F15" s="14"/>
      <c r="G15" s="25"/>
      <c r="H15" s="30"/>
    </row>
    <row r="16" spans="2:18" ht="14.65" thickBot="1" x14ac:dyDescent="0.5">
      <c r="B16" s="1"/>
      <c r="C16" s="8" t="s">
        <v>31</v>
      </c>
      <c r="D16" s="30">
        <f>E16</f>
        <v>50000</v>
      </c>
      <c r="E16" s="33">
        <v>50000</v>
      </c>
      <c r="F16" s="21">
        <v>0</v>
      </c>
      <c r="G16" s="27">
        <v>0.9</v>
      </c>
      <c r="H16" s="30">
        <f>E16*G16</f>
        <v>45000</v>
      </c>
      <c r="I16">
        <f>D16/1.24*0.24</f>
        <v>9677.4193548387084</v>
      </c>
      <c r="K16">
        <v>887.04</v>
      </c>
      <c r="L16">
        <f>K16*93</f>
        <v>82494.720000000001</v>
      </c>
    </row>
    <row r="17" spans="2:12" ht="14.65" thickBot="1" x14ac:dyDescent="0.5">
      <c r="B17" s="16"/>
      <c r="C17" s="49" t="s">
        <v>11</v>
      </c>
      <c r="D17" s="45">
        <f>D11+D12+D16</f>
        <v>367500</v>
      </c>
      <c r="E17" s="45">
        <f t="shared" ref="E17:F17" si="3">E11+E12+E16</f>
        <v>367500</v>
      </c>
      <c r="F17" s="45">
        <f t="shared" si="3"/>
        <v>0</v>
      </c>
      <c r="G17" s="46">
        <v>0.9</v>
      </c>
      <c r="H17" s="45">
        <f>E17*G17</f>
        <v>330750</v>
      </c>
      <c r="I17">
        <f>E17/E42</f>
        <v>0.40192303310624528</v>
      </c>
      <c r="L17">
        <f>K16*22</f>
        <v>19514.879999999997</v>
      </c>
    </row>
    <row r="18" spans="2:12" ht="14.65" thickBot="1" x14ac:dyDescent="0.5">
      <c r="B18" s="121" t="s">
        <v>32</v>
      </c>
      <c r="C18" s="122"/>
      <c r="D18" s="4"/>
      <c r="E18" s="4"/>
      <c r="F18" s="14"/>
      <c r="G18" s="14"/>
      <c r="H18" s="3"/>
    </row>
    <row r="19" spans="2:12" ht="14.65" thickBot="1" x14ac:dyDescent="0.5">
      <c r="B19" s="1">
        <v>3.1</v>
      </c>
      <c r="C19" s="14" t="s">
        <v>33</v>
      </c>
      <c r="D19" s="4"/>
      <c r="E19" s="4"/>
      <c r="F19" s="14"/>
      <c r="G19" s="14"/>
      <c r="H19" s="3"/>
    </row>
    <row r="20" spans="2:12" ht="14.65" thickBot="1" x14ac:dyDescent="0.5">
      <c r="B20" s="1"/>
      <c r="C20" s="8" t="s">
        <v>34</v>
      </c>
      <c r="D20" s="30"/>
      <c r="E20" s="4"/>
      <c r="F20" s="14"/>
      <c r="G20" s="25"/>
      <c r="H20" s="30"/>
      <c r="K20">
        <f>251500/3</f>
        <v>83833.333333333328</v>
      </c>
      <c r="L20">
        <f>3/4*K20</f>
        <v>62875</v>
      </c>
    </row>
    <row r="21" spans="2:12" ht="14.65" thickBot="1" x14ac:dyDescent="0.5">
      <c r="B21" s="1"/>
      <c r="C21" s="8" t="s">
        <v>35</v>
      </c>
      <c r="D21" s="30"/>
      <c r="E21" s="4"/>
      <c r="F21" s="14"/>
      <c r="G21" s="25"/>
      <c r="H21" s="30"/>
      <c r="L21">
        <f>1/4*K20</f>
        <v>20958.333333333332</v>
      </c>
    </row>
    <row r="22" spans="2:12" ht="14.65" thickBot="1" x14ac:dyDescent="0.5">
      <c r="B22" s="1"/>
      <c r="C22" s="8" t="s">
        <v>36</v>
      </c>
      <c r="D22" s="30">
        <f>E22</f>
        <v>70000</v>
      </c>
      <c r="E22" s="33">
        <v>70000</v>
      </c>
      <c r="F22" s="21">
        <v>0</v>
      </c>
      <c r="G22" s="27">
        <v>0.9</v>
      </c>
      <c r="H22" s="30">
        <f>E22*G22</f>
        <v>63000</v>
      </c>
      <c r="I22">
        <f>D22/1.24*0.24</f>
        <v>13548.387096774193</v>
      </c>
    </row>
    <row r="23" spans="2:12" ht="14.65" thickBot="1" x14ac:dyDescent="0.5">
      <c r="B23" s="1"/>
      <c r="C23" s="8" t="s">
        <v>37</v>
      </c>
      <c r="D23" s="30"/>
      <c r="E23" s="4"/>
      <c r="F23" s="14"/>
      <c r="G23" s="25"/>
      <c r="H23" s="30"/>
    </row>
    <row r="24" spans="2:12" ht="14.65" thickBot="1" x14ac:dyDescent="0.5">
      <c r="B24" s="1">
        <v>3.2</v>
      </c>
      <c r="C24" s="51" t="s">
        <v>53</v>
      </c>
      <c r="D24" s="4"/>
      <c r="E24" s="4"/>
      <c r="F24" s="14"/>
      <c r="G24" s="14"/>
      <c r="H24" s="3"/>
    </row>
    <row r="25" spans="2:12" ht="14.65" thickBot="1" x14ac:dyDescent="0.5">
      <c r="B25" s="1"/>
      <c r="C25" s="8" t="s">
        <v>38</v>
      </c>
      <c r="D25" s="30">
        <f>E25</f>
        <v>40000</v>
      </c>
      <c r="E25" s="33">
        <v>40000</v>
      </c>
      <c r="F25" s="21">
        <v>0</v>
      </c>
      <c r="G25" s="27">
        <v>0.9</v>
      </c>
      <c r="H25" s="30">
        <f>E25*G25</f>
        <v>36000</v>
      </c>
      <c r="I25">
        <f>D25/1.24*0.24</f>
        <v>7741.9354838709678</v>
      </c>
    </row>
    <row r="26" spans="2:12" ht="14.65" thickBot="1" x14ac:dyDescent="0.5">
      <c r="B26" s="1"/>
      <c r="C26" s="8" t="s">
        <v>39</v>
      </c>
      <c r="D26" s="30"/>
      <c r="E26" s="4"/>
      <c r="F26" s="14"/>
      <c r="G26" s="25"/>
      <c r="H26" s="30"/>
    </row>
    <row r="27" spans="2:12" ht="14.65" thickBot="1" x14ac:dyDescent="0.5">
      <c r="B27" s="1"/>
      <c r="C27" s="8" t="s">
        <v>40</v>
      </c>
      <c r="D27" s="30"/>
      <c r="E27" s="4"/>
      <c r="F27" s="14"/>
      <c r="G27" s="25"/>
      <c r="H27" s="30"/>
    </row>
    <row r="28" spans="2:12" ht="14.65" thickBot="1" x14ac:dyDescent="0.5">
      <c r="B28" s="16"/>
      <c r="C28" s="50" t="s">
        <v>55</v>
      </c>
      <c r="D28" s="45">
        <f>D22+D25</f>
        <v>110000</v>
      </c>
      <c r="E28" s="45">
        <f t="shared" ref="E28:F28" si="4">E22+E25</f>
        <v>110000</v>
      </c>
      <c r="F28" s="45">
        <f t="shared" si="4"/>
        <v>0</v>
      </c>
      <c r="G28" s="47">
        <v>0.9</v>
      </c>
      <c r="H28" s="45">
        <f>E28*G28</f>
        <v>99000</v>
      </c>
    </row>
    <row r="29" spans="2:12" ht="14.65" thickBot="1" x14ac:dyDescent="0.5">
      <c r="B29" s="121" t="s">
        <v>41</v>
      </c>
      <c r="C29" s="122"/>
      <c r="D29" s="33">
        <f>E29</f>
        <v>27900</v>
      </c>
      <c r="E29" s="33">
        <v>27900</v>
      </c>
      <c r="F29" s="21">
        <v>0</v>
      </c>
      <c r="G29" s="27">
        <v>0.9</v>
      </c>
      <c r="H29" s="30">
        <f>E29*G29</f>
        <v>25110</v>
      </c>
      <c r="I29">
        <f>D29/1.24*0.24</f>
        <v>5400</v>
      </c>
    </row>
    <row r="30" spans="2:12" ht="14.65" thickBot="1" x14ac:dyDescent="0.5">
      <c r="B30" s="110" t="s">
        <v>54</v>
      </c>
      <c r="C30" s="111"/>
      <c r="D30" s="4"/>
      <c r="E30" s="4"/>
      <c r="F30" s="14"/>
      <c r="G30" s="14"/>
      <c r="H30" s="3"/>
    </row>
    <row r="31" spans="2:12" ht="14.65" thickBot="1" x14ac:dyDescent="0.5">
      <c r="B31" s="110" t="s">
        <v>42</v>
      </c>
      <c r="C31" s="111"/>
      <c r="D31" s="33">
        <f>D9+D17+D28+D29</f>
        <v>753483.33333333337</v>
      </c>
      <c r="E31" s="33">
        <f>E9+E17+E28+E29</f>
        <v>753483.33333333337</v>
      </c>
      <c r="F31" s="33">
        <f>F9+F17+F28+F29</f>
        <v>0</v>
      </c>
      <c r="G31" s="48">
        <v>0.9</v>
      </c>
      <c r="H31" s="30">
        <f>E31*G31</f>
        <v>678135</v>
      </c>
    </row>
    <row r="32" spans="2:12" ht="14.65" thickBot="1" x14ac:dyDescent="0.5">
      <c r="B32" s="110" t="s">
        <v>43</v>
      </c>
      <c r="C32" s="111"/>
      <c r="D32" s="33">
        <f>D31-D25-D22-D7</f>
        <v>643483.33333333337</v>
      </c>
      <c r="E32" s="33">
        <f>E31-E25-E22-E7</f>
        <v>643483.33333333337</v>
      </c>
      <c r="F32" s="33">
        <f>F31-F25-F22-F7</f>
        <v>0</v>
      </c>
      <c r="G32" s="48">
        <v>0.9</v>
      </c>
      <c r="H32" s="30">
        <f>E32*G32</f>
        <v>579135</v>
      </c>
    </row>
    <row r="33" spans="2:12" ht="14.65" thickBot="1" x14ac:dyDescent="0.5">
      <c r="B33" s="110" t="s">
        <v>44</v>
      </c>
      <c r="C33" s="111"/>
      <c r="D33" s="4"/>
      <c r="E33" s="4"/>
      <c r="F33" s="14"/>
      <c r="G33" s="2"/>
      <c r="H33" s="3"/>
    </row>
    <row r="34" spans="2:12" ht="14.65" thickBot="1" x14ac:dyDescent="0.5">
      <c r="B34" s="114" t="s">
        <v>45</v>
      </c>
      <c r="C34" s="115"/>
      <c r="D34" s="33">
        <f>E34</f>
        <v>160870.83333333334</v>
      </c>
      <c r="E34" s="33">
        <f>L35</f>
        <v>160870.83333333334</v>
      </c>
      <c r="F34" s="21">
        <v>0</v>
      </c>
      <c r="G34" s="48">
        <v>0.9</v>
      </c>
      <c r="H34" s="30">
        <f>E34*G34</f>
        <v>144783.75</v>
      </c>
    </row>
    <row r="35" spans="2:12" ht="14.65" thickBot="1" x14ac:dyDescent="0.5">
      <c r="B35" s="116" t="s">
        <v>46</v>
      </c>
      <c r="C35" s="117"/>
      <c r="D35" s="33">
        <f>D31+D34</f>
        <v>914354.16666666674</v>
      </c>
      <c r="E35" s="33">
        <f>E31+E34</f>
        <v>914354.16666666674</v>
      </c>
      <c r="F35" s="21">
        <v>0</v>
      </c>
      <c r="G35" s="48">
        <v>0.9</v>
      </c>
      <c r="H35" s="30">
        <f>E35*G35</f>
        <v>822918.75000000012</v>
      </c>
      <c r="L35">
        <f>E32*0.25</f>
        <v>160870.83333333334</v>
      </c>
    </row>
    <row r="36" spans="2:12" ht="14.65" thickBot="1" x14ac:dyDescent="0.5">
      <c r="B36" s="110" t="s">
        <v>3</v>
      </c>
      <c r="C36" s="118"/>
      <c r="D36" s="118"/>
      <c r="E36" s="118"/>
      <c r="F36" s="118"/>
      <c r="G36" s="118"/>
      <c r="H36" s="111"/>
    </row>
    <row r="37" spans="2:12" ht="14.65" thickBot="1" x14ac:dyDescent="0.5">
      <c r="B37" s="1">
        <v>1</v>
      </c>
      <c r="C37" s="14" t="s">
        <v>47</v>
      </c>
      <c r="D37" s="4"/>
      <c r="E37" s="37"/>
      <c r="F37" s="18"/>
      <c r="G37" s="2"/>
      <c r="H37" s="42"/>
    </row>
    <row r="38" spans="2:12" ht="14.65" thickBot="1" x14ac:dyDescent="0.5">
      <c r="B38" s="1">
        <v>2</v>
      </c>
      <c r="C38" s="14" t="s">
        <v>48</v>
      </c>
      <c r="D38" s="4">
        <v>13000</v>
      </c>
      <c r="E38" s="38"/>
      <c r="F38" s="4">
        <f>D38</f>
        <v>13000</v>
      </c>
      <c r="G38" s="2"/>
      <c r="H38" s="42"/>
    </row>
    <row r="39" spans="2:12" ht="14.65" thickBot="1" x14ac:dyDescent="0.5">
      <c r="B39" s="1">
        <v>3</v>
      </c>
      <c r="C39" s="14" t="s">
        <v>49</v>
      </c>
      <c r="D39" s="4">
        <v>5400</v>
      </c>
      <c r="E39" s="38"/>
      <c r="F39" s="4">
        <f>D39</f>
        <v>5400</v>
      </c>
      <c r="G39" s="2"/>
      <c r="H39" s="42"/>
    </row>
    <row r="40" spans="2:12" ht="14.65" thickBot="1" x14ac:dyDescent="0.5">
      <c r="B40" s="1" t="s">
        <v>50</v>
      </c>
      <c r="C40" s="14" t="s">
        <v>51</v>
      </c>
      <c r="D40" s="4"/>
      <c r="E40" s="38"/>
      <c r="F40" s="14"/>
      <c r="G40" s="2"/>
      <c r="H40" s="42"/>
    </row>
    <row r="41" spans="2:12" ht="14.65" thickBot="1" x14ac:dyDescent="0.5">
      <c r="B41" s="110" t="s">
        <v>4</v>
      </c>
      <c r="C41" s="111"/>
      <c r="D41" s="34">
        <f>D38+D39</f>
        <v>18400</v>
      </c>
      <c r="E41" s="39"/>
      <c r="F41" s="34">
        <f>F38+F39</f>
        <v>18400</v>
      </c>
      <c r="G41" s="2"/>
      <c r="H41" s="42"/>
    </row>
    <row r="42" spans="2:12" ht="14.65" thickBot="1" x14ac:dyDescent="0.5">
      <c r="B42" s="112" t="s">
        <v>52</v>
      </c>
      <c r="C42" s="113"/>
      <c r="D42" s="33">
        <f>D35+D41</f>
        <v>932754.16666666674</v>
      </c>
      <c r="E42" s="33">
        <f>E35</f>
        <v>914354.16666666674</v>
      </c>
      <c r="F42" s="33">
        <f>F41</f>
        <v>18400</v>
      </c>
      <c r="G42" s="22"/>
      <c r="H42" s="54">
        <f>H35</f>
        <v>822918.75000000012</v>
      </c>
    </row>
    <row r="47" spans="2:12" x14ac:dyDescent="0.45">
      <c r="D47" t="s">
        <v>5</v>
      </c>
      <c r="E47" s="5">
        <f>220000*4.5</f>
        <v>990000</v>
      </c>
    </row>
    <row r="48" spans="2:12" x14ac:dyDescent="0.45">
      <c r="D48" t="s">
        <v>6</v>
      </c>
      <c r="E48" s="5">
        <f>E47-E38</f>
        <v>990000</v>
      </c>
    </row>
    <row r="49" spans="4:5" x14ac:dyDescent="0.45">
      <c r="D49" t="s">
        <v>7</v>
      </c>
      <c r="E49" s="6">
        <v>21</v>
      </c>
    </row>
    <row r="50" spans="4:5" x14ac:dyDescent="0.45">
      <c r="D50" t="s">
        <v>8</v>
      </c>
      <c r="E50">
        <v>1.5</v>
      </c>
    </row>
    <row r="51" spans="4:5" x14ac:dyDescent="0.45">
      <c r="D51" t="s">
        <v>9</v>
      </c>
      <c r="E51" s="7">
        <v>15000</v>
      </c>
    </row>
    <row r="52" spans="4:5" x14ac:dyDescent="0.45">
      <c r="D52"/>
      <c r="E52"/>
    </row>
    <row r="53" spans="4:5" x14ac:dyDescent="0.45">
      <c r="D53" t="s">
        <v>12</v>
      </c>
      <c r="E53">
        <v>0.5</v>
      </c>
    </row>
    <row r="54" spans="4:5" x14ac:dyDescent="0.45">
      <c r="D54" t="s">
        <v>13</v>
      </c>
      <c r="E54">
        <f>E50-E53</f>
        <v>1</v>
      </c>
    </row>
  </sheetData>
  <mergeCells count="14">
    <mergeCell ref="B30:C30"/>
    <mergeCell ref="B4:H4"/>
    <mergeCell ref="B5:C5"/>
    <mergeCell ref="B10:C10"/>
    <mergeCell ref="B18:C18"/>
    <mergeCell ref="B29:C29"/>
    <mergeCell ref="B41:C41"/>
    <mergeCell ref="B42:C42"/>
    <mergeCell ref="B31:C31"/>
    <mergeCell ref="B32:C32"/>
    <mergeCell ref="B33:C33"/>
    <mergeCell ref="B34:C34"/>
    <mergeCell ref="B35:C35"/>
    <mergeCell ref="B36:H36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Buget Structura Noua</vt:lpstr>
      <vt:lpstr>VECHI</vt:lpstr>
      <vt:lpstr>'Buget Structura Noua'!Print_Area</vt:lpstr>
      <vt:lpstr>VECHI!Print_Area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Razvan</dc:creator>
  <cp:lastModifiedBy>Andrei</cp:lastModifiedBy>
  <cp:lastPrinted>2015-07-13T16:31:46Z</cp:lastPrinted>
  <dcterms:created xsi:type="dcterms:W3CDTF">2015-03-17T11:13:33Z</dcterms:created>
  <dcterms:modified xsi:type="dcterms:W3CDTF">2017-05-17T07:16:47Z</dcterms:modified>
</cp:coreProperties>
</file>