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13"/>
  <workbookPr autoCompressPictures="0"/>
  <mc:AlternateContent xmlns:mc="http://schemas.openxmlformats.org/markup-compatibility/2006">
    <mc:Choice Requires="x15">
      <x15ac:absPath xmlns:x15ac="http://schemas.microsoft.com/office/spreadsheetml/2010/11/ac" url="https://www.dropbox.com/4262006/DIVERSE_SHARE/STARTUP 2015/1. cloudifier/3. REDEPUNERE 3/"/>
    </mc:Choice>
  </mc:AlternateContent>
  <bookViews>
    <workbookView xWindow="0" yWindow="0" windowWidth="20480" windowHeight="15360"/>
  </bookViews>
  <sheets>
    <sheet name="Cloudifier" sheetId="2" r:id="rId1"/>
    <sheet name="Senzitivitate Cloudifier" sheetId="4" r:id="rId2"/>
  </sheets>
  <externalReferences>
    <externalReference r:id="rId3"/>
  </externalReferences>
  <calcPr calcId="158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24" i="2" l="1"/>
  <c r="C9" i="2"/>
  <c r="D24" i="2"/>
  <c r="E30" i="2"/>
  <c r="C27" i="2"/>
  <c r="C25" i="2"/>
  <c r="E12" i="2"/>
  <c r="E11" i="2"/>
  <c r="C6" i="2"/>
  <c r="C10" i="2"/>
  <c r="C26" i="2"/>
  <c r="D25" i="2"/>
  <c r="E31" i="2"/>
  <c r="E32" i="2"/>
  <c r="E13" i="2"/>
  <c r="E14" i="2"/>
  <c r="E15" i="2"/>
  <c r="E10" i="2"/>
  <c r="E5" i="2"/>
  <c r="E16" i="2"/>
  <c r="C22" i="2"/>
  <c r="D22" i="2"/>
  <c r="E29" i="2"/>
  <c r="C23" i="2"/>
  <c r="E33" i="2"/>
  <c r="E28" i="2"/>
  <c r="E42" i="2"/>
  <c r="F11" i="2"/>
  <c r="F12" i="2"/>
  <c r="F13" i="2"/>
  <c r="F14" i="2"/>
  <c r="F15" i="2"/>
  <c r="F10" i="2"/>
  <c r="F29" i="2"/>
  <c r="F30" i="2"/>
  <c r="F31" i="2"/>
  <c r="F32" i="2"/>
  <c r="F33" i="2"/>
  <c r="F28" i="2"/>
  <c r="F42" i="2"/>
  <c r="G11" i="2"/>
  <c r="G12" i="2"/>
  <c r="G13" i="2"/>
  <c r="G14" i="2"/>
  <c r="G15" i="2"/>
  <c r="G10" i="2"/>
  <c r="G29" i="2"/>
  <c r="G30" i="2"/>
  <c r="G31" i="2"/>
  <c r="G32" i="2"/>
  <c r="G33" i="2"/>
  <c r="G28" i="2"/>
  <c r="G42" i="2"/>
  <c r="H11" i="2"/>
  <c r="H12" i="2"/>
  <c r="H13" i="2"/>
  <c r="H14" i="2"/>
  <c r="H15" i="2"/>
  <c r="H10" i="2"/>
  <c r="H29" i="2"/>
  <c r="H30" i="2"/>
  <c r="H31" i="2"/>
  <c r="H32" i="2"/>
  <c r="H33" i="2"/>
  <c r="H28" i="2"/>
  <c r="H42" i="2"/>
  <c r="I11" i="2"/>
  <c r="I12" i="2"/>
  <c r="I13" i="2"/>
  <c r="I14" i="2"/>
  <c r="I15" i="2"/>
  <c r="I10" i="2"/>
  <c r="I29" i="2"/>
  <c r="I30" i="2"/>
  <c r="I31" i="2"/>
  <c r="I32" i="2"/>
  <c r="I33" i="2"/>
  <c r="I28" i="2"/>
  <c r="I42" i="2"/>
  <c r="F6" i="4"/>
  <c r="G6" i="4"/>
  <c r="H6" i="4"/>
  <c r="I6" i="4"/>
  <c r="E6" i="4"/>
  <c r="F5" i="4"/>
  <c r="G5" i="4"/>
  <c r="H5" i="4"/>
  <c r="I5" i="4"/>
  <c r="E5" i="4"/>
  <c r="C21" i="2"/>
  <c r="D27" i="2"/>
  <c r="D23" i="2"/>
  <c r="D26" i="2"/>
  <c r="D21" i="2"/>
  <c r="D4" i="4"/>
  <c r="E118" i="4"/>
  <c r="E119" i="4"/>
  <c r="F118" i="4"/>
  <c r="F119" i="4"/>
  <c r="G118" i="4"/>
  <c r="G119" i="4"/>
  <c r="H118" i="4"/>
  <c r="H119" i="4"/>
  <c r="I118" i="4"/>
  <c r="I119" i="4"/>
  <c r="I121" i="4"/>
  <c r="D17" i="4"/>
  <c r="I122" i="4"/>
  <c r="D120" i="4"/>
  <c r="E120" i="4"/>
  <c r="F120" i="4"/>
  <c r="G120" i="4"/>
  <c r="H120" i="4"/>
  <c r="I120" i="4"/>
  <c r="F121" i="4"/>
  <c r="D10" i="4"/>
  <c r="E10" i="4"/>
  <c r="F10" i="4"/>
  <c r="G10" i="4"/>
  <c r="H10" i="4"/>
  <c r="I10" i="4"/>
  <c r="D14" i="4"/>
  <c r="F122" i="4"/>
  <c r="D121" i="4"/>
  <c r="E121" i="4"/>
  <c r="D13" i="4"/>
  <c r="E122" i="4"/>
  <c r="D122" i="4"/>
  <c r="A50" i="4"/>
  <c r="A55" i="4"/>
  <c r="A56" i="4"/>
  <c r="A61" i="4"/>
  <c r="A62" i="4"/>
  <c r="A67" i="4"/>
  <c r="A68" i="4"/>
  <c r="A73" i="4"/>
  <c r="A74" i="4"/>
  <c r="A79" i="4"/>
  <c r="A80" i="4"/>
  <c r="A85" i="4"/>
  <c r="A87" i="4"/>
  <c r="A92" i="4"/>
  <c r="A93" i="4"/>
  <c r="A98" i="4"/>
  <c r="A99" i="4"/>
  <c r="A104" i="4"/>
  <c r="A105" i="4"/>
  <c r="A110" i="4"/>
  <c r="A111" i="4"/>
  <c r="A116" i="4"/>
  <c r="A117" i="4"/>
  <c r="A122" i="4"/>
  <c r="I117" i="4"/>
  <c r="F117" i="4"/>
  <c r="E117" i="4"/>
  <c r="D117" i="4"/>
  <c r="B117" i="4"/>
  <c r="E112" i="4"/>
  <c r="E113" i="4"/>
  <c r="F112" i="4"/>
  <c r="F113" i="4"/>
  <c r="G112" i="4"/>
  <c r="G113" i="4"/>
  <c r="H112" i="4"/>
  <c r="H113" i="4"/>
  <c r="I112" i="4"/>
  <c r="I113" i="4"/>
  <c r="I115" i="4"/>
  <c r="I116" i="4"/>
  <c r="D114" i="4"/>
  <c r="E114" i="4"/>
  <c r="F114" i="4"/>
  <c r="G114" i="4"/>
  <c r="H114" i="4"/>
  <c r="I114" i="4"/>
  <c r="F115" i="4"/>
  <c r="F116" i="4"/>
  <c r="D115" i="4"/>
  <c r="E115" i="4"/>
  <c r="E116" i="4"/>
  <c r="D116" i="4"/>
  <c r="I111" i="4"/>
  <c r="F111" i="4"/>
  <c r="E111" i="4"/>
  <c r="D111" i="4"/>
  <c r="B111" i="4"/>
  <c r="E106" i="4"/>
  <c r="E107" i="4"/>
  <c r="F106" i="4"/>
  <c r="F107" i="4"/>
  <c r="G106" i="4"/>
  <c r="G107" i="4"/>
  <c r="H106" i="4"/>
  <c r="H107" i="4"/>
  <c r="I106" i="4"/>
  <c r="I107" i="4"/>
  <c r="I109" i="4"/>
  <c r="I110" i="4"/>
  <c r="D108" i="4"/>
  <c r="E108" i="4"/>
  <c r="F108" i="4"/>
  <c r="G108" i="4"/>
  <c r="H108" i="4"/>
  <c r="I108" i="4"/>
  <c r="F109" i="4"/>
  <c r="F110" i="4"/>
  <c r="D109" i="4"/>
  <c r="E109" i="4"/>
  <c r="E110" i="4"/>
  <c r="D110" i="4"/>
  <c r="I105" i="4"/>
  <c r="F105" i="4"/>
  <c r="E105" i="4"/>
  <c r="D105" i="4"/>
  <c r="B105" i="4"/>
  <c r="E100" i="4"/>
  <c r="E101" i="4"/>
  <c r="F100" i="4"/>
  <c r="F101" i="4"/>
  <c r="G100" i="4"/>
  <c r="G101" i="4"/>
  <c r="H100" i="4"/>
  <c r="H101" i="4"/>
  <c r="I100" i="4"/>
  <c r="I101" i="4"/>
  <c r="I103" i="4"/>
  <c r="I104" i="4"/>
  <c r="D102" i="4"/>
  <c r="E102" i="4"/>
  <c r="F102" i="4"/>
  <c r="G102" i="4"/>
  <c r="H102" i="4"/>
  <c r="I102" i="4"/>
  <c r="F103" i="4"/>
  <c r="F104" i="4"/>
  <c r="D103" i="4"/>
  <c r="E103" i="4"/>
  <c r="E104" i="4"/>
  <c r="D104" i="4"/>
  <c r="I99" i="4"/>
  <c r="F99" i="4"/>
  <c r="E99" i="4"/>
  <c r="D99" i="4"/>
  <c r="B99" i="4"/>
  <c r="E94" i="4"/>
  <c r="E95" i="4"/>
  <c r="F94" i="4"/>
  <c r="F95" i="4"/>
  <c r="G94" i="4"/>
  <c r="G95" i="4"/>
  <c r="H94" i="4"/>
  <c r="H95" i="4"/>
  <c r="I94" i="4"/>
  <c r="I95" i="4"/>
  <c r="I97" i="4"/>
  <c r="I98" i="4"/>
  <c r="D96" i="4"/>
  <c r="E96" i="4"/>
  <c r="F96" i="4"/>
  <c r="G96" i="4"/>
  <c r="H96" i="4"/>
  <c r="I96" i="4"/>
  <c r="F97" i="4"/>
  <c r="F98" i="4"/>
  <c r="D97" i="4"/>
  <c r="E97" i="4"/>
  <c r="E98" i="4"/>
  <c r="D98" i="4"/>
  <c r="I93" i="4"/>
  <c r="F93" i="4"/>
  <c r="E93" i="4"/>
  <c r="D93" i="4"/>
  <c r="B93" i="4"/>
  <c r="E88" i="4"/>
  <c r="E89" i="4"/>
  <c r="F88" i="4"/>
  <c r="F89" i="4"/>
  <c r="G88" i="4"/>
  <c r="G89" i="4"/>
  <c r="H88" i="4"/>
  <c r="H89" i="4"/>
  <c r="I88" i="4"/>
  <c r="I89" i="4"/>
  <c r="I91" i="4"/>
  <c r="I92" i="4"/>
  <c r="D90" i="4"/>
  <c r="E90" i="4"/>
  <c r="F90" i="4"/>
  <c r="G90" i="4"/>
  <c r="H90" i="4"/>
  <c r="I90" i="4"/>
  <c r="F91" i="4"/>
  <c r="F92" i="4"/>
  <c r="D91" i="4"/>
  <c r="E91" i="4"/>
  <c r="E92" i="4"/>
  <c r="D92" i="4"/>
  <c r="I87" i="4"/>
  <c r="F87" i="4"/>
  <c r="E87" i="4"/>
  <c r="D87" i="4"/>
  <c r="B87" i="4"/>
  <c r="E81" i="4"/>
  <c r="E82" i="4"/>
  <c r="F81" i="4"/>
  <c r="F82" i="4"/>
  <c r="G81" i="4"/>
  <c r="G82" i="4"/>
  <c r="H81" i="4"/>
  <c r="H82" i="4"/>
  <c r="I81" i="4"/>
  <c r="I82" i="4"/>
  <c r="I84" i="4"/>
  <c r="I85" i="4"/>
  <c r="D83" i="4"/>
  <c r="E83" i="4"/>
  <c r="F83" i="4"/>
  <c r="G83" i="4"/>
  <c r="H83" i="4"/>
  <c r="I83" i="4"/>
  <c r="F84" i="4"/>
  <c r="F85" i="4"/>
  <c r="D84" i="4"/>
  <c r="E84" i="4"/>
  <c r="E85" i="4"/>
  <c r="D85" i="4"/>
  <c r="I80" i="4"/>
  <c r="F80" i="4"/>
  <c r="E80" i="4"/>
  <c r="D80" i="4"/>
  <c r="B80" i="4"/>
  <c r="E75" i="4"/>
  <c r="E76" i="4"/>
  <c r="F75" i="4"/>
  <c r="F76" i="4"/>
  <c r="G75" i="4"/>
  <c r="G76" i="4"/>
  <c r="H75" i="4"/>
  <c r="H76" i="4"/>
  <c r="I75" i="4"/>
  <c r="I76" i="4"/>
  <c r="I78" i="4"/>
  <c r="I79" i="4"/>
  <c r="D77" i="4"/>
  <c r="E77" i="4"/>
  <c r="F77" i="4"/>
  <c r="G77" i="4"/>
  <c r="H77" i="4"/>
  <c r="I77" i="4"/>
  <c r="F78" i="4"/>
  <c r="F79" i="4"/>
  <c r="D78" i="4"/>
  <c r="E78" i="4"/>
  <c r="E79" i="4"/>
  <c r="D79" i="4"/>
  <c r="I74" i="4"/>
  <c r="F74" i="4"/>
  <c r="E74" i="4"/>
  <c r="D74" i="4"/>
  <c r="B74" i="4"/>
  <c r="E69" i="4"/>
  <c r="E70" i="4"/>
  <c r="F69" i="4"/>
  <c r="F70" i="4"/>
  <c r="G69" i="4"/>
  <c r="G70" i="4"/>
  <c r="H69" i="4"/>
  <c r="H70" i="4"/>
  <c r="I69" i="4"/>
  <c r="I70" i="4"/>
  <c r="I72" i="4"/>
  <c r="I73" i="4"/>
  <c r="D71" i="4"/>
  <c r="E71" i="4"/>
  <c r="F71" i="4"/>
  <c r="G71" i="4"/>
  <c r="H71" i="4"/>
  <c r="I71" i="4"/>
  <c r="F72" i="4"/>
  <c r="F73" i="4"/>
  <c r="D72" i="4"/>
  <c r="E72" i="4"/>
  <c r="E73" i="4"/>
  <c r="D73" i="4"/>
  <c r="I68" i="4"/>
  <c r="F68" i="4"/>
  <c r="E68" i="4"/>
  <c r="D68" i="4"/>
  <c r="B68" i="4"/>
  <c r="E63" i="4"/>
  <c r="E64" i="4"/>
  <c r="F63" i="4"/>
  <c r="F64" i="4"/>
  <c r="G63" i="4"/>
  <c r="G64" i="4"/>
  <c r="H63" i="4"/>
  <c r="H64" i="4"/>
  <c r="I63" i="4"/>
  <c r="I64" i="4"/>
  <c r="I66" i="4"/>
  <c r="I67" i="4"/>
  <c r="D65" i="4"/>
  <c r="E65" i="4"/>
  <c r="F65" i="4"/>
  <c r="G65" i="4"/>
  <c r="H65" i="4"/>
  <c r="I65" i="4"/>
  <c r="F66" i="4"/>
  <c r="F67" i="4"/>
  <c r="D66" i="4"/>
  <c r="E66" i="4"/>
  <c r="E67" i="4"/>
  <c r="D67" i="4"/>
  <c r="I62" i="4"/>
  <c r="F62" i="4"/>
  <c r="E62" i="4"/>
  <c r="D62" i="4"/>
  <c r="B62" i="4"/>
  <c r="E57" i="4"/>
  <c r="E58" i="4"/>
  <c r="F57" i="4"/>
  <c r="F58" i="4"/>
  <c r="G57" i="4"/>
  <c r="G58" i="4"/>
  <c r="H57" i="4"/>
  <c r="H58" i="4"/>
  <c r="I57" i="4"/>
  <c r="I58" i="4"/>
  <c r="I60" i="4"/>
  <c r="I61" i="4"/>
  <c r="D59" i="4"/>
  <c r="E59" i="4"/>
  <c r="F59" i="4"/>
  <c r="G59" i="4"/>
  <c r="H59" i="4"/>
  <c r="I59" i="4"/>
  <c r="F60" i="4"/>
  <c r="F61" i="4"/>
  <c r="D60" i="4"/>
  <c r="E60" i="4"/>
  <c r="E61" i="4"/>
  <c r="D61" i="4"/>
  <c r="I56" i="4"/>
  <c r="F56" i="4"/>
  <c r="E56" i="4"/>
  <c r="D56" i="4"/>
  <c r="B56" i="4"/>
  <c r="E51" i="4"/>
  <c r="E52" i="4"/>
  <c r="F51" i="4"/>
  <c r="F52" i="4"/>
  <c r="G51" i="4"/>
  <c r="G52" i="4"/>
  <c r="H51" i="4"/>
  <c r="H52" i="4"/>
  <c r="I51" i="4"/>
  <c r="I52" i="4"/>
  <c r="I54" i="4"/>
  <c r="I55" i="4"/>
  <c r="D53" i="4"/>
  <c r="E53" i="4"/>
  <c r="F53" i="4"/>
  <c r="G53" i="4"/>
  <c r="H53" i="4"/>
  <c r="I53" i="4"/>
  <c r="F54" i="4"/>
  <c r="F55" i="4"/>
  <c r="D54" i="4"/>
  <c r="E54" i="4"/>
  <c r="E55" i="4"/>
  <c r="D55" i="4"/>
  <c r="I50" i="4"/>
  <c r="F50" i="4"/>
  <c r="E50" i="4"/>
  <c r="D50" i="4"/>
  <c r="B50" i="4"/>
  <c r="E7" i="4"/>
  <c r="F7" i="4"/>
  <c r="G7" i="4"/>
  <c r="H7" i="4"/>
  <c r="I7" i="4"/>
  <c r="I47" i="4"/>
  <c r="I48" i="4"/>
  <c r="F47" i="4"/>
  <c r="F48" i="4"/>
  <c r="D45" i="4"/>
  <c r="D47" i="4"/>
  <c r="E47" i="4"/>
  <c r="E48" i="4"/>
  <c r="D48" i="4"/>
  <c r="E45" i="4"/>
  <c r="F45" i="4"/>
  <c r="G45" i="4"/>
  <c r="H45" i="4"/>
  <c r="I45" i="4"/>
  <c r="I46" i="4"/>
  <c r="H46" i="4"/>
  <c r="G46" i="4"/>
  <c r="F46" i="4"/>
  <c r="E46" i="4"/>
  <c r="D46" i="4"/>
  <c r="I44" i="4"/>
  <c r="F44" i="4"/>
  <c r="E44" i="4"/>
  <c r="D44" i="4"/>
  <c r="B44" i="4"/>
  <c r="I42" i="4"/>
  <c r="I43" i="4"/>
  <c r="F42" i="4"/>
  <c r="F43" i="4"/>
  <c r="D40" i="4"/>
  <c r="D42" i="4"/>
  <c r="E42" i="4"/>
  <c r="E43" i="4"/>
  <c r="D43" i="4"/>
  <c r="E40" i="4"/>
  <c r="F40" i="4"/>
  <c r="G40" i="4"/>
  <c r="H40" i="4"/>
  <c r="I40" i="4"/>
  <c r="I41" i="4"/>
  <c r="H41" i="4"/>
  <c r="G41" i="4"/>
  <c r="F41" i="4"/>
  <c r="E41" i="4"/>
  <c r="D41" i="4"/>
  <c r="I39" i="4"/>
  <c r="F39" i="4"/>
  <c r="E39" i="4"/>
  <c r="D39" i="4"/>
  <c r="B39" i="4"/>
  <c r="I37" i="4"/>
  <c r="I38" i="4"/>
  <c r="F37" i="4"/>
  <c r="F38" i="4"/>
  <c r="D35" i="4"/>
  <c r="D37" i="4"/>
  <c r="E37" i="4"/>
  <c r="E38" i="4"/>
  <c r="D38" i="4"/>
  <c r="E35" i="4"/>
  <c r="F35" i="4"/>
  <c r="G35" i="4"/>
  <c r="H35" i="4"/>
  <c r="I35" i="4"/>
  <c r="I36" i="4"/>
  <c r="H36" i="4"/>
  <c r="G36" i="4"/>
  <c r="F36" i="4"/>
  <c r="E36" i="4"/>
  <c r="D36" i="4"/>
  <c r="I34" i="4"/>
  <c r="F34" i="4"/>
  <c r="E34" i="4"/>
  <c r="D34" i="4"/>
  <c r="B34" i="4"/>
  <c r="I32" i="4"/>
  <c r="I33" i="4"/>
  <c r="F32" i="4"/>
  <c r="F33" i="4"/>
  <c r="D30" i="4"/>
  <c r="D32" i="4"/>
  <c r="E32" i="4"/>
  <c r="E33" i="4"/>
  <c r="D33" i="4"/>
  <c r="E30" i="4"/>
  <c r="F30" i="4"/>
  <c r="G30" i="4"/>
  <c r="H30" i="4"/>
  <c r="I30" i="4"/>
  <c r="I31" i="4"/>
  <c r="H31" i="4"/>
  <c r="G31" i="4"/>
  <c r="F31" i="4"/>
  <c r="E31" i="4"/>
  <c r="D31" i="4"/>
  <c r="I29" i="4"/>
  <c r="F29" i="4"/>
  <c r="E29" i="4"/>
  <c r="D29" i="4"/>
  <c r="B29" i="4"/>
  <c r="I27" i="4"/>
  <c r="I28" i="4"/>
  <c r="F27" i="4"/>
  <c r="F28" i="4"/>
  <c r="D25" i="4"/>
  <c r="D27" i="4"/>
  <c r="E27" i="4"/>
  <c r="E28" i="4"/>
  <c r="D28" i="4"/>
  <c r="E25" i="4"/>
  <c r="F25" i="4"/>
  <c r="G25" i="4"/>
  <c r="H25" i="4"/>
  <c r="I25" i="4"/>
  <c r="I26" i="4"/>
  <c r="H26" i="4"/>
  <c r="G26" i="4"/>
  <c r="F26" i="4"/>
  <c r="E26" i="4"/>
  <c r="D26" i="4"/>
  <c r="I24" i="4"/>
  <c r="F24" i="4"/>
  <c r="E24" i="4"/>
  <c r="D24" i="4"/>
  <c r="B24" i="4"/>
  <c r="I22" i="4"/>
  <c r="I23" i="4"/>
  <c r="F22" i="4"/>
  <c r="F23" i="4"/>
  <c r="D20" i="4"/>
  <c r="D22" i="4"/>
  <c r="E22" i="4"/>
  <c r="E23" i="4"/>
  <c r="D23" i="4"/>
  <c r="E20" i="4"/>
  <c r="F20" i="4"/>
  <c r="G20" i="4"/>
  <c r="H20" i="4"/>
  <c r="I20" i="4"/>
  <c r="I21" i="4"/>
  <c r="H21" i="4"/>
  <c r="G21" i="4"/>
  <c r="F21" i="4"/>
  <c r="E21" i="4"/>
  <c r="D21" i="4"/>
  <c r="I19" i="4"/>
  <c r="F19" i="4"/>
  <c r="E19" i="4"/>
  <c r="D19" i="4"/>
  <c r="B19" i="4"/>
  <c r="I12" i="4"/>
  <c r="H12" i="4"/>
  <c r="G12" i="4"/>
  <c r="F12" i="4"/>
  <c r="E12" i="4"/>
  <c r="D12" i="4"/>
  <c r="I9" i="4"/>
  <c r="H9" i="4"/>
  <c r="G9" i="4"/>
  <c r="F9" i="4"/>
  <c r="E9" i="4"/>
  <c r="D6" i="2"/>
  <c r="E20" i="2"/>
  <c r="E18" i="2"/>
  <c r="E21" i="2"/>
  <c r="E34" i="2"/>
  <c r="E36" i="2"/>
  <c r="F5" i="2"/>
  <c r="F16" i="2"/>
  <c r="F20" i="2"/>
  <c r="F18" i="2"/>
  <c r="F21" i="2"/>
  <c r="F34" i="2"/>
  <c r="F36" i="2"/>
  <c r="G5" i="2"/>
  <c r="G16" i="2"/>
  <c r="G20" i="2"/>
  <c r="G18" i="2"/>
  <c r="G21" i="2"/>
  <c r="G34" i="2"/>
  <c r="G36" i="2"/>
  <c r="H5" i="2"/>
  <c r="H16" i="2"/>
  <c r="H20" i="2"/>
  <c r="H18" i="2"/>
  <c r="H21" i="2"/>
  <c r="H34" i="2"/>
  <c r="H36" i="2"/>
  <c r="I5" i="2"/>
  <c r="I16" i="2"/>
  <c r="I20" i="2"/>
  <c r="I18" i="2"/>
  <c r="I21" i="2"/>
  <c r="I34" i="2"/>
  <c r="I36" i="2"/>
  <c r="D42" i="2"/>
  <c r="C46" i="2"/>
  <c r="C45" i="2"/>
  <c r="B53" i="2"/>
  <c r="B52" i="2"/>
  <c r="B51" i="2"/>
  <c r="B50" i="2"/>
  <c r="B49" i="2"/>
  <c r="C28" i="2"/>
  <c r="D10" i="2"/>
  <c r="D9" i="2"/>
  <c r="D5" i="2"/>
  <c r="D16" i="2"/>
  <c r="D18" i="2"/>
  <c r="D28" i="2"/>
  <c r="C5" i="2"/>
  <c r="C16" i="2"/>
  <c r="C18" i="2"/>
  <c r="C34" i="2"/>
  <c r="C36" i="2"/>
  <c r="C38" i="2"/>
  <c r="D37" i="2"/>
  <c r="D34" i="2"/>
  <c r="D36" i="2"/>
  <c r="D38" i="2"/>
  <c r="E37" i="2"/>
  <c r="E38" i="2"/>
  <c r="F37" i="2"/>
  <c r="F38" i="2"/>
  <c r="G37" i="2"/>
  <c r="G38" i="2"/>
  <c r="H37" i="2"/>
  <c r="H38" i="2"/>
  <c r="I37" i="2"/>
  <c r="I38" i="2"/>
  <c r="D15" i="4"/>
  <c r="D16" i="4"/>
  <c r="G22" i="4"/>
  <c r="G19" i="4"/>
  <c r="H22" i="4"/>
  <c r="H19" i="4"/>
  <c r="G23" i="4"/>
  <c r="H23" i="4"/>
  <c r="G27" i="4"/>
  <c r="G24" i="4"/>
  <c r="H27" i="4"/>
  <c r="H24" i="4"/>
  <c r="G28" i="4"/>
  <c r="H28" i="4"/>
  <c r="G32" i="4"/>
  <c r="G29" i="4"/>
  <c r="H32" i="4"/>
  <c r="H29" i="4"/>
  <c r="G33" i="4"/>
  <c r="H33" i="4"/>
  <c r="G37" i="4"/>
  <c r="G34" i="4"/>
  <c r="H37" i="4"/>
  <c r="H34" i="4"/>
  <c r="G38" i="4"/>
  <c r="H38" i="4"/>
  <c r="G42" i="4"/>
  <c r="G39" i="4"/>
  <c r="H42" i="4"/>
  <c r="H39" i="4"/>
  <c r="G43" i="4"/>
  <c r="H43" i="4"/>
  <c r="G47" i="4"/>
  <c r="G44" i="4"/>
  <c r="H47" i="4"/>
  <c r="H44" i="4"/>
  <c r="G48" i="4"/>
  <c r="H48" i="4"/>
  <c r="G54" i="4"/>
  <c r="G50" i="4"/>
  <c r="H54" i="4"/>
  <c r="H50" i="4"/>
  <c r="G55" i="4"/>
  <c r="H55" i="4"/>
  <c r="G60" i="4"/>
  <c r="G56" i="4"/>
  <c r="H60" i="4"/>
  <c r="H56" i="4"/>
  <c r="G61" i="4"/>
  <c r="H61" i="4"/>
  <c r="G66" i="4"/>
  <c r="G62" i="4"/>
  <c r="H66" i="4"/>
  <c r="H62" i="4"/>
  <c r="G67" i="4"/>
  <c r="H67" i="4"/>
  <c r="G72" i="4"/>
  <c r="G68" i="4"/>
  <c r="H72" i="4"/>
  <c r="H68" i="4"/>
  <c r="G73" i="4"/>
  <c r="H73" i="4"/>
  <c r="G78" i="4"/>
  <c r="G74" i="4"/>
  <c r="H78" i="4"/>
  <c r="H74" i="4"/>
  <c r="G79" i="4"/>
  <c r="H79" i="4"/>
  <c r="G84" i="4"/>
  <c r="G80" i="4"/>
  <c r="H84" i="4"/>
  <c r="H80" i="4"/>
  <c r="G85" i="4"/>
  <c r="H85" i="4"/>
  <c r="G91" i="4"/>
  <c r="G87" i="4"/>
  <c r="H91" i="4"/>
  <c r="H87" i="4"/>
  <c r="G92" i="4"/>
  <c r="H92" i="4"/>
  <c r="G97" i="4"/>
  <c r="G93" i="4"/>
  <c r="H97" i="4"/>
  <c r="H93" i="4"/>
  <c r="G98" i="4"/>
  <c r="H98" i="4"/>
  <c r="G103" i="4"/>
  <c r="G99" i="4"/>
  <c r="H103" i="4"/>
  <c r="H99" i="4"/>
  <c r="G104" i="4"/>
  <c r="H104" i="4"/>
  <c r="G109" i="4"/>
  <c r="G105" i="4"/>
  <c r="H109" i="4"/>
  <c r="H105" i="4"/>
  <c r="G110" i="4"/>
  <c r="H110" i="4"/>
  <c r="G115" i="4"/>
  <c r="G111" i="4"/>
  <c r="H115" i="4"/>
  <c r="H111" i="4"/>
  <c r="G116" i="4"/>
  <c r="H116" i="4"/>
  <c r="G121" i="4"/>
  <c r="G117" i="4"/>
  <c r="H121" i="4"/>
  <c r="H117" i="4"/>
  <c r="G122" i="4"/>
  <c r="H122" i="4"/>
</calcChain>
</file>

<file path=xl/sharedStrings.xml><?xml version="1.0" encoding="utf-8"?>
<sst xmlns="http://schemas.openxmlformats.org/spreadsheetml/2006/main" count="168" uniqueCount="87">
  <si>
    <t>Perioada de sustenabilitate</t>
  </si>
  <si>
    <t>An 1</t>
  </si>
  <si>
    <t>An 2</t>
  </si>
  <si>
    <t>An 3</t>
  </si>
  <si>
    <t>An 4</t>
  </si>
  <si>
    <t>An 5</t>
  </si>
  <si>
    <t>Credite pentru realizarea investitiei</t>
  </si>
  <si>
    <t>Servicii prestate catre alte tipuri de clienti</t>
  </si>
  <si>
    <t>Rambursari alte creditari</t>
  </si>
  <si>
    <t>Aferente personalului angajat</t>
  </si>
  <si>
    <t>Asigurari si protectie sociala</t>
  </si>
  <si>
    <t>Prestatii externe</t>
  </si>
  <si>
    <t>Materii prime, materiale, etc</t>
  </si>
  <si>
    <t>Cheltuieli generale de administrație (regie)</t>
  </si>
  <si>
    <t>Rambursari credite investitie</t>
  </si>
  <si>
    <t>Implementare</t>
  </si>
  <si>
    <t>TOTAL VENITURI</t>
  </si>
  <si>
    <t>TOTAL CHELTUIELI</t>
  </si>
  <si>
    <t>Alte credite (materii prime si materiale)</t>
  </si>
  <si>
    <t>NPV</t>
  </si>
  <si>
    <t>IRR</t>
  </si>
  <si>
    <t>Rata actualizare</t>
  </si>
  <si>
    <t>Servicii software-as-a-service de migrare aplicatii desktop la Cloud pentru corporatii mari</t>
  </si>
  <si>
    <t>Abonamente premium (non-FREE) pentru mediul educational</t>
  </si>
  <si>
    <t>Cheltuieli salarizare fara asig si prot sociala</t>
  </si>
  <si>
    <t>Mijloace fixe necorporale</t>
  </si>
  <si>
    <t>Mijloace fixe corporale</t>
  </si>
  <si>
    <t>Aport al actionarilor</t>
  </si>
  <si>
    <t>Analiza fluxurilor de venituri:</t>
  </si>
  <si>
    <t>Abonamente premium pentru clienti privati cu acces la spatiu personal virtual</t>
  </si>
  <si>
    <t>Abonamente SaaS la mediul de tip virtual desktop pentru IMM precum si migrare plicatii</t>
  </si>
  <si>
    <t>Val investitie</t>
  </si>
  <si>
    <t>Rezultat An 1</t>
  </si>
  <si>
    <t>Rezultat An 2</t>
  </si>
  <si>
    <t>Rezultat An 3</t>
  </si>
  <si>
    <t>Rezultat An 4</t>
  </si>
  <si>
    <t>In categoria utilizatorilor din mediul IMM se previzioneaza un numar mediu anualizat de 10 clienti ce urmeaza a obtine servicii SaaS pentru spatii de lucru virtuale de tip virtual deskto online. IMM-urile urmeaza sa pleateasca abonamente de 100 eur brut lunar fara limita de utilizatori interni. Se previzioneaza o crestere de 10% a bazei de clienti pentru fiecare din urmatorii ani.</t>
  </si>
  <si>
    <t>In mediul educational se prevede pentru primul an realizarea a doua contracte cu doua institutii de invatamant superior de drept public sau privat cu specializari orientate in mediul tehnic. Abonamentul lunar se va situa la 500 eur brut lunar de institutie de invatamant superior fara a limita numarul de studenti ce vor putea accesa platforma Cloudifier. Se previzioneaza o crestere de 10% a bazei de clienti pentru fiecare din urmatorii ani.</t>
  </si>
  <si>
    <t>N0</t>
  </si>
  <si>
    <t>N</t>
  </si>
  <si>
    <t>N+1</t>
  </si>
  <si>
    <t>N+2</t>
  </si>
  <si>
    <t>N+3</t>
  </si>
  <si>
    <t>N+4</t>
  </si>
  <si>
    <t>Rezultat An 5*</t>
  </si>
  <si>
    <t>*anul recuperarii integrale a investitiei</t>
  </si>
  <si>
    <t>Nr.crt.</t>
  </si>
  <si>
    <t>Categorie</t>
  </si>
  <si>
    <t>Investitie</t>
  </si>
  <si>
    <t>Încasări operaţionale</t>
  </si>
  <si>
    <t>Plăţi operaţionale</t>
  </si>
  <si>
    <t>Flux de numerar operational  net</t>
  </si>
  <si>
    <t>Valoarea reziduală</t>
  </si>
  <si>
    <t xml:space="preserve">Flux de numerar operational net ajustat </t>
  </si>
  <si>
    <t xml:space="preserve">Flux de numerar net ajustat </t>
  </si>
  <si>
    <t>Rata de actualizare</t>
  </si>
  <si>
    <t>Factor de actualizare</t>
  </si>
  <si>
    <t>Valoarea actualizată netă</t>
  </si>
  <si>
    <t>Rata internă de rentabilitate</t>
  </si>
  <si>
    <t>Indicele de profitabilitate</t>
  </si>
  <si>
    <t>Raportul încasări actualizate / plăţi actualizate</t>
  </si>
  <si>
    <t>Perioada de recuperare din FNONM</t>
  </si>
  <si>
    <t>Variaţia ratei de actualizare</t>
  </si>
  <si>
    <t>Rata de actualizare modificata</t>
  </si>
  <si>
    <t>Factor de actualizare modificat</t>
  </si>
  <si>
    <t>Indicatori</t>
  </si>
  <si>
    <t>Abaterea relativă a parametrilor</t>
  </si>
  <si>
    <t>Variaţia încasărilor operaţionale (fără modificarea valorii reziduale)</t>
  </si>
  <si>
    <t>Încasări operaţionale modificate</t>
  </si>
  <si>
    <t>Flux de numerar operational net modificat</t>
  </si>
  <si>
    <t>Flux de numerar net ajustat modificat</t>
  </si>
  <si>
    <t>Variaţia plăţilor operaţionale (fără modificarea valorii reziduale)</t>
  </si>
  <si>
    <t>Plăţi operaţionale modificate</t>
  </si>
  <si>
    <t>ANALIZA SENZITIVITĂŢII Cloudifier.NET</t>
  </si>
  <si>
    <t xml:space="preserve">Ajutor nerambursabil </t>
  </si>
  <si>
    <t>Total Anual</t>
  </si>
  <si>
    <t>Flux oper</t>
  </si>
  <si>
    <t>Cash-flow</t>
  </si>
  <si>
    <t>Anterior</t>
  </si>
  <si>
    <t>Cheltuieli financiare (TOTAL):</t>
  </si>
  <si>
    <t>Cheltuieli investitie proiect incl TVA (TOTAL):</t>
  </si>
  <si>
    <t>Cheltuieli operationale incl TVA (TOTAL):</t>
  </si>
  <si>
    <t>Venituri din exploatare inclusiv TVA (TOTAL):</t>
  </si>
  <si>
    <t>Venituri financiare (TOTAL):</t>
  </si>
  <si>
    <t>Pentru segmentul de clienti privati se previzioneaza un impact mai mic la aproximativ 75 (50-100) utilizatori in medie lunara pentru primul an si un abonament minim de aproximativ 10 eur brut lunar. Se previzioneaza o crestere de 10% a bazei de clienti pentru fiecare din urmatorii ani.</t>
  </si>
  <si>
    <t>In aceasta categorie de clienti au fost previzionati pentru primul an 1 corporatie ce urmeaza a primi servicii de migrare a aplicatiilor existente din format clasic desktop in format Cloud pentru un abonament lunar de 1800 eur brut. Se previzioneaza o crestere medie de 10%/YoY (an-la-an) a bazei de clienti pentru fiecare din urmatorii ani</t>
  </si>
  <si>
    <t>In cadrul categoriei de servicii prestate pentru alte tipuri de clienti am inclus in mod particular dezvoltarile de platforme Cloud de tip Private Cloud pentru beneficiari ce doresc sa utilizeze rezultatele proiectului pentru a isi dezvolta propriile aplicatii Cloud. Start-up-ul va oferi sursele in regim Open Source si va livra servicii de dezvoltare-implementare-configurare la un nivel de aproximativ 2000 eur brut lunar pentru fiecare client individual. Se previzioneaza o crestere de 10% a bazei de clienti pentru fiecare din urmatorii ani plecand de la o baza de 1 client pentru anul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</si>
</sst>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Red]#,##0"/>
    <numFmt numFmtId="165" formatCode="0.0%"/>
    <numFmt numFmtId="166" formatCode="0.000"/>
    <numFmt numFmtId="167" formatCode="#,##0_ ;[Red]\-#,##0\ "/>
  </numFmts>
  <fonts count="11"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u/>
      <sz val="11"/>
      <color theme="11"/>
      <name val="Calibri"/>
      <family val="2"/>
      <scheme val="minor"/>
    </font>
    <font>
      <u/>
      <sz val="11"/>
      <color theme="10"/>
      <name val="Calibri"/>
      <family val="2"/>
      <scheme val="minor"/>
    </font>
    <font>
      <b/>
      <sz val="14"/>
      <color theme="1"/>
      <name val="Calibri"/>
      <family val="2"/>
      <scheme val="minor"/>
    </font>
    <font>
      <sz val="11"/>
      <color theme="1"/>
      <name val="Calibri"/>
      <family val="2"/>
      <scheme val="minor"/>
    </font>
    <font>
      <i/>
      <sz val="11"/>
      <color theme="1"/>
      <name val="Calibri"/>
      <family val="2"/>
      <scheme val="minor"/>
    </font>
    <font>
      <sz val="10"/>
      <name val="Arial"/>
      <family val="2"/>
    </font>
    <font>
      <u/>
      <sz val="10"/>
      <color indexed="12"/>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indexed="11"/>
        <bgColor indexed="64"/>
      </patternFill>
    </fill>
    <fill>
      <patternFill patternType="solid">
        <fgColor theme="4" tint="0.59999389629810485"/>
        <bgColor indexed="64"/>
      </patternFill>
    </fill>
    <fill>
      <patternFill patternType="solid">
        <fgColor theme="7" tint="0.79998168889431442"/>
        <bgColor indexed="64"/>
      </patternFill>
    </fill>
  </fills>
  <borders count="7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0"/>
      </left>
      <right style="thin">
        <color indexed="0"/>
      </right>
      <top/>
      <bottom style="thin">
        <color indexed="0"/>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indexed="0"/>
      </left>
      <right/>
      <top style="medium">
        <color indexed="0"/>
      </top>
      <bottom style="medium">
        <color indexed="0"/>
      </bottom>
      <diagonal/>
    </border>
    <border>
      <left style="medium">
        <color indexed="0"/>
      </left>
      <right style="thin">
        <color indexed="0"/>
      </right>
      <top style="medium">
        <color indexed="0"/>
      </top>
      <bottom style="thin">
        <color indexed="0"/>
      </bottom>
      <diagonal/>
    </border>
    <border>
      <left style="thin">
        <color indexed="0"/>
      </left>
      <right style="medium">
        <color indexed="0"/>
      </right>
      <top style="medium">
        <color indexed="0"/>
      </top>
      <bottom style="thin">
        <color indexed="0"/>
      </bottom>
      <diagonal/>
    </border>
    <border>
      <left style="medium">
        <color indexed="0"/>
      </left>
      <right style="thin">
        <color indexed="0"/>
      </right>
      <top style="thin">
        <color indexed="0"/>
      </top>
      <bottom style="thin">
        <color indexed="0"/>
      </bottom>
      <diagonal/>
    </border>
    <border>
      <left style="thin">
        <color indexed="0"/>
      </left>
      <right style="medium">
        <color indexed="0"/>
      </right>
      <top style="thin">
        <color indexed="0"/>
      </top>
      <bottom style="thin">
        <color indexed="0"/>
      </bottom>
      <diagonal/>
    </border>
    <border>
      <left style="medium">
        <color indexed="0"/>
      </left>
      <right style="thin">
        <color indexed="0"/>
      </right>
      <top style="thin">
        <color indexed="0"/>
      </top>
      <bottom style="medium">
        <color indexed="0"/>
      </bottom>
      <diagonal/>
    </border>
    <border>
      <left style="thin">
        <color indexed="0"/>
      </left>
      <right style="medium">
        <color indexed="0"/>
      </right>
      <top style="thin">
        <color indexed="0"/>
      </top>
      <bottom style="medium">
        <color indexed="0"/>
      </bottom>
      <diagonal/>
    </border>
    <border>
      <left style="thin">
        <color indexed="0"/>
      </left>
      <right/>
      <top style="thin">
        <color indexed="0"/>
      </top>
      <bottom style="thin">
        <color indexed="0"/>
      </bottom>
      <diagonal/>
    </border>
    <border>
      <left/>
      <right style="thin">
        <color indexed="0"/>
      </right>
      <top style="thin">
        <color auto="1"/>
      </top>
      <bottom style="thin">
        <color auto="1"/>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medium">
        <color indexed="0"/>
      </left>
      <right/>
      <top style="medium">
        <color indexed="0"/>
      </top>
      <bottom style="thin">
        <color indexed="0"/>
      </bottom>
      <diagonal/>
    </border>
    <border>
      <left style="medium">
        <color indexed="0"/>
      </left>
      <right/>
      <top style="thin">
        <color indexed="0"/>
      </top>
      <bottom style="thin">
        <color indexed="0"/>
      </bottom>
      <diagonal/>
    </border>
    <border>
      <left style="medium">
        <color indexed="0"/>
      </left>
      <right/>
      <top style="thin">
        <color indexed="0"/>
      </top>
      <bottom style="medium">
        <color indexed="0"/>
      </bottom>
      <diagonal/>
    </border>
    <border>
      <left style="medium">
        <color indexed="0"/>
      </left>
      <right style="medium">
        <color indexed="0"/>
      </right>
      <top style="medium">
        <color indexed="0"/>
      </top>
      <bottom style="thin">
        <color indexed="0"/>
      </bottom>
      <diagonal/>
    </border>
    <border>
      <left style="medium">
        <color indexed="0"/>
      </left>
      <right style="medium">
        <color indexed="0"/>
      </right>
      <top style="thin">
        <color indexed="0"/>
      </top>
      <bottom style="thin">
        <color indexed="0"/>
      </bottom>
      <diagonal/>
    </border>
    <border>
      <left style="medium">
        <color indexed="0"/>
      </left>
      <right style="medium">
        <color indexed="0"/>
      </right>
      <top style="thin">
        <color indexed="0"/>
      </top>
      <bottom style="medium">
        <color indexed="0"/>
      </bottom>
      <diagonal/>
    </border>
    <border>
      <left style="thin">
        <color indexed="0"/>
      </left>
      <right style="thin">
        <color indexed="0"/>
      </right>
      <top style="medium">
        <color indexed="0"/>
      </top>
      <bottom style="thin">
        <color indexed="0"/>
      </bottom>
      <diagonal/>
    </border>
    <border>
      <left style="thin">
        <color indexed="0"/>
      </left>
      <right style="thin">
        <color indexed="0"/>
      </right>
      <top style="thin">
        <color indexed="0"/>
      </top>
      <bottom style="medium">
        <color indexed="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indexed="0"/>
      </left>
      <right style="medium">
        <color auto="1"/>
      </right>
      <top style="medium">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indexed="0"/>
      </left>
      <right style="thin">
        <color indexed="0"/>
      </right>
      <top/>
      <bottom/>
      <diagonal/>
    </border>
    <border>
      <left style="medium">
        <color auto="1"/>
      </left>
      <right style="thin">
        <color indexed="0"/>
      </right>
      <top style="medium">
        <color auto="1"/>
      </top>
      <bottom style="thin">
        <color indexed="0"/>
      </bottom>
      <diagonal/>
    </border>
    <border>
      <left style="thin">
        <color indexed="0"/>
      </left>
      <right style="thin">
        <color indexed="0"/>
      </right>
      <top style="medium">
        <color auto="1"/>
      </top>
      <bottom style="thin">
        <color indexed="0"/>
      </bottom>
      <diagonal/>
    </border>
    <border>
      <left style="thin">
        <color indexed="0"/>
      </left>
      <right style="medium">
        <color auto="1"/>
      </right>
      <top style="medium">
        <color auto="1"/>
      </top>
      <bottom style="thin">
        <color indexed="0"/>
      </bottom>
      <diagonal/>
    </border>
    <border>
      <left style="medium">
        <color auto="1"/>
      </left>
      <right style="thin">
        <color indexed="0"/>
      </right>
      <top/>
      <bottom style="medium">
        <color auto="1"/>
      </bottom>
      <diagonal/>
    </border>
    <border>
      <left style="thin">
        <color indexed="0"/>
      </left>
      <right style="thin">
        <color indexed="0"/>
      </right>
      <top/>
      <bottom style="medium">
        <color auto="1"/>
      </bottom>
      <diagonal/>
    </border>
    <border>
      <left style="thin">
        <color indexed="0"/>
      </left>
      <right style="medium">
        <color auto="1"/>
      </right>
      <top/>
      <bottom style="medium">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7" fillId="0" borderId="0" applyFont="0" applyFill="0" applyBorder="0" applyAlignment="0" applyProtection="0"/>
    <xf numFmtId="0" fontId="10" fillId="0" borderId="0" applyNumberFormat="0" applyFill="0" applyBorder="0" applyAlignment="0" applyProtection="0">
      <alignment vertical="top"/>
      <protection locked="0"/>
    </xf>
  </cellStyleXfs>
  <cellXfs count="204">
    <xf numFmtId="0" fontId="0" fillId="0" borderId="0" xfId="0"/>
    <xf numFmtId="0" fontId="0" fillId="0" borderId="0" xfId="0" applyAlignment="1">
      <alignment horizontal="left"/>
    </xf>
    <xf numFmtId="0" fontId="1" fillId="0" borderId="0" xfId="0" applyFont="1"/>
    <xf numFmtId="0" fontId="2" fillId="0" borderId="0" xfId="0" applyFont="1"/>
    <xf numFmtId="3" fontId="0" fillId="0" borderId="1" xfId="0" applyNumberFormat="1" applyBorder="1"/>
    <xf numFmtId="0" fontId="0" fillId="0" borderId="1" xfId="0" applyBorder="1" applyAlignment="1">
      <alignment horizontal="left" indent="2"/>
    </xf>
    <xf numFmtId="3" fontId="0" fillId="0" borderId="6" xfId="0" applyNumberFormat="1" applyBorder="1"/>
    <xf numFmtId="0" fontId="1" fillId="0" borderId="7" xfId="0" applyFont="1" applyBorder="1" applyAlignment="1">
      <alignment horizontal="center" vertical="center"/>
    </xf>
    <xf numFmtId="0" fontId="1" fillId="0" borderId="8" xfId="0" applyFont="1" applyBorder="1" applyAlignment="1">
      <alignment horizontal="center" vertical="center"/>
    </xf>
    <xf numFmtId="3" fontId="0" fillId="0" borderId="3" xfId="0" applyNumberFormat="1" applyBorder="1"/>
    <xf numFmtId="0" fontId="0" fillId="0" borderId="1" xfId="0" applyBorder="1" applyAlignment="1">
      <alignment horizontal="left" vertical="center" wrapText="1" indent="2"/>
    </xf>
    <xf numFmtId="3" fontId="0" fillId="0" borderId="1" xfId="0" applyNumberFormat="1" applyBorder="1" applyAlignment="1">
      <alignment vertical="center"/>
    </xf>
    <xf numFmtId="3" fontId="0" fillId="0" borderId="6" xfId="0" applyNumberFormat="1" applyBorder="1" applyAlignment="1">
      <alignment vertical="center"/>
    </xf>
    <xf numFmtId="3" fontId="0" fillId="0" borderId="3" xfId="0" applyNumberFormat="1" applyBorder="1" applyAlignment="1">
      <alignment vertical="center"/>
    </xf>
    <xf numFmtId="0" fontId="0" fillId="0" borderId="0" xfId="0" applyAlignment="1">
      <alignment vertical="center"/>
    </xf>
    <xf numFmtId="0" fontId="0" fillId="0" borderId="0" xfId="0" applyAlignment="1">
      <alignment horizontal="left" vertical="center"/>
    </xf>
    <xf numFmtId="0" fontId="0" fillId="0" borderId="12" xfId="0" applyBorder="1" applyAlignment="1">
      <alignment horizontal="left" vertical="center" wrapText="1" indent="2"/>
    </xf>
    <xf numFmtId="3" fontId="1" fillId="4" borderId="1" xfId="0" applyNumberFormat="1" applyFont="1" applyFill="1" applyBorder="1"/>
    <xf numFmtId="3" fontId="1" fillId="4" borderId="3" xfId="0" applyNumberFormat="1" applyFont="1" applyFill="1" applyBorder="1"/>
    <xf numFmtId="0" fontId="0" fillId="0" borderId="28" xfId="0" applyBorder="1"/>
    <xf numFmtId="0" fontId="0" fillId="0" borderId="28" xfId="0" applyBorder="1" applyAlignment="1">
      <alignment horizontal="center"/>
    </xf>
    <xf numFmtId="0" fontId="0" fillId="0" borderId="0" xfId="0"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3" fontId="0" fillId="0" borderId="33" xfId="0" applyNumberFormat="1" applyBorder="1"/>
    <xf numFmtId="0" fontId="0" fillId="0" borderId="33" xfId="0" applyBorder="1"/>
    <xf numFmtId="0" fontId="0" fillId="0" borderId="34" xfId="0" applyBorder="1"/>
    <xf numFmtId="0" fontId="0" fillId="0" borderId="35" xfId="0" applyBorder="1" applyAlignment="1">
      <alignment horizontal="center"/>
    </xf>
    <xf numFmtId="3" fontId="0" fillId="0" borderId="28" xfId="0" applyNumberFormat="1" applyBorder="1"/>
    <xf numFmtId="3" fontId="0" fillId="0" borderId="36" xfId="0" applyNumberFormat="1" applyBorder="1"/>
    <xf numFmtId="10" fontId="0" fillId="0" borderId="28" xfId="0" applyNumberFormat="1" applyBorder="1" applyAlignment="1"/>
    <xf numFmtId="10" fontId="0" fillId="0" borderId="36" xfId="0" applyNumberFormat="1" applyBorder="1" applyAlignment="1"/>
    <xf numFmtId="0" fontId="0" fillId="0" borderId="39" xfId="0" applyBorder="1" applyAlignment="1">
      <alignment horizontal="center"/>
    </xf>
    <xf numFmtId="166" fontId="0" fillId="0" borderId="40" xfId="0" applyNumberFormat="1" applyBorder="1" applyAlignment="1"/>
    <xf numFmtId="166" fontId="0" fillId="0" borderId="41" xfId="0" applyNumberFormat="1" applyBorder="1" applyAlignment="1"/>
    <xf numFmtId="0" fontId="0" fillId="0" borderId="42" xfId="0" applyBorder="1" applyAlignment="1">
      <alignment horizontal="center"/>
    </xf>
    <xf numFmtId="0" fontId="0" fillId="0" borderId="43" xfId="0" applyBorder="1"/>
    <xf numFmtId="165" fontId="0" fillId="5" borderId="43" xfId="0" applyNumberFormat="1" applyFill="1" applyBorder="1" applyAlignment="1" applyProtection="1">
      <alignment horizontal="center"/>
      <protection locked="0"/>
    </xf>
    <xf numFmtId="0" fontId="9" fillId="0" borderId="43" xfId="0" applyFont="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8" xfId="0" applyBorder="1" applyAlignment="1">
      <alignment horizontal="center"/>
    </xf>
    <xf numFmtId="10" fontId="0" fillId="0" borderId="0" xfId="97" applyNumberFormat="1" applyFont="1" applyBorder="1" applyAlignment="1"/>
    <xf numFmtId="10" fontId="0" fillId="0" borderId="49" xfId="97" applyNumberFormat="1" applyFont="1" applyBorder="1" applyAlignment="1"/>
    <xf numFmtId="0" fontId="0" fillId="0" borderId="48" xfId="0" applyBorder="1"/>
    <xf numFmtId="166" fontId="0" fillId="0" borderId="0" xfId="0" applyNumberFormat="1" applyBorder="1"/>
    <xf numFmtId="166" fontId="0" fillId="0" borderId="49" xfId="0" applyNumberFormat="1" applyBorder="1"/>
    <xf numFmtId="0" fontId="0" fillId="0" borderId="0" xfId="0" applyBorder="1"/>
    <xf numFmtId="10" fontId="0" fillId="0" borderId="0" xfId="97" applyNumberFormat="1" applyFont="1" applyBorder="1"/>
    <xf numFmtId="167" fontId="0" fillId="0" borderId="0" xfId="0" applyNumberFormat="1" applyBorder="1"/>
    <xf numFmtId="10" fontId="0" fillId="0" borderId="0" xfId="0" applyNumberFormat="1" applyBorder="1"/>
    <xf numFmtId="2" fontId="0" fillId="0" borderId="0" xfId="0" applyNumberFormat="1" applyBorder="1"/>
    <xf numFmtId="2" fontId="0" fillId="0" borderId="49" xfId="0" applyNumberFormat="1" applyBorder="1"/>
    <xf numFmtId="10" fontId="0" fillId="0" borderId="28" xfId="97" applyNumberFormat="1" applyFont="1" applyBorder="1"/>
    <xf numFmtId="10" fontId="0" fillId="0" borderId="36" xfId="97" applyNumberFormat="1" applyFont="1" applyBorder="1"/>
    <xf numFmtId="165" fontId="0" fillId="5" borderId="28" xfId="0" applyNumberFormat="1" applyFill="1" applyBorder="1" applyAlignment="1" applyProtection="1">
      <alignment horizontal="center"/>
      <protection locked="0"/>
    </xf>
    <xf numFmtId="0" fontId="9" fillId="0" borderId="28" xfId="0" applyFont="1" applyBorder="1" applyAlignment="1">
      <alignment horizontal="center"/>
    </xf>
    <xf numFmtId="0" fontId="0" fillId="0" borderId="36" xfId="0" applyBorder="1" applyAlignment="1">
      <alignment horizontal="center"/>
    </xf>
    <xf numFmtId="0" fontId="0" fillId="0" borderId="50" xfId="0" applyBorder="1" applyAlignment="1">
      <alignment horizontal="center"/>
    </xf>
    <xf numFmtId="10" fontId="0" fillId="0" borderId="53" xfId="97" applyNumberFormat="1" applyFont="1" applyBorder="1"/>
    <xf numFmtId="10" fontId="0" fillId="0" borderId="54" xfId="97" applyNumberFormat="1" applyFont="1" applyBorder="1"/>
    <xf numFmtId="10" fontId="0" fillId="0" borderId="40" xfId="97" applyNumberFormat="1" applyFont="1" applyBorder="1"/>
    <xf numFmtId="10" fontId="0" fillId="0" borderId="41" xfId="97" applyNumberFormat="1" applyFont="1" applyBorder="1"/>
    <xf numFmtId="3" fontId="0" fillId="0" borderId="28" xfId="97" applyNumberFormat="1" applyFont="1" applyBorder="1" applyAlignment="1"/>
    <xf numFmtId="3" fontId="0" fillId="0" borderId="36" xfId="97" applyNumberFormat="1" applyFont="1" applyBorder="1" applyAlignment="1"/>
    <xf numFmtId="0" fontId="0" fillId="0" borderId="35" xfId="0" applyBorder="1"/>
    <xf numFmtId="166" fontId="0" fillId="0" borderId="28" xfId="0" applyNumberFormat="1" applyBorder="1"/>
    <xf numFmtId="1" fontId="0" fillId="0" borderId="28" xfId="0" applyNumberFormat="1" applyBorder="1"/>
    <xf numFmtId="1" fontId="0" fillId="0" borderId="36" xfId="0" applyNumberFormat="1" applyBorder="1"/>
    <xf numFmtId="167" fontId="0" fillId="0" borderId="28" xfId="0" applyNumberFormat="1" applyBorder="1"/>
    <xf numFmtId="10" fontId="0" fillId="0" borderId="28" xfId="0" applyNumberFormat="1" applyBorder="1"/>
    <xf numFmtId="2" fontId="0" fillId="0" borderId="28" xfId="0" applyNumberFormat="1" applyBorder="1"/>
    <xf numFmtId="2" fontId="0" fillId="0" borderId="36" xfId="0" applyNumberFormat="1" applyBorder="1"/>
    <xf numFmtId="0" fontId="0" fillId="0" borderId="0" xfId="0" applyBorder="1" applyAlignment="1">
      <alignment horizontal="center"/>
    </xf>
    <xf numFmtId="0" fontId="0" fillId="0" borderId="0" xfId="0" applyBorder="1" applyAlignment="1">
      <alignment horizontal="left"/>
    </xf>
    <xf numFmtId="0" fontId="10" fillId="0" borderId="0" xfId="98" applyBorder="1" applyAlignment="1" applyProtection="1">
      <alignment horizontal="center"/>
      <protection locked="0"/>
    </xf>
    <xf numFmtId="0" fontId="0" fillId="0" borderId="0" xfId="0" applyBorder="1" applyAlignment="1" applyProtection="1">
      <alignment horizontal="center"/>
      <protection locked="0"/>
    </xf>
    <xf numFmtId="0" fontId="0" fillId="0" borderId="33" xfId="0" applyBorder="1" applyAlignment="1">
      <alignment horizontal="left"/>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Fill="1" applyBorder="1" applyAlignment="1" applyProtection="1">
      <alignment horizontal="center" vertical="center"/>
    </xf>
    <xf numFmtId="0" fontId="0" fillId="2" borderId="12" xfId="0" applyFill="1" applyBorder="1" applyAlignment="1">
      <alignment horizontal="left" vertical="center" wrapText="1" indent="2"/>
    </xf>
    <xf numFmtId="0" fontId="0" fillId="2" borderId="14" xfId="0" applyFill="1" applyBorder="1" applyAlignment="1">
      <alignment horizontal="left" vertical="center" wrapText="1" indent="2"/>
    </xf>
    <xf numFmtId="0" fontId="1" fillId="4" borderId="1" xfId="0" applyFont="1" applyFill="1" applyBorder="1" applyAlignment="1">
      <alignment horizontal="right"/>
    </xf>
    <xf numFmtId="3" fontId="1" fillId="4" borderId="6" xfId="0" applyNumberFormat="1" applyFont="1" applyFill="1" applyBorder="1"/>
    <xf numFmtId="0" fontId="0" fillId="0" borderId="53" xfId="0" applyBorder="1" applyAlignment="1">
      <alignment horizontal="left" indent="2"/>
    </xf>
    <xf numFmtId="3" fontId="0" fillId="0" borderId="53" xfId="0" applyNumberFormat="1" applyBorder="1"/>
    <xf numFmtId="3" fontId="0" fillId="0" borderId="51" xfId="0" applyNumberFormat="1" applyBorder="1"/>
    <xf numFmtId="3" fontId="0" fillId="0" borderId="4" xfId="0" applyNumberFormat="1" applyBorder="1"/>
    <xf numFmtId="3" fontId="0" fillId="0" borderId="61" xfId="0" applyNumberFormat="1" applyBorder="1"/>
    <xf numFmtId="3" fontId="0" fillId="0" borderId="5" xfId="0" applyNumberFormat="1" applyBorder="1"/>
    <xf numFmtId="0" fontId="2" fillId="4" borderId="29" xfId="0" applyFont="1" applyFill="1" applyBorder="1" applyAlignment="1">
      <alignment horizontal="left"/>
    </xf>
    <xf numFmtId="3" fontId="2" fillId="4" borderId="30" xfId="0" applyNumberFormat="1" applyFont="1" applyFill="1" applyBorder="1"/>
    <xf numFmtId="3" fontId="2" fillId="4" borderId="60" xfId="0" applyNumberFormat="1" applyFont="1" applyFill="1" applyBorder="1"/>
    <xf numFmtId="3" fontId="2" fillId="4" borderId="62" xfId="0" applyNumberFormat="1" applyFont="1" applyFill="1" applyBorder="1"/>
    <xf numFmtId="0" fontId="0" fillId="0" borderId="2" xfId="0" applyBorder="1" applyAlignment="1">
      <alignment horizontal="left" indent="2"/>
    </xf>
    <xf numFmtId="3" fontId="0" fillId="0" borderId="2" xfId="0" applyNumberFormat="1" applyBorder="1"/>
    <xf numFmtId="3" fontId="0" fillId="0" borderId="63" xfId="0" applyNumberFormat="1" applyBorder="1"/>
    <xf numFmtId="0" fontId="0" fillId="0" borderId="33" xfId="0" applyBorder="1" applyAlignment="1">
      <alignment horizontal="left" indent="2"/>
    </xf>
    <xf numFmtId="0" fontId="1" fillId="4" borderId="29" xfId="0" applyFont="1" applyFill="1" applyBorder="1" applyAlignment="1">
      <alignment horizontal="left"/>
    </xf>
    <xf numFmtId="3" fontId="1" fillId="4" borderId="30" xfId="0" applyNumberFormat="1" applyFont="1" applyFill="1" applyBorder="1"/>
    <xf numFmtId="3" fontId="1" fillId="4" borderId="60" xfId="0" applyNumberFormat="1" applyFont="1" applyFill="1" applyBorder="1"/>
    <xf numFmtId="3" fontId="1" fillId="4" borderId="62" xfId="0" applyNumberFormat="1" applyFont="1" applyFill="1" applyBorder="1"/>
    <xf numFmtId="0" fontId="0" fillId="0" borderId="33" xfId="0" applyBorder="1" applyAlignment="1">
      <alignment horizontal="left" vertical="center" wrapText="1" indent="2"/>
    </xf>
    <xf numFmtId="3" fontId="0" fillId="0" borderId="33" xfId="0" applyNumberFormat="1" applyBorder="1" applyAlignment="1">
      <alignment vertical="center"/>
    </xf>
    <xf numFmtId="3" fontId="0" fillId="0" borderId="61" xfId="0" applyNumberFormat="1" applyBorder="1" applyAlignment="1">
      <alignment vertical="center"/>
    </xf>
    <xf numFmtId="3" fontId="0" fillId="0" borderId="5" xfId="0" applyNumberFormat="1" applyBorder="1" applyAlignment="1">
      <alignment vertical="center"/>
    </xf>
    <xf numFmtId="0" fontId="0" fillId="0" borderId="2" xfId="0" applyBorder="1" applyAlignment="1">
      <alignment horizontal="left" vertical="center" wrapText="1" indent="2"/>
    </xf>
    <xf numFmtId="3" fontId="0" fillId="0" borderId="2" xfId="0" applyNumberFormat="1" applyBorder="1" applyAlignment="1">
      <alignment vertical="center"/>
    </xf>
    <xf numFmtId="3" fontId="0" fillId="0" borderId="63" xfId="0" applyNumberFormat="1" applyBorder="1" applyAlignment="1">
      <alignment vertical="center"/>
    </xf>
    <xf numFmtId="3" fontId="0" fillId="0" borderId="4" xfId="0" applyNumberFormat="1" applyBorder="1" applyAlignment="1">
      <alignment vertical="center"/>
    </xf>
    <xf numFmtId="3" fontId="0" fillId="0" borderId="64" xfId="0" applyNumberFormat="1" applyBorder="1"/>
    <xf numFmtId="3" fontId="0" fillId="0" borderId="65" xfId="0" applyNumberFormat="1" applyBorder="1"/>
    <xf numFmtId="0" fontId="1" fillId="0" borderId="4" xfId="0" applyFont="1" applyBorder="1" applyAlignment="1">
      <alignment horizontal="center" vertical="center"/>
    </xf>
    <xf numFmtId="0" fontId="0" fillId="0" borderId="64" xfId="0" applyBorder="1" applyAlignment="1">
      <alignment horizontal="left" indent="2"/>
    </xf>
    <xf numFmtId="3" fontId="1" fillId="4" borderId="66" xfId="0" applyNumberFormat="1" applyFont="1" applyFill="1" applyBorder="1"/>
    <xf numFmtId="3" fontId="1" fillId="4" borderId="67" xfId="0" applyNumberFormat="1" applyFont="1" applyFill="1" applyBorder="1"/>
    <xf numFmtId="0" fontId="0" fillId="0" borderId="7" xfId="0" applyBorder="1" applyAlignment="1">
      <alignment horizontal="left"/>
    </xf>
    <xf numFmtId="3" fontId="0" fillId="0" borderId="7" xfId="0" applyNumberFormat="1" applyBorder="1"/>
    <xf numFmtId="3" fontId="0" fillId="0" borderId="8" xfId="0" applyNumberFormat="1" applyBorder="1"/>
    <xf numFmtId="3" fontId="0" fillId="0" borderId="68" xfId="0" applyNumberFormat="1" applyBorder="1"/>
    <xf numFmtId="0" fontId="2" fillId="4" borderId="2" xfId="0" applyFont="1" applyFill="1" applyBorder="1" applyAlignment="1">
      <alignment horizontal="right"/>
    </xf>
    <xf numFmtId="3" fontId="2" fillId="4" borderId="2" xfId="0" applyNumberFormat="1" applyFont="1" applyFill="1" applyBorder="1"/>
    <xf numFmtId="3" fontId="2" fillId="4" borderId="63" xfId="0" applyNumberFormat="1" applyFont="1" applyFill="1" applyBorder="1"/>
    <xf numFmtId="3" fontId="2" fillId="4" borderId="4" xfId="0" applyNumberFormat="1" applyFont="1" applyFill="1" applyBorder="1"/>
    <xf numFmtId="0" fontId="3" fillId="6" borderId="29" xfId="0" applyFont="1" applyFill="1" applyBorder="1" applyAlignment="1">
      <alignment horizontal="right"/>
    </xf>
    <xf numFmtId="3" fontId="3" fillId="6" borderId="66" xfId="0" applyNumberFormat="1" applyFont="1" applyFill="1" applyBorder="1"/>
    <xf numFmtId="3" fontId="3" fillId="6" borderId="67" xfId="0" applyNumberFormat="1" applyFont="1" applyFill="1" applyBorder="1"/>
    <xf numFmtId="3" fontId="3" fillId="6" borderId="62" xfId="0" applyNumberFormat="1" applyFont="1" applyFill="1" applyBorder="1"/>
    <xf numFmtId="0" fontId="1" fillId="0" borderId="0" xfId="0" applyFont="1" applyAlignment="1">
      <alignment horizontal="left"/>
    </xf>
    <xf numFmtId="0" fontId="1" fillId="6" borderId="9" xfId="0" applyFont="1" applyFill="1" applyBorder="1" applyAlignment="1">
      <alignment vertical="center" wrapText="1"/>
    </xf>
    <xf numFmtId="3" fontId="1" fillId="6" borderId="72" xfId="0" applyNumberFormat="1" applyFont="1" applyFill="1" applyBorder="1" applyAlignment="1">
      <alignment vertical="center"/>
    </xf>
    <xf numFmtId="3" fontId="1" fillId="6" borderId="73" xfId="0" applyNumberFormat="1" applyFont="1" applyFill="1" applyBorder="1" applyAlignment="1">
      <alignment vertical="center"/>
    </xf>
    <xf numFmtId="3" fontId="1" fillId="6" borderId="74" xfId="0" applyNumberFormat="1" applyFont="1" applyFill="1" applyBorder="1" applyAlignment="1">
      <alignment vertical="center"/>
    </xf>
    <xf numFmtId="0" fontId="2" fillId="6" borderId="69" xfId="0" applyFont="1" applyFill="1" applyBorder="1"/>
    <xf numFmtId="0" fontId="2" fillId="6" borderId="70" xfId="0" applyFont="1" applyFill="1" applyBorder="1"/>
    <xf numFmtId="0" fontId="2" fillId="6" borderId="71" xfId="0" applyFont="1" applyFill="1" applyBorder="1"/>
    <xf numFmtId="0" fontId="0" fillId="6" borderId="20" xfId="0" applyFill="1" applyBorder="1"/>
    <xf numFmtId="10" fontId="0" fillId="6" borderId="23" xfId="0" applyNumberFormat="1" applyFill="1" applyBorder="1"/>
    <xf numFmtId="0" fontId="0" fillId="6" borderId="21" xfId="0" applyFill="1" applyBorder="1"/>
    <xf numFmtId="164" fontId="0" fillId="6" borderId="24" xfId="0" applyNumberFormat="1" applyFill="1" applyBorder="1"/>
    <xf numFmtId="0" fontId="0" fillId="6" borderId="22" xfId="0" applyFill="1" applyBorder="1"/>
    <xf numFmtId="10" fontId="0" fillId="6" borderId="25" xfId="0" applyNumberFormat="1" applyFill="1" applyBorder="1"/>
    <xf numFmtId="0" fontId="1" fillId="7" borderId="2" xfId="0" applyFont="1" applyFill="1" applyBorder="1" applyAlignment="1">
      <alignment horizontal="center" vertical="center"/>
    </xf>
    <xf numFmtId="3" fontId="1" fillId="7" borderId="66" xfId="0" applyNumberFormat="1" applyFont="1" applyFill="1" applyBorder="1"/>
    <xf numFmtId="3" fontId="0" fillId="7" borderId="64" xfId="0" applyNumberFormat="1" applyFill="1" applyBorder="1"/>
    <xf numFmtId="3" fontId="0" fillId="7" borderId="1" xfId="0" applyNumberFormat="1" applyFill="1" applyBorder="1"/>
    <xf numFmtId="3" fontId="8" fillId="7" borderId="2" xfId="0" applyNumberFormat="1" applyFont="1" applyFill="1" applyBorder="1"/>
    <xf numFmtId="3" fontId="1" fillId="7" borderId="30" xfId="0" applyNumberFormat="1" applyFont="1" applyFill="1" applyBorder="1"/>
    <xf numFmtId="3" fontId="0" fillId="7" borderId="33" xfId="0" applyNumberFormat="1" applyFill="1" applyBorder="1" applyAlignment="1">
      <alignment vertical="center"/>
    </xf>
    <xf numFmtId="3" fontId="0" fillId="7" borderId="1" xfId="0" applyNumberFormat="1" applyFill="1" applyBorder="1" applyAlignment="1">
      <alignment vertical="center"/>
    </xf>
    <xf numFmtId="3" fontId="0" fillId="7" borderId="2" xfId="0" applyNumberFormat="1" applyFill="1" applyBorder="1" applyAlignment="1">
      <alignment vertical="center"/>
    </xf>
    <xf numFmtId="3" fontId="2" fillId="7" borderId="30" xfId="0" applyNumberFormat="1" applyFont="1" applyFill="1" applyBorder="1"/>
    <xf numFmtId="3" fontId="0" fillId="7" borderId="7" xfId="0" applyNumberFormat="1" applyFill="1" applyBorder="1"/>
    <xf numFmtId="3" fontId="0" fillId="7" borderId="2" xfId="0" applyNumberFormat="1" applyFill="1" applyBorder="1"/>
    <xf numFmtId="3" fontId="0" fillId="7" borderId="33" xfId="0" applyNumberFormat="1" applyFill="1" applyBorder="1"/>
    <xf numFmtId="3" fontId="0" fillId="7" borderId="53" xfId="0" applyNumberFormat="1" applyFill="1" applyBorder="1"/>
    <xf numFmtId="3" fontId="1" fillId="7" borderId="1" xfId="0" applyNumberFormat="1" applyFont="1" applyFill="1" applyBorder="1"/>
    <xf numFmtId="3" fontId="2" fillId="7" borderId="2" xfId="0" applyNumberFormat="1" applyFont="1" applyFill="1" applyBorder="1"/>
    <xf numFmtId="0" fontId="0" fillId="2" borderId="27" xfId="0" applyFill="1" applyBorder="1" applyAlignment="1">
      <alignment horizontal="left" vertical="center" wrapText="1"/>
    </xf>
    <xf numFmtId="0" fontId="0" fillId="2" borderId="15" xfId="0" applyFill="1" applyBorder="1" applyAlignment="1">
      <alignment horizontal="left" vertical="center" wrapText="1"/>
    </xf>
    <xf numFmtId="0" fontId="6" fillId="3" borderId="10"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1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2" borderId="3" xfId="0" applyFill="1" applyBorder="1" applyAlignment="1">
      <alignment horizontal="left" vertical="center" wrapText="1"/>
    </xf>
    <xf numFmtId="0" fontId="0" fillId="2" borderId="13" xfId="0" applyFill="1" applyBorder="1" applyAlignment="1">
      <alignment horizontal="left" vertical="center" wrapText="1"/>
    </xf>
    <xf numFmtId="0" fontId="0" fillId="0" borderId="3" xfId="0" applyBorder="1" applyAlignment="1">
      <alignment horizontal="left" vertical="center" wrapText="1"/>
    </xf>
    <xf numFmtId="0" fontId="0" fillId="0" borderId="13" xfId="0" applyBorder="1" applyAlignment="1">
      <alignment horizontal="left" vertical="center" wrapText="1"/>
    </xf>
    <xf numFmtId="0" fontId="2" fillId="0" borderId="0" xfId="0" applyFont="1" applyAlignment="1">
      <alignment horizontal="left" wrapText="1"/>
    </xf>
    <xf numFmtId="0" fontId="0" fillId="0" borderId="28"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0" fillId="0" borderId="40" xfId="0" applyBorder="1" applyAlignment="1">
      <alignment horizontal="left"/>
    </xf>
    <xf numFmtId="0" fontId="0" fillId="0" borderId="53" xfId="0" applyBorder="1" applyAlignment="1">
      <alignment horizontal="left"/>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0" xfId="0" applyBorder="1" applyAlignment="1">
      <alignment horizontal="left"/>
    </xf>
    <xf numFmtId="0" fontId="0" fillId="0" borderId="55" xfId="0" applyBorder="1" applyAlignment="1">
      <alignment horizontal="left"/>
    </xf>
    <xf numFmtId="0" fontId="0" fillId="0" borderId="56"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2" fontId="0" fillId="0" borderId="40" xfId="0" applyNumberFormat="1" applyBorder="1" applyAlignment="1">
      <alignment horizontal="center"/>
    </xf>
    <xf numFmtId="2" fontId="0" fillId="0" borderId="41" xfId="0" applyNumberForma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2" fontId="0" fillId="0" borderId="28" xfId="0" applyNumberFormat="1" applyBorder="1" applyAlignment="1">
      <alignment horizontal="center"/>
    </xf>
    <xf numFmtId="2" fontId="0" fillId="0" borderId="36" xfId="0" applyNumberFormat="1" applyBorder="1" applyAlignment="1">
      <alignment horizontal="center"/>
    </xf>
    <xf numFmtId="0" fontId="0" fillId="0" borderId="43" xfId="0" applyBorder="1" applyAlignment="1">
      <alignment horizontal="left"/>
    </xf>
    <xf numFmtId="0" fontId="0" fillId="0" borderId="0" xfId="0" applyAlignment="1">
      <alignment horizontal="center"/>
    </xf>
    <xf numFmtId="0" fontId="0" fillId="0" borderId="30" xfId="0" applyBorder="1" applyAlignment="1">
      <alignment horizontal="center"/>
    </xf>
    <xf numFmtId="0" fontId="0" fillId="0" borderId="33" xfId="0" applyBorder="1" applyAlignment="1">
      <alignment horizontal="left"/>
    </xf>
    <xf numFmtId="167" fontId="0" fillId="0" borderId="43" xfId="0" applyNumberFormat="1" applyBorder="1" applyAlignment="1">
      <alignment horizontal="center"/>
    </xf>
    <xf numFmtId="167" fontId="0" fillId="0" borderId="44" xfId="0" applyNumberFormat="1" applyBorder="1" applyAlignment="1">
      <alignment horizontal="center"/>
    </xf>
    <xf numFmtId="10" fontId="0" fillId="0" borderId="28" xfId="0" applyNumberFormat="1" applyBorder="1" applyAlignment="1">
      <alignment horizontal="center"/>
    </xf>
    <xf numFmtId="10" fontId="0" fillId="0" borderId="36" xfId="0" applyNumberFormat="1" applyBorder="1" applyAlignment="1">
      <alignment horizontal="center"/>
    </xf>
  </cellXfs>
  <cellStyles count="99">
    <cellStyle name="Followed Hyperlink" xfId="1"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cellStyle name="Normal" xfId="0" builtinId="0"/>
    <cellStyle name="Percent" xfId="9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Senzitivitatea VAN la modificarea ratei de actualizare</a:t>
            </a:r>
          </a:p>
        </c:rich>
      </c:tx>
      <c:layout>
        <c:manualLayout>
          <c:xMode val="edge"/>
          <c:yMode val="edge"/>
          <c:x val="0.193814541223584"/>
          <c:y val="0.0330578512396694"/>
        </c:manualLayout>
      </c:layout>
      <c:overlay val="0"/>
      <c:spPr>
        <a:noFill/>
        <a:ln w="25400">
          <a:noFill/>
        </a:ln>
      </c:spPr>
    </c:title>
    <c:autoTitleDeleted val="0"/>
    <c:plotArea>
      <c:layout>
        <c:manualLayout>
          <c:layoutTarget val="inner"/>
          <c:xMode val="edge"/>
          <c:yMode val="edge"/>
          <c:x val="0.159793894870477"/>
          <c:y val="0.223141096174178"/>
          <c:w val="0.653608576437951"/>
          <c:h val="0.619836378261606"/>
        </c:manualLayout>
      </c:layout>
      <c:lineChart>
        <c:grouping val="standard"/>
        <c:varyColors val="0"/>
        <c:ser>
          <c:idx val="0"/>
          <c:order val="0"/>
          <c:tx>
            <c:v>Variaţie relativă VAN</c:v>
          </c:tx>
          <c:spPr>
            <a:ln w="38100">
              <a:solidFill>
                <a:srgbClr val="FF0000"/>
              </a:solidFill>
              <a:prstDash val="solid"/>
            </a:ln>
          </c:spPr>
          <c:marker>
            <c:symbol val="dot"/>
            <c:size val="2"/>
            <c:spPr>
              <a:solidFill>
                <a:srgbClr val="FF0000"/>
              </a:solidFill>
              <a:ln>
                <a:solidFill>
                  <a:srgbClr val="FF000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([1]Senzitivitate!$C$19,[1]Senzitivitate!$C$24,[1]Senzitivitate!$C$29,[1]Senzitivitate!$C$34,[1]Senzitivitate!$C$39,[1]Senzitivitate!$C$44)</c:f>
              <c:numCache>
                <c:formatCode>General</c:formatCode>
                <c:ptCount val="6"/>
                <c:pt idx="0">
                  <c:v>0.0</c:v>
                </c:pt>
                <c:pt idx="1">
                  <c:v>0.0</c:v>
                </c:pt>
                <c:pt idx="2">
                  <c:v>0.0</c:v>
                </c:pt>
                <c:pt idx="3">
                  <c:v>0.0</c:v>
                </c:pt>
                <c:pt idx="4">
                  <c:v>0.0</c:v>
                </c:pt>
                <c:pt idx="5">
                  <c:v>0.0</c:v>
                </c:pt>
              </c:numCache>
            </c:numRef>
          </c:cat>
          <c:val>
            <c:numRef>
              <c:f>('Senzitivitate Cloudifier'!$E$23,'Senzitivitate Cloudifier'!$E$28,'Senzitivitate Cloudifier'!$E$33,'Senzitivitate Cloudifier'!$E$38,'Senzitivitate Cloudifier'!$E$43,'Senzitivitate Cloudifier'!$E$48)</c:f>
              <c:numCache>
                <c:formatCode>0.00%</c:formatCode>
                <c:ptCount val="6"/>
                <c:pt idx="0">
                  <c:v>0.333399639414064</c:v>
                </c:pt>
                <c:pt idx="1">
                  <c:v>0.164410623811526</c:v>
                </c:pt>
                <c:pt idx="2">
                  <c:v>0.0325224041249026</c:v>
                </c:pt>
                <c:pt idx="3">
                  <c:v>-0.0323446866514544</c:v>
                </c:pt>
                <c:pt idx="4">
                  <c:v>-0.159967325230361</c:v>
                </c:pt>
                <c:pt idx="5">
                  <c:v>-0.315621922291618</c:v>
                </c:pt>
              </c:numCache>
            </c:numRef>
          </c:val>
          <c:smooth val="1"/>
        </c:ser>
        <c:dLbls>
          <c:showLegendKey val="0"/>
          <c:showVal val="0"/>
          <c:showCatName val="0"/>
          <c:showSerName val="0"/>
          <c:showPercent val="0"/>
          <c:showBubbleSize val="0"/>
        </c:dLbls>
        <c:marker val="1"/>
        <c:smooth val="0"/>
        <c:axId val="1418769920"/>
        <c:axId val="1418796672"/>
      </c:lineChart>
      <c:catAx>
        <c:axId val="14187699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variaţia ratei de actualizare (a)</a:t>
                </a:r>
              </a:p>
            </c:rich>
          </c:tx>
          <c:layout>
            <c:manualLayout>
              <c:xMode val="edge"/>
              <c:yMode val="edge"/>
              <c:x val="0.368041453581189"/>
              <c:y val="0.8787901925482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418796672"/>
        <c:crosses val="autoZero"/>
        <c:auto val="1"/>
        <c:lblAlgn val="ctr"/>
        <c:lblOffset val="100"/>
        <c:tickLblSkip val="1"/>
        <c:tickMarkSkip val="1"/>
        <c:noMultiLvlLbl val="0"/>
      </c:catAx>
      <c:valAx>
        <c:axId val="141879667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a:t>variaţia VAN</a:t>
                </a:r>
              </a:p>
            </c:rich>
          </c:tx>
          <c:layout>
            <c:manualLayout>
              <c:xMode val="edge"/>
              <c:yMode val="edge"/>
              <c:x val="0.0525773195876289"/>
              <c:y val="0.396695371756216"/>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418769920"/>
        <c:crosses val="autoZero"/>
        <c:crossBetween val="between"/>
      </c:valAx>
      <c:spPr>
        <a:noFill/>
        <a:ln w="25400">
          <a:noFill/>
        </a:ln>
      </c:spPr>
    </c:plotArea>
    <c:legend>
      <c:legendPos val="r"/>
      <c:layout>
        <c:manualLayout>
          <c:xMode val="edge"/>
          <c:yMode val="edge"/>
          <c:x val="0.80412414427578"/>
          <c:y val="0.900828760041358"/>
          <c:w val="0.19072175771843"/>
          <c:h val="0.0688708126360238"/>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none" strike="noStrike" baseline="0">
                <a:solidFill>
                  <a:srgbClr val="000000"/>
                </a:solidFill>
                <a:latin typeface="Arial"/>
                <a:ea typeface="Arial"/>
                <a:cs typeface="Arial"/>
              </a:defRPr>
            </a:pPr>
            <a:r>
              <a:rPr lang="en-US"/>
              <a:t>Senzitivitatea VAN la modificarea încasărilor operaţionale</a:t>
            </a:r>
          </a:p>
        </c:rich>
      </c:tx>
      <c:layout>
        <c:manualLayout>
          <c:xMode val="edge"/>
          <c:yMode val="edge"/>
          <c:x val="0.165979489677192"/>
          <c:y val="0.032258064516129"/>
        </c:manualLayout>
      </c:layout>
      <c:overlay val="0"/>
      <c:spPr>
        <a:noFill/>
        <a:ln w="25400">
          <a:noFill/>
        </a:ln>
      </c:spPr>
    </c:title>
    <c:autoTitleDeleted val="0"/>
    <c:plotArea>
      <c:layout>
        <c:manualLayout>
          <c:layoutTarget val="inner"/>
          <c:xMode val="edge"/>
          <c:yMode val="edge"/>
          <c:x val="0.178350605242532"/>
          <c:y val="0.228495223494265"/>
          <c:w val="0.636082794419899"/>
          <c:h val="0.602152118384887"/>
        </c:manualLayout>
      </c:layout>
      <c:lineChart>
        <c:grouping val="standard"/>
        <c:varyColors val="0"/>
        <c:ser>
          <c:idx val="0"/>
          <c:order val="0"/>
          <c:tx>
            <c:v>Variaţie relativă VAN</c:v>
          </c:tx>
          <c:spPr>
            <a:ln w="38100">
              <a:solidFill>
                <a:srgbClr val="00FF00"/>
              </a:solidFill>
              <a:prstDash val="solid"/>
            </a:ln>
          </c:spPr>
          <c:marker>
            <c:symbol val="dot"/>
            <c:size val="2"/>
            <c:spPr>
              <a:solidFill>
                <a:srgbClr val="00FF00"/>
              </a:solidFill>
              <a:ln>
                <a:solidFill>
                  <a:srgbClr val="00FF00"/>
                </a:solidFill>
                <a:prstDash val="solid"/>
              </a:ln>
            </c:spPr>
          </c:marker>
          <c:dLbls>
            <c:spPr>
              <a:noFill/>
              <a:ln w="25400">
                <a:noFill/>
              </a:ln>
            </c:spPr>
            <c:txPr>
              <a:bodyPr wrap="square" lIns="38100" tIns="19050" rIns="38100" bIns="19050" anchor="ctr">
                <a:spAutoFit/>
              </a:bodyPr>
              <a:lstStyle/>
              <a:p>
                <a:pPr>
                  <a:defRPr sz="14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([1]Senzitivitate!$C$50,[1]Senzitivitate!$C$56,[1]Senzitivitate!$C$62,[1]Senzitivitate!$C$68,[1]Senzitivitate!$C$74,[1]Senzitivitate!$C$80)</c:f>
              <c:numCache>
                <c:formatCode>General</c:formatCode>
                <c:ptCount val="6"/>
                <c:pt idx="0">
                  <c:v>0.0</c:v>
                </c:pt>
                <c:pt idx="1">
                  <c:v>0.0</c:v>
                </c:pt>
                <c:pt idx="2">
                  <c:v>0.0</c:v>
                </c:pt>
                <c:pt idx="3">
                  <c:v>0.0</c:v>
                </c:pt>
                <c:pt idx="4">
                  <c:v>0.0</c:v>
                </c:pt>
                <c:pt idx="5">
                  <c:v>0.0</c:v>
                </c:pt>
              </c:numCache>
            </c:numRef>
          </c:cat>
          <c:val>
            <c:numRef>
              <c:f>('Senzitivitate Cloudifier'!$E$55,'Senzitivitate Cloudifier'!$E$61,'Senzitivitate Cloudifier'!$E$67,'Senzitivitate Cloudifier'!$E$73,'Senzitivitate Cloudifier'!$E$79,'Senzitivitate Cloudifier'!$E$85)</c:f>
              <c:numCache>
                <c:formatCode>0.00%</c:formatCode>
                <c:ptCount val="6"/>
                <c:pt idx="0">
                  <c:v>-2.509019910393562</c:v>
                </c:pt>
                <c:pt idx="1">
                  <c:v>-1.254509955196783</c:v>
                </c:pt>
                <c:pt idx="2">
                  <c:v>-0.250901991039355</c:v>
                </c:pt>
                <c:pt idx="3">
                  <c:v>0.250901991039357</c:v>
                </c:pt>
                <c:pt idx="4">
                  <c:v>1.254509955196784</c:v>
                </c:pt>
                <c:pt idx="5">
                  <c:v>2.509019910393566</c:v>
                </c:pt>
              </c:numCache>
            </c:numRef>
          </c:val>
          <c:smooth val="1"/>
        </c:ser>
        <c:dLbls>
          <c:showLegendKey val="0"/>
          <c:showVal val="0"/>
          <c:showCatName val="0"/>
          <c:showSerName val="0"/>
          <c:showPercent val="0"/>
          <c:showBubbleSize val="0"/>
        </c:dLbls>
        <c:marker val="1"/>
        <c:smooth val="0"/>
        <c:axId val="1418322800"/>
        <c:axId val="1417940688"/>
      </c:lineChart>
      <c:catAx>
        <c:axId val="1418322800"/>
        <c:scaling>
          <c:orientation val="minMax"/>
        </c:scaling>
        <c:delete val="0"/>
        <c:axPos val="b"/>
        <c:title>
          <c:tx>
            <c:rich>
              <a:bodyPr/>
              <a:lstStyle/>
              <a:p>
                <a:pPr>
                  <a:defRPr sz="1450" b="1" i="0" u="none" strike="noStrike" baseline="0">
                    <a:solidFill>
                      <a:srgbClr val="000000"/>
                    </a:solidFill>
                    <a:latin typeface="Arial"/>
                    <a:ea typeface="Arial"/>
                    <a:cs typeface="Arial"/>
                  </a:defRPr>
                </a:pPr>
                <a:r>
                  <a:rPr lang="en-US"/>
                  <a:t>variaţia încasărilor operaţionale</a:t>
                </a:r>
              </a:p>
            </c:rich>
          </c:tx>
          <c:layout>
            <c:manualLayout>
              <c:xMode val="edge"/>
              <c:yMode val="edge"/>
              <c:x val="0.3422682577049"/>
              <c:y val="0.8736581717607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417940688"/>
        <c:crosses val="autoZero"/>
        <c:auto val="1"/>
        <c:lblAlgn val="ctr"/>
        <c:lblOffset val="100"/>
        <c:tickLblSkip val="1"/>
        <c:tickMarkSkip val="1"/>
        <c:noMultiLvlLbl val="0"/>
      </c:catAx>
      <c:valAx>
        <c:axId val="1417940688"/>
        <c:scaling>
          <c:orientation val="minMax"/>
        </c:scaling>
        <c:delete val="0"/>
        <c:axPos val="l"/>
        <c:title>
          <c:tx>
            <c:rich>
              <a:bodyPr/>
              <a:lstStyle/>
              <a:p>
                <a:pPr>
                  <a:defRPr sz="1450" b="1" i="0" u="none" strike="noStrike" baseline="0">
                    <a:solidFill>
                      <a:srgbClr val="000000"/>
                    </a:solidFill>
                    <a:latin typeface="Arial"/>
                    <a:ea typeface="Arial"/>
                    <a:cs typeface="Arial"/>
                  </a:defRPr>
                </a:pPr>
                <a:r>
                  <a:rPr lang="en-US"/>
                  <a:t>variaţia VAN</a:t>
                </a:r>
              </a:p>
            </c:rich>
          </c:tx>
          <c:layout>
            <c:manualLayout>
              <c:xMode val="edge"/>
              <c:yMode val="edge"/>
              <c:x val="0.0525773195876289"/>
              <c:y val="0.370968588603844"/>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418322800"/>
        <c:crosses val="autoZero"/>
        <c:crossBetween val="between"/>
      </c:valAx>
      <c:spPr>
        <a:noFill/>
        <a:ln w="25400">
          <a:noFill/>
        </a:ln>
      </c:spPr>
    </c:plotArea>
    <c:legend>
      <c:legendPos val="r"/>
      <c:layout>
        <c:manualLayout>
          <c:xMode val="edge"/>
          <c:yMode val="edge"/>
          <c:x val="0.77732002056444"/>
          <c:y val="0.913981034628736"/>
          <c:w val="0.21752588142977"/>
          <c:h val="0.0752690994270877"/>
        </c:manualLayout>
      </c:layout>
      <c:overlay val="0"/>
      <c:spPr>
        <a:solidFill>
          <a:srgbClr val="FFFFFF"/>
        </a:solidFill>
        <a:ln w="3175">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none" strike="noStrike" baseline="0">
                <a:solidFill>
                  <a:srgbClr val="000000"/>
                </a:solidFill>
                <a:latin typeface="Arial"/>
                <a:ea typeface="Arial"/>
                <a:cs typeface="Arial"/>
              </a:defRPr>
            </a:pPr>
            <a:r>
              <a:rPr lang="en-US"/>
              <a:t>Senzitivitatea VAN la modificarea plăţilor  operaţionale</a:t>
            </a:r>
          </a:p>
        </c:rich>
      </c:tx>
      <c:layout>
        <c:manualLayout>
          <c:xMode val="edge"/>
          <c:yMode val="edge"/>
          <c:x val="0.183694747134936"/>
          <c:y val="0.032171581769437"/>
        </c:manualLayout>
      </c:layout>
      <c:overlay val="0"/>
      <c:spPr>
        <a:noFill/>
        <a:ln w="25400">
          <a:noFill/>
        </a:ln>
      </c:spPr>
    </c:title>
    <c:autoTitleDeleted val="0"/>
    <c:plotArea>
      <c:layout>
        <c:manualLayout>
          <c:layoutTarget val="inner"/>
          <c:xMode val="edge"/>
          <c:yMode val="edge"/>
          <c:x val="0.167182831026299"/>
          <c:y val="0.227882335846305"/>
          <c:w val="0.647059475638823"/>
          <c:h val="0.603217947828454"/>
        </c:manualLayout>
      </c:layout>
      <c:lineChart>
        <c:grouping val="standard"/>
        <c:varyColors val="0"/>
        <c:ser>
          <c:idx val="0"/>
          <c:order val="0"/>
          <c:tx>
            <c:v>Variaţie relativă VAN</c:v>
          </c:tx>
          <c:spPr>
            <a:ln w="38100">
              <a:solidFill>
                <a:srgbClr val="0000FF"/>
              </a:solidFill>
              <a:prstDash val="solid"/>
            </a:ln>
          </c:spPr>
          <c:marker>
            <c:symbol val="dot"/>
            <c:size val="2"/>
            <c:spPr>
              <a:solidFill>
                <a:srgbClr val="0000FF"/>
              </a:solidFill>
              <a:ln>
                <a:solidFill>
                  <a:srgbClr val="0000FF"/>
                </a:solidFill>
                <a:prstDash val="solid"/>
              </a:ln>
            </c:spPr>
          </c:marker>
          <c:dLbls>
            <c:spPr>
              <a:noFill/>
              <a:ln w="25400">
                <a:noFill/>
              </a:ln>
            </c:spPr>
            <c:txPr>
              <a:bodyPr wrap="square" lIns="38100" tIns="19050" rIns="38100" bIns="19050" anchor="ctr">
                <a:spAutoFit/>
              </a:bodyPr>
              <a:lstStyle/>
              <a:p>
                <a:pPr>
                  <a:defRPr sz="14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([1]Senzitivitate!$C$87,[1]Senzitivitate!$C$93,[1]Senzitivitate!$C$99,[1]Senzitivitate!$C$105,[1]Senzitivitate!$C$111,[1]Senzitivitate!$C$117)</c:f>
              <c:numCache>
                <c:formatCode>General</c:formatCode>
                <c:ptCount val="6"/>
                <c:pt idx="0">
                  <c:v>0.0</c:v>
                </c:pt>
                <c:pt idx="1">
                  <c:v>0.0</c:v>
                </c:pt>
                <c:pt idx="2">
                  <c:v>0.0</c:v>
                </c:pt>
                <c:pt idx="3">
                  <c:v>0.0</c:v>
                </c:pt>
                <c:pt idx="4">
                  <c:v>0.0</c:v>
                </c:pt>
                <c:pt idx="5">
                  <c:v>0.0</c:v>
                </c:pt>
              </c:numCache>
            </c:numRef>
          </c:cat>
          <c:val>
            <c:numRef>
              <c:f>('Senzitivitate Cloudifier'!$E$92,'Senzitivitate Cloudifier'!$E$98,'Senzitivitate Cloudifier'!$E$104,'Senzitivitate Cloudifier'!$E$110,'Senzitivitate Cloudifier'!$E$116,'Senzitivitate Cloudifier'!$E$122)</c:f>
              <c:numCache>
                <c:formatCode>0.00%</c:formatCode>
                <c:ptCount val="6"/>
                <c:pt idx="0">
                  <c:v>1.282938880416946</c:v>
                </c:pt>
                <c:pt idx="1">
                  <c:v>0.641469440208474</c:v>
                </c:pt>
                <c:pt idx="2">
                  <c:v>0.128293888041696</c:v>
                </c:pt>
                <c:pt idx="3">
                  <c:v>-0.128293888041694</c:v>
                </c:pt>
                <c:pt idx="4">
                  <c:v>-0.641469440208472</c:v>
                </c:pt>
                <c:pt idx="5">
                  <c:v>-1.282938880416946</c:v>
                </c:pt>
              </c:numCache>
            </c:numRef>
          </c:val>
          <c:smooth val="1"/>
        </c:ser>
        <c:dLbls>
          <c:showLegendKey val="0"/>
          <c:showVal val="0"/>
          <c:showCatName val="0"/>
          <c:showSerName val="0"/>
          <c:showPercent val="0"/>
          <c:showBubbleSize val="0"/>
        </c:dLbls>
        <c:marker val="1"/>
        <c:smooth val="0"/>
        <c:axId val="1418389376"/>
        <c:axId val="1418396624"/>
      </c:lineChart>
      <c:catAx>
        <c:axId val="1418389376"/>
        <c:scaling>
          <c:orientation val="minMax"/>
        </c:scaling>
        <c:delete val="0"/>
        <c:axPos val="b"/>
        <c:title>
          <c:tx>
            <c:rich>
              <a:bodyPr/>
              <a:lstStyle/>
              <a:p>
                <a:pPr>
                  <a:defRPr sz="1450" b="1" i="0" u="none" strike="noStrike" baseline="0">
                    <a:solidFill>
                      <a:srgbClr val="000000"/>
                    </a:solidFill>
                    <a:latin typeface="Arial"/>
                    <a:ea typeface="Arial"/>
                    <a:cs typeface="Arial"/>
                  </a:defRPr>
                </a:pPr>
                <a:r>
                  <a:rPr lang="en-US"/>
                  <a:t>variaţia plăţilor operaţionale</a:t>
                </a:r>
              </a:p>
            </c:rich>
          </c:tx>
          <c:layout>
            <c:manualLayout>
              <c:xMode val="edge"/>
              <c:yMode val="edge"/>
              <c:x val="0.353973493251424"/>
              <c:y val="0.873995763934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418396624"/>
        <c:crosses val="autoZero"/>
        <c:auto val="1"/>
        <c:lblAlgn val="ctr"/>
        <c:lblOffset val="100"/>
        <c:tickLblSkip val="1"/>
        <c:tickMarkSkip val="1"/>
        <c:noMultiLvlLbl val="0"/>
      </c:catAx>
      <c:valAx>
        <c:axId val="1418396624"/>
        <c:scaling>
          <c:orientation val="minMax"/>
        </c:scaling>
        <c:delete val="0"/>
        <c:axPos val="l"/>
        <c:title>
          <c:tx>
            <c:rich>
              <a:bodyPr/>
              <a:lstStyle/>
              <a:p>
                <a:pPr>
                  <a:defRPr sz="1450" b="1" i="0" u="none" strike="noStrike" baseline="0">
                    <a:solidFill>
                      <a:srgbClr val="000000"/>
                    </a:solidFill>
                    <a:latin typeface="Arial"/>
                    <a:ea typeface="Arial"/>
                    <a:cs typeface="Arial"/>
                  </a:defRPr>
                </a:pPr>
                <a:r>
                  <a:rPr lang="en-US"/>
                  <a:t>variaţia VAN</a:t>
                </a:r>
              </a:p>
            </c:rich>
          </c:tx>
          <c:layout>
            <c:manualLayout>
              <c:xMode val="edge"/>
              <c:yMode val="edge"/>
              <c:x val="0.0526315789473684"/>
              <c:y val="0.36997375328084"/>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418389376"/>
        <c:crosses val="autoZero"/>
        <c:crossBetween val="between"/>
      </c:valAx>
      <c:spPr>
        <a:noFill/>
        <a:ln w="25400">
          <a:noFill/>
        </a:ln>
      </c:spPr>
    </c:plotArea>
    <c:legend>
      <c:legendPos val="r"/>
      <c:layout>
        <c:manualLayout>
          <c:xMode val="edge"/>
          <c:yMode val="edge"/>
          <c:x val="0.777090541700863"/>
          <c:y val="0.91421024114613"/>
          <c:w val="0.217750474689116"/>
          <c:h val="0.0750670241286864"/>
        </c:manualLayout>
      </c:layout>
      <c:overlay val="0"/>
      <c:spPr>
        <a:solidFill>
          <a:srgbClr val="FFFFFF"/>
        </a:solidFill>
        <a:ln w="3175">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9525</xdr:colOff>
      <xdr:row>127</xdr:row>
      <xdr:rowOff>19050</xdr:rowOff>
    </xdr:from>
    <xdr:to>
      <xdr:col>8</xdr:col>
      <xdr:colOff>990600</xdr:colOff>
      <xdr:row>148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149</xdr:row>
      <xdr:rowOff>19050</xdr:rowOff>
    </xdr:from>
    <xdr:to>
      <xdr:col>8</xdr:col>
      <xdr:colOff>981075</xdr:colOff>
      <xdr:row>171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172</xdr:row>
      <xdr:rowOff>9525</xdr:rowOff>
    </xdr:from>
    <xdr:to>
      <xdr:col>8</xdr:col>
      <xdr:colOff>971550</xdr:colOff>
      <xdr:row>194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ar/mobile/Containers/Bundle/Application/255A0868-018F-429A-B25D-BC8AF48CAEE0/Excel.app/D:/Dropbox/DIVERSE_SHARE/STARTUP%202015/Senzitivitate%20GoDrive%20si%20Cloudifi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zitivit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B1:J54"/>
  <sheetViews>
    <sheetView showGridLines="0" tabSelected="1" topLeftCell="A29" zoomScale="85" zoomScaleNormal="85" zoomScalePageLayoutView="85" workbookViewId="0">
      <selection activeCell="E45" sqref="E45"/>
    </sheetView>
  </sheetViews>
  <sheetFormatPr baseColWidth="10" defaultColWidth="8.6640625" defaultRowHeight="15" x14ac:dyDescent="0.2"/>
  <cols>
    <col min="1" max="1" width="2.6640625" customWidth="1"/>
    <col min="2" max="2" width="43.5" style="1" customWidth="1"/>
    <col min="3" max="3" width="11.33203125" bestFit="1" customWidth="1"/>
    <col min="4" max="4" width="12.6640625" bestFit="1" customWidth="1"/>
    <col min="5" max="8" width="12.5" bestFit="1" customWidth="1"/>
    <col min="9" max="9" width="13.6640625" bestFit="1" customWidth="1"/>
  </cols>
  <sheetData>
    <row r="1" spans="2:9" ht="14.25" customHeight="1" x14ac:dyDescent="0.2"/>
    <row r="3" spans="2:9" ht="16" x14ac:dyDescent="0.2">
      <c r="C3" s="166" t="s">
        <v>15</v>
      </c>
      <c r="D3" s="167"/>
      <c r="E3" s="168" t="s">
        <v>0</v>
      </c>
      <c r="F3" s="169"/>
      <c r="G3" s="169"/>
      <c r="H3" s="169"/>
      <c r="I3" s="170"/>
    </row>
    <row r="4" spans="2:9" ht="16" thickBot="1" x14ac:dyDescent="0.25">
      <c r="C4" s="145" t="s">
        <v>1</v>
      </c>
      <c r="D4" s="145" t="s">
        <v>2</v>
      </c>
      <c r="E4" s="7" t="s">
        <v>1</v>
      </c>
      <c r="F4" s="7" t="s">
        <v>2</v>
      </c>
      <c r="G4" s="7" t="s">
        <v>3</v>
      </c>
      <c r="H4" s="8" t="s">
        <v>4</v>
      </c>
      <c r="I4" s="115" t="s">
        <v>5</v>
      </c>
    </row>
    <row r="5" spans="2:9" s="2" customFormat="1" ht="16" thickBot="1" x14ac:dyDescent="0.25">
      <c r="B5" s="101" t="s">
        <v>83</v>
      </c>
      <c r="C5" s="146">
        <f>SUM(C6:C9)</f>
        <v>470574</v>
      </c>
      <c r="D5" s="146">
        <f t="shared" ref="D5:I5" si="0">SUM(D6:D9)</f>
        <v>470574</v>
      </c>
      <c r="E5" s="117">
        <f t="shared" si="0"/>
        <v>0</v>
      </c>
      <c r="F5" s="117">
        <f t="shared" si="0"/>
        <v>0</v>
      </c>
      <c r="G5" s="117">
        <f t="shared" si="0"/>
        <v>0</v>
      </c>
      <c r="H5" s="118">
        <f t="shared" si="0"/>
        <v>0</v>
      </c>
      <c r="I5" s="104">
        <f t="shared" si="0"/>
        <v>0</v>
      </c>
    </row>
    <row r="6" spans="2:9" x14ac:dyDescent="0.2">
      <c r="B6" s="116" t="s">
        <v>27</v>
      </c>
      <c r="C6" s="147">
        <f>65000</f>
        <v>65000</v>
      </c>
      <c r="D6" s="147">
        <f>C6</f>
        <v>65000</v>
      </c>
      <c r="E6" s="113"/>
      <c r="F6" s="113"/>
      <c r="G6" s="113"/>
      <c r="H6" s="114"/>
      <c r="I6" s="92"/>
    </row>
    <row r="7" spans="2:9" x14ac:dyDescent="0.2">
      <c r="B7" s="5" t="s">
        <v>6</v>
      </c>
      <c r="C7" s="148">
        <v>0</v>
      </c>
      <c r="D7" s="148">
        <v>0</v>
      </c>
      <c r="E7" s="4">
        <v>0</v>
      </c>
      <c r="F7" s="4">
        <v>0</v>
      </c>
      <c r="G7" s="4">
        <v>0</v>
      </c>
      <c r="H7" s="6">
        <v>0</v>
      </c>
      <c r="I7" s="9">
        <v>0</v>
      </c>
    </row>
    <row r="8" spans="2:9" x14ac:dyDescent="0.2">
      <c r="B8" s="5" t="s">
        <v>18</v>
      </c>
      <c r="C8" s="148">
        <v>0</v>
      </c>
      <c r="D8" s="148">
        <v>0</v>
      </c>
      <c r="E8" s="4"/>
      <c r="F8" s="4"/>
      <c r="G8" s="4">
        <v>0</v>
      </c>
      <c r="H8" s="6">
        <v>0</v>
      </c>
      <c r="I8" s="9">
        <v>0</v>
      </c>
    </row>
    <row r="9" spans="2:9" ht="16" thickBot="1" x14ac:dyDescent="0.25">
      <c r="B9" s="97" t="s">
        <v>74</v>
      </c>
      <c r="C9" s="149">
        <f>811148/2</f>
        <v>405574</v>
      </c>
      <c r="D9" s="149">
        <f>C9</f>
        <v>405574</v>
      </c>
      <c r="E9" s="98">
        <v>0</v>
      </c>
      <c r="F9" s="98">
        <v>0</v>
      </c>
      <c r="G9" s="98">
        <v>0</v>
      </c>
      <c r="H9" s="99">
        <v>0</v>
      </c>
      <c r="I9" s="90">
        <v>0</v>
      </c>
    </row>
    <row r="10" spans="2:9" s="2" customFormat="1" ht="16" thickBot="1" x14ac:dyDescent="0.25">
      <c r="B10" s="101" t="s">
        <v>82</v>
      </c>
      <c r="C10" s="150">
        <f>SUM(C11:C15)</f>
        <v>0</v>
      </c>
      <c r="D10" s="150">
        <f>SUM(D11:D15)</f>
        <v>0</v>
      </c>
      <c r="E10" s="102">
        <f t="shared" ref="E10:H10" si="1">SUM(E11:E15)</f>
        <v>438588</v>
      </c>
      <c r="F10" s="102">
        <f t="shared" si="1"/>
        <v>482446.80000000005</v>
      </c>
      <c r="G10" s="102">
        <f t="shared" si="1"/>
        <v>530691.48</v>
      </c>
      <c r="H10" s="103">
        <f t="shared" si="1"/>
        <v>583760.62800000003</v>
      </c>
      <c r="I10" s="104">
        <f>SUM(I11:I15)</f>
        <v>642136.6908000001</v>
      </c>
    </row>
    <row r="11" spans="2:9" s="14" customFormat="1" ht="50.25" customHeight="1" x14ac:dyDescent="0.2">
      <c r="B11" s="105" t="s">
        <v>22</v>
      </c>
      <c r="C11" s="151">
        <v>0</v>
      </c>
      <c r="D11" s="151">
        <v>0</v>
      </c>
      <c r="E11" s="106">
        <f>1*1800*4.5*12*1.24</f>
        <v>120528</v>
      </c>
      <c r="F11" s="106">
        <f>E11*1.1</f>
        <v>132580.80000000002</v>
      </c>
      <c r="G11" s="106">
        <f t="shared" ref="G11:I11" si="2">F11*1.1</f>
        <v>145838.88000000003</v>
      </c>
      <c r="H11" s="107">
        <f t="shared" si="2"/>
        <v>160422.76800000004</v>
      </c>
      <c r="I11" s="108">
        <f t="shared" si="2"/>
        <v>176465.04480000006</v>
      </c>
    </row>
    <row r="12" spans="2:9" s="14" customFormat="1" ht="50.25" customHeight="1" x14ac:dyDescent="0.2">
      <c r="B12" s="10" t="s">
        <v>30</v>
      </c>
      <c r="C12" s="152">
        <v>0</v>
      </c>
      <c r="D12" s="152">
        <v>0</v>
      </c>
      <c r="E12" s="11">
        <f>10*100*12*4.5*1.24</f>
        <v>66960</v>
      </c>
      <c r="F12" s="11">
        <f>E12*1.1</f>
        <v>73656</v>
      </c>
      <c r="G12" s="11">
        <f t="shared" ref="G12:I12" si="3">F12*1.1</f>
        <v>81021.600000000006</v>
      </c>
      <c r="H12" s="12">
        <f t="shared" si="3"/>
        <v>89123.760000000009</v>
      </c>
      <c r="I12" s="13">
        <f t="shared" si="3"/>
        <v>98036.136000000013</v>
      </c>
    </row>
    <row r="13" spans="2:9" s="14" customFormat="1" ht="50.25" customHeight="1" x14ac:dyDescent="0.2">
      <c r="B13" s="10" t="s">
        <v>29</v>
      </c>
      <c r="C13" s="152">
        <v>0</v>
      </c>
      <c r="D13" s="152">
        <v>0</v>
      </c>
      <c r="E13" s="11">
        <f>75*10*12*4.5*1.24</f>
        <v>50220</v>
      </c>
      <c r="F13" s="11">
        <f>E13*1.1</f>
        <v>55242.000000000007</v>
      </c>
      <c r="G13" s="11">
        <f t="shared" ref="G13:G15" si="4">F13*1.1</f>
        <v>60766.200000000012</v>
      </c>
      <c r="H13" s="12">
        <f t="shared" ref="H13:H15" si="5">G13*1.1</f>
        <v>66842.820000000022</v>
      </c>
      <c r="I13" s="13">
        <f t="shared" ref="I13:I15" si="6">H13*1.1</f>
        <v>73527.102000000028</v>
      </c>
    </row>
    <row r="14" spans="2:9" s="14" customFormat="1" ht="50.25" customHeight="1" x14ac:dyDescent="0.2">
      <c r="B14" s="10" t="s">
        <v>23</v>
      </c>
      <c r="C14" s="152">
        <v>0</v>
      </c>
      <c r="D14" s="152">
        <v>0</v>
      </c>
      <c r="E14" s="11">
        <f>2*500*12*4.5*1.24</f>
        <v>66960</v>
      </c>
      <c r="F14" s="11">
        <f t="shared" ref="F14:F15" si="7">E14*1.1</f>
        <v>73656</v>
      </c>
      <c r="G14" s="11">
        <f t="shared" si="4"/>
        <v>81021.600000000006</v>
      </c>
      <c r="H14" s="12">
        <f t="shared" si="5"/>
        <v>89123.760000000009</v>
      </c>
      <c r="I14" s="13">
        <f t="shared" si="6"/>
        <v>98036.136000000013</v>
      </c>
    </row>
    <row r="15" spans="2:9" s="14" customFormat="1" ht="50.25" customHeight="1" thickBot="1" x14ac:dyDescent="0.25">
      <c r="B15" s="109" t="s">
        <v>7</v>
      </c>
      <c r="C15" s="153">
        <v>0</v>
      </c>
      <c r="D15" s="153">
        <v>0</v>
      </c>
      <c r="E15" s="110">
        <f>1*2000*12*4.5*1.24</f>
        <v>133920</v>
      </c>
      <c r="F15" s="110">
        <f t="shared" si="7"/>
        <v>147312</v>
      </c>
      <c r="G15" s="110">
        <f t="shared" si="4"/>
        <v>162043.20000000001</v>
      </c>
      <c r="H15" s="111">
        <f t="shared" si="5"/>
        <v>178247.52000000002</v>
      </c>
      <c r="I15" s="112">
        <f t="shared" si="6"/>
        <v>196072.27200000003</v>
      </c>
    </row>
    <row r="16" spans="2:9" s="3" customFormat="1" ht="16" thickBot="1" x14ac:dyDescent="0.25">
      <c r="B16" s="93" t="s">
        <v>16</v>
      </c>
      <c r="C16" s="154">
        <f t="shared" ref="C16:I16" si="8">C5+C10</f>
        <v>470574</v>
      </c>
      <c r="D16" s="154">
        <f t="shared" si="8"/>
        <v>470574</v>
      </c>
      <c r="E16" s="94">
        <f>E5+E10</f>
        <v>438588</v>
      </c>
      <c r="F16" s="94">
        <f t="shared" si="8"/>
        <v>482446.80000000005</v>
      </c>
      <c r="G16" s="94">
        <f t="shared" si="8"/>
        <v>530691.48</v>
      </c>
      <c r="H16" s="95">
        <f t="shared" si="8"/>
        <v>583760.62800000003</v>
      </c>
      <c r="I16" s="96">
        <f t="shared" si="8"/>
        <v>642136.6908000001</v>
      </c>
    </row>
    <row r="17" spans="2:9" ht="16" thickBot="1" x14ac:dyDescent="0.25">
      <c r="B17" s="119"/>
      <c r="C17" s="155"/>
      <c r="D17" s="155"/>
      <c r="E17" s="120"/>
      <c r="F17" s="120"/>
      <c r="G17" s="120"/>
      <c r="H17" s="121"/>
      <c r="I17" s="122"/>
    </row>
    <row r="18" spans="2:9" s="2" customFormat="1" ht="16" thickBot="1" x14ac:dyDescent="0.25">
      <c r="B18" s="101" t="s">
        <v>79</v>
      </c>
      <c r="C18" s="146">
        <f>SUM(C19:C20)</f>
        <v>0</v>
      </c>
      <c r="D18" s="146">
        <f t="shared" ref="D18:I18" si="9">SUM(D19:D20)</f>
        <v>0</v>
      </c>
      <c r="E18" s="117">
        <f t="shared" si="9"/>
        <v>0</v>
      </c>
      <c r="F18" s="117">
        <f t="shared" si="9"/>
        <v>0</v>
      </c>
      <c r="G18" s="117">
        <f t="shared" si="9"/>
        <v>0</v>
      </c>
      <c r="H18" s="118">
        <f t="shared" si="9"/>
        <v>0</v>
      </c>
      <c r="I18" s="104">
        <f t="shared" si="9"/>
        <v>0</v>
      </c>
    </row>
    <row r="19" spans="2:9" x14ac:dyDescent="0.2">
      <c r="B19" s="116" t="s">
        <v>14</v>
      </c>
      <c r="C19" s="147"/>
      <c r="D19" s="147"/>
      <c r="E19" s="113"/>
      <c r="F19" s="113"/>
      <c r="G19" s="113"/>
      <c r="H19" s="114"/>
      <c r="I19" s="92"/>
    </row>
    <row r="20" spans="2:9" ht="16" thickBot="1" x14ac:dyDescent="0.25">
      <c r="B20" s="97" t="s">
        <v>8</v>
      </c>
      <c r="C20" s="156">
        <v>0</v>
      </c>
      <c r="D20" s="156">
        <v>0</v>
      </c>
      <c r="E20" s="98">
        <f>E8/10</f>
        <v>0</v>
      </c>
      <c r="F20" s="98">
        <f>E20</f>
        <v>0</v>
      </c>
      <c r="G20" s="98">
        <f>F20+F8/10</f>
        <v>0</v>
      </c>
      <c r="H20" s="99">
        <f>G20</f>
        <v>0</v>
      </c>
      <c r="I20" s="90">
        <f t="shared" ref="I20" si="10">H20</f>
        <v>0</v>
      </c>
    </row>
    <row r="21" spans="2:9" s="2" customFormat="1" ht="16" thickBot="1" x14ac:dyDescent="0.25">
      <c r="B21" s="101" t="s">
        <v>80</v>
      </c>
      <c r="C21" s="146">
        <f>SUM(C22:C27)</f>
        <v>459837.5</v>
      </c>
      <c r="D21" s="146">
        <f>SUM(D22:D27)</f>
        <v>459837.5</v>
      </c>
      <c r="E21" s="117">
        <f t="shared" ref="E21:F21" si="11">SUM(E22:E27)</f>
        <v>0</v>
      </c>
      <c r="F21" s="117">
        <f t="shared" si="11"/>
        <v>0</v>
      </c>
      <c r="G21" s="117">
        <f>SUM(G22:G27)</f>
        <v>0</v>
      </c>
      <c r="H21" s="118">
        <f t="shared" ref="H21:I21" si="12">SUM(H22:H27)</f>
        <v>0</v>
      </c>
      <c r="I21" s="104">
        <f t="shared" si="12"/>
        <v>0</v>
      </c>
    </row>
    <row r="22" spans="2:9" x14ac:dyDescent="0.2">
      <c r="B22" s="116" t="s">
        <v>25</v>
      </c>
      <c r="C22" s="147">
        <f>50000/2</f>
        <v>25000</v>
      </c>
      <c r="D22" s="147">
        <f>C22</f>
        <v>25000</v>
      </c>
      <c r="E22" s="113"/>
      <c r="F22" s="113"/>
      <c r="G22" s="113"/>
      <c r="H22" s="114"/>
      <c r="I22" s="92"/>
    </row>
    <row r="23" spans="2:9" x14ac:dyDescent="0.2">
      <c r="B23" s="5" t="s">
        <v>26</v>
      </c>
      <c r="C23" s="148">
        <f>66000/2</f>
        <v>33000</v>
      </c>
      <c r="D23" s="148">
        <f>C23</f>
        <v>33000</v>
      </c>
      <c r="E23" s="4"/>
      <c r="F23" s="4"/>
      <c r="G23" s="4"/>
      <c r="H23" s="6"/>
      <c r="I23" s="9"/>
    </row>
    <row r="24" spans="2:9" x14ac:dyDescent="0.2">
      <c r="B24" s="5" t="s">
        <v>13</v>
      </c>
      <c r="C24" s="148">
        <f>123375/2</f>
        <v>61687.5</v>
      </c>
      <c r="D24" s="148">
        <f>C24</f>
        <v>61687.5</v>
      </c>
      <c r="E24" s="4"/>
      <c r="F24" s="4"/>
      <c r="G24" s="4"/>
      <c r="H24" s="6"/>
      <c r="I24" s="9"/>
    </row>
    <row r="25" spans="2:9" x14ac:dyDescent="0.2">
      <c r="B25" s="5" t="s">
        <v>24</v>
      </c>
      <c r="C25" s="148">
        <f>377500/2*0.8</f>
        <v>151000</v>
      </c>
      <c r="D25" s="148">
        <f>C25</f>
        <v>151000</v>
      </c>
      <c r="E25" s="4"/>
      <c r="F25" s="4"/>
      <c r="G25" s="4"/>
      <c r="H25" s="6"/>
      <c r="I25" s="9"/>
    </row>
    <row r="26" spans="2:9" x14ac:dyDescent="0.2">
      <c r="B26" s="5" t="s">
        <v>10</v>
      </c>
      <c r="C26" s="148">
        <f>C25/0.8*0.2</f>
        <v>37750</v>
      </c>
      <c r="D26" s="148">
        <f t="shared" ref="D26" si="13">D25/0.8*0.2</f>
        <v>37750</v>
      </c>
      <c r="E26" s="4"/>
      <c r="F26" s="4"/>
      <c r="G26" s="4"/>
      <c r="H26" s="6"/>
      <c r="I26" s="9"/>
    </row>
    <row r="27" spans="2:9" ht="16" thickBot="1" x14ac:dyDescent="0.25">
      <c r="B27" s="97" t="s">
        <v>11</v>
      </c>
      <c r="C27" s="156">
        <f>302800/2</f>
        <v>151400</v>
      </c>
      <c r="D27" s="156">
        <f>C27</f>
        <v>151400</v>
      </c>
      <c r="E27" s="98"/>
      <c r="F27" s="98"/>
      <c r="G27" s="98"/>
      <c r="H27" s="99"/>
      <c r="I27" s="90"/>
    </row>
    <row r="28" spans="2:9" s="2" customFormat="1" ht="16" thickBot="1" x14ac:dyDescent="0.25">
      <c r="B28" s="101" t="s">
        <v>81</v>
      </c>
      <c r="C28" s="150">
        <f>SUM(C29:C33)</f>
        <v>0</v>
      </c>
      <c r="D28" s="150">
        <f t="shared" ref="D28:I28" si="14">SUM(D29:D33)</f>
        <v>0</v>
      </c>
      <c r="E28" s="102">
        <f t="shared" si="14"/>
        <v>247250</v>
      </c>
      <c r="F28" s="102">
        <f t="shared" si="14"/>
        <v>259000</v>
      </c>
      <c r="G28" s="102">
        <f>SUM(G29:G33)</f>
        <v>270750</v>
      </c>
      <c r="H28" s="103">
        <f t="shared" si="14"/>
        <v>283750</v>
      </c>
      <c r="I28" s="104">
        <f t="shared" si="14"/>
        <v>296750</v>
      </c>
    </row>
    <row r="29" spans="2:9" x14ac:dyDescent="0.2">
      <c r="B29" s="100" t="s">
        <v>12</v>
      </c>
      <c r="C29" s="157"/>
      <c r="D29" s="157"/>
      <c r="E29" s="26">
        <f>INT(D22*0/1000)*1000</f>
        <v>0</v>
      </c>
      <c r="F29" s="26">
        <f>INT(E29*1.1/1000)*1000</f>
        <v>0</v>
      </c>
      <c r="G29" s="26">
        <f t="shared" ref="G29:I29" si="15">INT(F29*1.1/1000)*1000</f>
        <v>0</v>
      </c>
      <c r="H29" s="26">
        <f t="shared" si="15"/>
        <v>0</v>
      </c>
      <c r="I29" s="26">
        <f t="shared" si="15"/>
        <v>0</v>
      </c>
    </row>
    <row r="30" spans="2:9" x14ac:dyDescent="0.2">
      <c r="B30" s="5" t="s">
        <v>13</v>
      </c>
      <c r="C30" s="148"/>
      <c r="D30" s="148"/>
      <c r="E30" s="4">
        <f>INT(D24*0.8/1000)*1000</f>
        <v>49000</v>
      </c>
      <c r="F30" s="4">
        <f>INT(E30*1.05/1000)*1000</f>
        <v>51000</v>
      </c>
      <c r="G30" s="4">
        <f t="shared" ref="G30:I30" si="16">INT(F30*1.05/1000)*1000</f>
        <v>53000</v>
      </c>
      <c r="H30" s="4">
        <f t="shared" si="16"/>
        <v>55000</v>
      </c>
      <c r="I30" s="4">
        <f t="shared" si="16"/>
        <v>57000</v>
      </c>
    </row>
    <row r="31" spans="2:9" x14ac:dyDescent="0.2">
      <c r="B31" s="5" t="s">
        <v>9</v>
      </c>
      <c r="C31" s="148"/>
      <c r="D31" s="148"/>
      <c r="E31" s="4">
        <f>INT(D25/1.01/1000)*1000</f>
        <v>149000</v>
      </c>
      <c r="F31" s="4">
        <f>INT(E31*1.05/1000)*1000</f>
        <v>156000</v>
      </c>
      <c r="G31" s="4">
        <f t="shared" ref="G31:I31" si="17">INT(F31*1.05/1000)*1000</f>
        <v>163000</v>
      </c>
      <c r="H31" s="4">
        <f t="shared" si="17"/>
        <v>171000</v>
      </c>
      <c r="I31" s="4">
        <f t="shared" si="17"/>
        <v>179000</v>
      </c>
    </row>
    <row r="32" spans="2:9" x14ac:dyDescent="0.2">
      <c r="B32" s="5" t="s">
        <v>10</v>
      </c>
      <c r="C32" s="148"/>
      <c r="D32" s="148"/>
      <c r="E32" s="4">
        <f>E31/0.8*0.2</f>
        <v>37250</v>
      </c>
      <c r="F32" s="4">
        <f t="shared" ref="F32:I32" si="18">F31/0.8*0.2</f>
        <v>39000</v>
      </c>
      <c r="G32" s="4">
        <f t="shared" si="18"/>
        <v>40750</v>
      </c>
      <c r="H32" s="6">
        <f t="shared" si="18"/>
        <v>42750</v>
      </c>
      <c r="I32" s="9">
        <f t="shared" si="18"/>
        <v>44750</v>
      </c>
    </row>
    <row r="33" spans="2:10" ht="16" thickBot="1" x14ac:dyDescent="0.25">
      <c r="B33" s="87" t="s">
        <v>11</v>
      </c>
      <c r="C33" s="158"/>
      <c r="D33" s="158"/>
      <c r="E33" s="88">
        <f>12000</f>
        <v>12000</v>
      </c>
      <c r="F33" s="88">
        <f>INT(E33*1.1/1000)*1000</f>
        <v>13000</v>
      </c>
      <c r="G33" s="88">
        <f t="shared" ref="G33:I33" si="19">INT(F33*1.1/1000)*1000</f>
        <v>14000</v>
      </c>
      <c r="H33" s="89">
        <f t="shared" si="19"/>
        <v>15000</v>
      </c>
      <c r="I33" s="90">
        <f t="shared" si="19"/>
        <v>16000</v>
      </c>
    </row>
    <row r="34" spans="2:10" s="3" customFormat="1" ht="16" thickBot="1" x14ac:dyDescent="0.25">
      <c r="B34" s="93" t="s">
        <v>17</v>
      </c>
      <c r="C34" s="154">
        <f>C18+C28+C21</f>
        <v>459837.5</v>
      </c>
      <c r="D34" s="154">
        <f t="shared" ref="D34:I34" si="20">D18+D28+D21</f>
        <v>459837.5</v>
      </c>
      <c r="E34" s="94">
        <f>E18+E28+E21</f>
        <v>247250</v>
      </c>
      <c r="F34" s="94">
        <f t="shared" si="20"/>
        <v>259000</v>
      </c>
      <c r="G34" s="94">
        <f t="shared" si="20"/>
        <v>270750</v>
      </c>
      <c r="H34" s="95">
        <f t="shared" si="20"/>
        <v>283750</v>
      </c>
      <c r="I34" s="96">
        <f t="shared" si="20"/>
        <v>296750</v>
      </c>
    </row>
    <row r="35" spans="2:10" x14ac:dyDescent="0.2">
      <c r="B35" s="79"/>
      <c r="C35" s="157"/>
      <c r="D35" s="157"/>
      <c r="E35" s="26"/>
      <c r="F35" s="26"/>
      <c r="G35" s="26"/>
      <c r="H35" s="91"/>
      <c r="I35" s="92"/>
    </row>
    <row r="36" spans="2:10" x14ac:dyDescent="0.2">
      <c r="B36" s="85" t="s">
        <v>75</v>
      </c>
      <c r="C36" s="159">
        <f>C16-C34</f>
        <v>10736.5</v>
      </c>
      <c r="D36" s="159">
        <f t="shared" ref="D36:I36" si="21">D16-D34</f>
        <v>10736.5</v>
      </c>
      <c r="E36" s="17">
        <f t="shared" si="21"/>
        <v>191338</v>
      </c>
      <c r="F36" s="17">
        <f t="shared" si="21"/>
        <v>223446.80000000005</v>
      </c>
      <c r="G36" s="17">
        <f t="shared" si="21"/>
        <v>259941.47999999998</v>
      </c>
      <c r="H36" s="86">
        <f t="shared" si="21"/>
        <v>300010.62800000003</v>
      </c>
      <c r="I36" s="18">
        <f t="shared" si="21"/>
        <v>345386.6908000001</v>
      </c>
    </row>
    <row r="37" spans="2:10" ht="16" thickBot="1" x14ac:dyDescent="0.25">
      <c r="B37" s="123" t="s">
        <v>78</v>
      </c>
      <c r="C37" s="160">
        <v>0</v>
      </c>
      <c r="D37" s="160">
        <f>C38</f>
        <v>10736.5</v>
      </c>
      <c r="E37" s="124">
        <f>D38</f>
        <v>21473</v>
      </c>
      <c r="F37" s="124">
        <f t="shared" ref="F37:I37" si="22">E38</f>
        <v>212811</v>
      </c>
      <c r="G37" s="124">
        <f t="shared" si="22"/>
        <v>436257.80000000005</v>
      </c>
      <c r="H37" s="125">
        <f t="shared" si="22"/>
        <v>696199.28</v>
      </c>
      <c r="I37" s="126">
        <f t="shared" si="22"/>
        <v>996209.90800000005</v>
      </c>
    </row>
    <row r="38" spans="2:10" ht="17" thickBot="1" x14ac:dyDescent="0.25">
      <c r="B38" s="127" t="s">
        <v>77</v>
      </c>
      <c r="C38" s="128">
        <f>C36+C37</f>
        <v>10736.5</v>
      </c>
      <c r="D38" s="128">
        <f t="shared" ref="D38:I38" si="23">D36+D37</f>
        <v>21473</v>
      </c>
      <c r="E38" s="128">
        <f t="shared" si="23"/>
        <v>212811</v>
      </c>
      <c r="F38" s="128">
        <f t="shared" si="23"/>
        <v>436257.80000000005</v>
      </c>
      <c r="G38" s="128">
        <f t="shared" si="23"/>
        <v>696199.28</v>
      </c>
      <c r="H38" s="129">
        <f t="shared" si="23"/>
        <v>996209.90800000005</v>
      </c>
      <c r="I38" s="130">
        <f t="shared" si="23"/>
        <v>1341596.5988000003</v>
      </c>
    </row>
    <row r="40" spans="2:10" ht="16" thickBot="1" x14ac:dyDescent="0.25"/>
    <row r="41" spans="2:10" ht="16" thickBot="1" x14ac:dyDescent="0.25">
      <c r="C41" s="131"/>
      <c r="D41" s="136" t="s">
        <v>31</v>
      </c>
      <c r="E41" s="137" t="s">
        <v>32</v>
      </c>
      <c r="F41" s="137" t="s">
        <v>33</v>
      </c>
      <c r="G41" s="137" t="s">
        <v>34</v>
      </c>
      <c r="H41" s="137" t="s">
        <v>35</v>
      </c>
      <c r="I41" s="138" t="s">
        <v>44</v>
      </c>
    </row>
    <row r="42" spans="2:10" ht="19.5" customHeight="1" thickBot="1" x14ac:dyDescent="0.25">
      <c r="C42" s="132" t="s">
        <v>76</v>
      </c>
      <c r="D42" s="133">
        <f>-(C21+D21)</f>
        <v>-919675</v>
      </c>
      <c r="E42" s="134">
        <f>E10-E28</f>
        <v>191338</v>
      </c>
      <c r="F42" s="134">
        <f t="shared" ref="F42:I42" si="24">F10-F28</f>
        <v>223446.80000000005</v>
      </c>
      <c r="G42" s="134">
        <f t="shared" si="24"/>
        <v>259941.47999999998</v>
      </c>
      <c r="H42" s="134">
        <f t="shared" si="24"/>
        <v>300010.62800000003</v>
      </c>
      <c r="I42" s="135">
        <f t="shared" si="24"/>
        <v>345386.6908000001</v>
      </c>
    </row>
    <row r="43" spans="2:10" ht="30.75" customHeight="1" thickBot="1" x14ac:dyDescent="0.25">
      <c r="I43" s="175" t="s">
        <v>45</v>
      </c>
      <c r="J43" s="175"/>
    </row>
    <row r="44" spans="2:10" x14ac:dyDescent="0.2">
      <c r="B44" s="139" t="s">
        <v>21</v>
      </c>
      <c r="C44" s="140">
        <v>0.09</v>
      </c>
    </row>
    <row r="45" spans="2:10" x14ac:dyDescent="0.2">
      <c r="B45" s="141" t="s">
        <v>19</v>
      </c>
      <c r="C45" s="142">
        <f>NPV(C44,D42:I42)</f>
        <v>74926.982130904973</v>
      </c>
    </row>
    <row r="46" spans="2:10" ht="16" thickBot="1" x14ac:dyDescent="0.25">
      <c r="B46" s="143" t="s">
        <v>20</v>
      </c>
      <c r="C46" s="144">
        <f>IRR(D42:I42)</f>
        <v>0.12038014822763055</v>
      </c>
    </row>
    <row r="47" spans="2:10" ht="16" thickBot="1" x14ac:dyDescent="0.25"/>
    <row r="48" spans="2:10" s="14" customFormat="1" ht="30" customHeight="1" x14ac:dyDescent="0.2">
      <c r="B48" s="163" t="s">
        <v>28</v>
      </c>
      <c r="C48" s="164"/>
      <c r="D48" s="164"/>
      <c r="E48" s="164"/>
      <c r="F48" s="164"/>
      <c r="G48" s="164"/>
      <c r="H48" s="164"/>
      <c r="I48" s="165"/>
    </row>
    <row r="49" spans="2:9" s="15" customFormat="1" ht="108.75" customHeight="1" x14ac:dyDescent="0.2">
      <c r="B49" s="83" t="str">
        <f>B11</f>
        <v>Servicii software-as-a-service de migrare aplicatii desktop la Cloud pentru corporatii mari</v>
      </c>
      <c r="C49" s="171" t="s">
        <v>85</v>
      </c>
      <c r="D49" s="171"/>
      <c r="E49" s="171"/>
      <c r="F49" s="171"/>
      <c r="G49" s="171"/>
      <c r="H49" s="171"/>
      <c r="I49" s="172"/>
    </row>
    <row r="50" spans="2:9" s="15" customFormat="1" ht="108.75" customHeight="1" x14ac:dyDescent="0.2">
      <c r="B50" s="16" t="str">
        <f t="shared" ref="B50:B53" si="25">B12</f>
        <v>Abonamente SaaS la mediul de tip virtual desktop pentru IMM precum si migrare plicatii</v>
      </c>
      <c r="C50" s="173" t="s">
        <v>36</v>
      </c>
      <c r="D50" s="173"/>
      <c r="E50" s="173"/>
      <c r="F50" s="173"/>
      <c r="G50" s="173"/>
      <c r="H50" s="173"/>
      <c r="I50" s="174"/>
    </row>
    <row r="51" spans="2:9" s="15" customFormat="1" ht="108.75" customHeight="1" x14ac:dyDescent="0.2">
      <c r="B51" s="83" t="str">
        <f t="shared" si="25"/>
        <v>Abonamente premium pentru clienti privati cu acces la spatiu personal virtual</v>
      </c>
      <c r="C51" s="171" t="s">
        <v>84</v>
      </c>
      <c r="D51" s="171"/>
      <c r="E51" s="171"/>
      <c r="F51" s="171"/>
      <c r="G51" s="171"/>
      <c r="H51" s="171"/>
      <c r="I51" s="172"/>
    </row>
    <row r="52" spans="2:9" s="15" customFormat="1" ht="108.75" customHeight="1" x14ac:dyDescent="0.2">
      <c r="B52" s="16" t="str">
        <f t="shared" si="25"/>
        <v>Abonamente premium (non-FREE) pentru mediul educational</v>
      </c>
      <c r="C52" s="173" t="s">
        <v>37</v>
      </c>
      <c r="D52" s="173"/>
      <c r="E52" s="173"/>
      <c r="F52" s="173"/>
      <c r="G52" s="173"/>
      <c r="H52" s="173"/>
      <c r="I52" s="174"/>
    </row>
    <row r="53" spans="2:9" s="15" customFormat="1" ht="108.75" customHeight="1" thickBot="1" x14ac:dyDescent="0.25">
      <c r="B53" s="84" t="str">
        <f t="shared" si="25"/>
        <v>Servicii prestate catre alte tipuri de clienti</v>
      </c>
      <c r="C53" s="161" t="s">
        <v>86</v>
      </c>
      <c r="D53" s="161"/>
      <c r="E53" s="161"/>
      <c r="F53" s="161"/>
      <c r="G53" s="161"/>
      <c r="H53" s="161"/>
      <c r="I53" s="162"/>
    </row>
    <row r="54" spans="2:9" ht="29" customHeight="1" x14ac:dyDescent="0.2"/>
  </sheetData>
  <mergeCells count="9">
    <mergeCell ref="C53:I53"/>
    <mergeCell ref="B48:I48"/>
    <mergeCell ref="C3:D3"/>
    <mergeCell ref="E3:I3"/>
    <mergeCell ref="C49:I49"/>
    <mergeCell ref="C50:I50"/>
    <mergeCell ref="C51:I51"/>
    <mergeCell ref="C52:I52"/>
    <mergeCell ref="I43:J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I126"/>
  <sheetViews>
    <sheetView workbookViewId="0">
      <selection activeCell="D13" sqref="D13:I13"/>
    </sheetView>
  </sheetViews>
  <sheetFormatPr baseColWidth="10" defaultColWidth="8.6640625" defaultRowHeight="17.25" customHeight="1" x14ac:dyDescent="0.2"/>
  <cols>
    <col min="1" max="1" width="6.1640625" bestFit="1" customWidth="1"/>
    <col min="2" max="2" width="34.5" customWidth="1"/>
    <col min="3" max="3" width="6.6640625" bestFit="1" customWidth="1"/>
    <col min="4" max="9" width="13.6640625" customWidth="1"/>
    <col min="10" max="16384" width="8.6640625" style="49"/>
  </cols>
  <sheetData>
    <row r="1" spans="1:9" ht="17.25" customHeight="1" thickBot="1" x14ac:dyDescent="0.25">
      <c r="A1" s="197" t="s">
        <v>73</v>
      </c>
      <c r="B1" s="197"/>
      <c r="C1" s="197"/>
      <c r="D1" s="197"/>
      <c r="E1" s="197"/>
      <c r="F1" s="197"/>
      <c r="G1" s="197"/>
      <c r="H1" s="197"/>
      <c r="I1" s="197"/>
    </row>
    <row r="2" spans="1:9" ht="17.25" customHeight="1" thickBot="1" x14ac:dyDescent="0.25">
      <c r="A2" s="21"/>
      <c r="D2" s="80" t="s">
        <v>38</v>
      </c>
      <c r="E2" s="81" t="s">
        <v>39</v>
      </c>
      <c r="F2" s="81" t="s">
        <v>40</v>
      </c>
      <c r="G2" s="81" t="s">
        <v>41</v>
      </c>
      <c r="H2" s="81" t="s">
        <v>42</v>
      </c>
      <c r="I2" s="82" t="s">
        <v>43</v>
      </c>
    </row>
    <row r="3" spans="1:9" ht="17.25" customHeight="1" thickBot="1" x14ac:dyDescent="0.25">
      <c r="A3" s="22" t="s">
        <v>46</v>
      </c>
      <c r="B3" s="198" t="s">
        <v>47</v>
      </c>
      <c r="C3" s="198"/>
      <c r="D3" s="23">
        <v>0</v>
      </c>
      <c r="E3" s="23">
        <v>1</v>
      </c>
      <c r="F3" s="23">
        <v>2</v>
      </c>
      <c r="G3" s="23">
        <v>3</v>
      </c>
      <c r="H3" s="23">
        <v>4</v>
      </c>
      <c r="I3" s="24">
        <v>5</v>
      </c>
    </row>
    <row r="4" spans="1:9" ht="17.25" customHeight="1" x14ac:dyDescent="0.2">
      <c r="A4" s="25">
        <v>1</v>
      </c>
      <c r="B4" s="199" t="s">
        <v>48</v>
      </c>
      <c r="C4" s="199"/>
      <c r="D4" s="26">
        <f>Cloudifier!C21+Cloudifier!D21</f>
        <v>919675</v>
      </c>
      <c r="E4" s="27"/>
      <c r="F4" s="27"/>
      <c r="G4" s="27"/>
      <c r="H4" s="27"/>
      <c r="I4" s="28"/>
    </row>
    <row r="5" spans="1:9" ht="17.25" customHeight="1" x14ac:dyDescent="0.2">
      <c r="A5" s="29">
        <v>2</v>
      </c>
      <c r="B5" s="176" t="s">
        <v>49</v>
      </c>
      <c r="C5" s="176"/>
      <c r="D5" s="19"/>
      <c r="E5" s="30">
        <f>Cloudifier!E10</f>
        <v>438588</v>
      </c>
      <c r="F5" s="30">
        <f>Cloudifier!F10</f>
        <v>482446.80000000005</v>
      </c>
      <c r="G5" s="30">
        <f>Cloudifier!G10</f>
        <v>530691.48</v>
      </c>
      <c r="H5" s="30">
        <f>Cloudifier!H10</f>
        <v>583760.62800000003</v>
      </c>
      <c r="I5" s="30">
        <f>Cloudifier!I10</f>
        <v>642136.6908000001</v>
      </c>
    </row>
    <row r="6" spans="1:9" ht="17.25" customHeight="1" x14ac:dyDescent="0.2">
      <c r="A6" s="29">
        <v>3</v>
      </c>
      <c r="B6" s="176" t="s">
        <v>50</v>
      </c>
      <c r="C6" s="176"/>
      <c r="D6" s="19"/>
      <c r="E6" s="30">
        <f>Cloudifier!E28</f>
        <v>247250</v>
      </c>
      <c r="F6" s="30">
        <f>Cloudifier!F28</f>
        <v>259000</v>
      </c>
      <c r="G6" s="30">
        <f>Cloudifier!G28</f>
        <v>270750</v>
      </c>
      <c r="H6" s="30">
        <f>Cloudifier!H28</f>
        <v>283750</v>
      </c>
      <c r="I6" s="30">
        <f>Cloudifier!I28</f>
        <v>296750</v>
      </c>
    </row>
    <row r="7" spans="1:9" ht="17.25" customHeight="1" x14ac:dyDescent="0.2">
      <c r="A7" s="29">
        <v>4</v>
      </c>
      <c r="B7" s="177" t="s">
        <v>51</v>
      </c>
      <c r="C7" s="178"/>
      <c r="D7" s="19"/>
      <c r="E7" s="30">
        <f>E5-E6</f>
        <v>191338</v>
      </c>
      <c r="F7" s="30">
        <f>F5-F6</f>
        <v>223446.80000000005</v>
      </c>
      <c r="G7" s="30">
        <f>G5-G6</f>
        <v>259941.47999999998</v>
      </c>
      <c r="H7" s="30">
        <f>H5-H6</f>
        <v>300010.62800000003</v>
      </c>
      <c r="I7" s="31">
        <f>I5-I6</f>
        <v>345386.6908000001</v>
      </c>
    </row>
    <row r="8" spans="1:9" ht="17.25" hidden="1" customHeight="1" x14ac:dyDescent="0.2">
      <c r="A8" s="29">
        <v>5</v>
      </c>
      <c r="B8" s="176" t="s">
        <v>52</v>
      </c>
      <c r="C8" s="176"/>
      <c r="D8" s="19"/>
      <c r="E8" s="19"/>
      <c r="F8" s="19"/>
      <c r="G8" s="19"/>
      <c r="H8" s="19"/>
      <c r="I8" s="31"/>
    </row>
    <row r="9" spans="1:9" ht="17.25" customHeight="1" x14ac:dyDescent="0.2">
      <c r="A9" s="29">
        <v>6</v>
      </c>
      <c r="B9" s="176" t="s">
        <v>53</v>
      </c>
      <c r="C9" s="176"/>
      <c r="D9" s="19"/>
      <c r="E9" s="30">
        <f>E5+E8-E6</f>
        <v>191338</v>
      </c>
      <c r="F9" s="30">
        <f>F5+F8-F6</f>
        <v>223446.80000000005</v>
      </c>
      <c r="G9" s="30">
        <f>G5+G8-G6</f>
        <v>259941.47999999998</v>
      </c>
      <c r="H9" s="30">
        <f>H5+H8-H6</f>
        <v>300010.62800000003</v>
      </c>
      <c r="I9" s="31">
        <f>I5+I8-I6</f>
        <v>345386.6908000001</v>
      </c>
    </row>
    <row r="10" spans="1:9" ht="17.25" customHeight="1" x14ac:dyDescent="0.2">
      <c r="A10" s="29">
        <v>7</v>
      </c>
      <c r="B10" s="176" t="s">
        <v>54</v>
      </c>
      <c r="C10" s="176"/>
      <c r="D10" s="30">
        <f t="shared" ref="D10:I10" si="0">D5+D8-D4-D6</f>
        <v>-919675</v>
      </c>
      <c r="E10" s="30">
        <f t="shared" si="0"/>
        <v>191338</v>
      </c>
      <c r="F10" s="30">
        <f t="shared" si="0"/>
        <v>223446.80000000005</v>
      </c>
      <c r="G10" s="30">
        <f t="shared" si="0"/>
        <v>259941.47999999998</v>
      </c>
      <c r="H10" s="30">
        <f t="shared" si="0"/>
        <v>300010.62800000003</v>
      </c>
      <c r="I10" s="31">
        <f t="shared" si="0"/>
        <v>345386.6908000001</v>
      </c>
    </row>
    <row r="11" spans="1:9" ht="17.25" customHeight="1" x14ac:dyDescent="0.2">
      <c r="A11" s="29">
        <v>8</v>
      </c>
      <c r="B11" s="176" t="s">
        <v>55</v>
      </c>
      <c r="C11" s="176"/>
      <c r="D11" s="32">
        <v>0.09</v>
      </c>
      <c r="E11" s="32">
        <v>0.09</v>
      </c>
      <c r="F11" s="32">
        <v>0.09</v>
      </c>
      <c r="G11" s="32">
        <v>0.09</v>
      </c>
      <c r="H11" s="32">
        <v>0.09</v>
      </c>
      <c r="I11" s="33">
        <v>0.09</v>
      </c>
    </row>
    <row r="12" spans="1:9" ht="17.25" customHeight="1" thickBot="1" x14ac:dyDescent="0.25">
      <c r="A12" s="34">
        <v>9</v>
      </c>
      <c r="B12" s="179" t="s">
        <v>56</v>
      </c>
      <c r="C12" s="179"/>
      <c r="D12" s="35">
        <f t="shared" ref="D12:I12" si="1">1/(1+D11)^D3</f>
        <v>1</v>
      </c>
      <c r="E12" s="35">
        <f t="shared" si="1"/>
        <v>0.9174311926605504</v>
      </c>
      <c r="F12" s="35">
        <f t="shared" si="1"/>
        <v>0.84167999326655996</v>
      </c>
      <c r="G12" s="35">
        <f t="shared" si="1"/>
        <v>0.77218348006106419</v>
      </c>
      <c r="H12" s="35">
        <f t="shared" si="1"/>
        <v>0.7084252110651964</v>
      </c>
      <c r="I12" s="36">
        <f t="shared" si="1"/>
        <v>0.64993138629834524</v>
      </c>
    </row>
    <row r="13" spans="1:9" ht="17.25" customHeight="1" x14ac:dyDescent="0.2">
      <c r="A13" s="37">
        <v>10</v>
      </c>
      <c r="B13" s="196" t="s">
        <v>57</v>
      </c>
      <c r="C13" s="196"/>
      <c r="D13" s="200">
        <f>NPV(D11,D10:I10)</f>
        <v>74926.982130904973</v>
      </c>
      <c r="E13" s="200"/>
      <c r="F13" s="200"/>
      <c r="G13" s="200"/>
      <c r="H13" s="200"/>
      <c r="I13" s="201"/>
    </row>
    <row r="14" spans="1:9" ht="17.25" customHeight="1" x14ac:dyDescent="0.2">
      <c r="A14" s="29">
        <v>11</v>
      </c>
      <c r="B14" s="176" t="s">
        <v>58</v>
      </c>
      <c r="C14" s="176"/>
      <c r="D14" s="202">
        <f>IRR(D10:I10)</f>
        <v>0.12038014822763055</v>
      </c>
      <c r="E14" s="202"/>
      <c r="F14" s="202"/>
      <c r="G14" s="202"/>
      <c r="H14" s="202"/>
      <c r="I14" s="203"/>
    </row>
    <row r="15" spans="1:9" ht="17.25" customHeight="1" x14ac:dyDescent="0.2">
      <c r="A15" s="29">
        <v>12</v>
      </c>
      <c r="B15" s="176" t="s">
        <v>59</v>
      </c>
      <c r="C15" s="176"/>
      <c r="D15" s="194">
        <f>SUMPRODUCT(D9:I9,D12:I12)/(D4*D12)</f>
        <v>1.08880355617222</v>
      </c>
      <c r="E15" s="194"/>
      <c r="F15" s="194"/>
      <c r="G15" s="194"/>
      <c r="H15" s="194"/>
      <c r="I15" s="195"/>
    </row>
    <row r="16" spans="1:9" ht="17.25" customHeight="1" x14ac:dyDescent="0.2">
      <c r="A16" s="29">
        <v>13</v>
      </c>
      <c r="B16" s="176" t="s">
        <v>60</v>
      </c>
      <c r="C16" s="176"/>
      <c r="D16" s="194">
        <f>(SUMPRODUCT(D5:I5,D12:I12)+I8*I12)/SUMPRODUCT(D6:I6,D12:I12)</f>
        <v>1.9556815594973247</v>
      </c>
      <c r="E16" s="194"/>
      <c r="F16" s="194"/>
      <c r="G16" s="194"/>
      <c r="H16" s="194"/>
      <c r="I16" s="195"/>
    </row>
    <row r="17" spans="1:9" ht="17.25" customHeight="1" thickBot="1" x14ac:dyDescent="0.25">
      <c r="A17" s="34">
        <v>14</v>
      </c>
      <c r="B17" s="179" t="s">
        <v>61</v>
      </c>
      <c r="C17" s="179"/>
      <c r="D17" s="189">
        <f>ROUND(D4/((SUM(E5:I5)-SUM(E6:I6))/5),2)</f>
        <v>3.48</v>
      </c>
      <c r="E17" s="189"/>
      <c r="F17" s="189"/>
      <c r="G17" s="189"/>
      <c r="H17" s="189"/>
      <c r="I17" s="190"/>
    </row>
    <row r="18" spans="1:9" ht="17.25" customHeight="1" thickBot="1" x14ac:dyDescent="0.25">
      <c r="A18" s="191" t="s">
        <v>62</v>
      </c>
      <c r="B18" s="192"/>
      <c r="C18" s="192"/>
      <c r="D18" s="192"/>
      <c r="E18" s="192"/>
      <c r="F18" s="192"/>
      <c r="G18" s="192"/>
      <c r="H18" s="192"/>
      <c r="I18" s="193"/>
    </row>
    <row r="19" spans="1:9" ht="17.25" customHeight="1" x14ac:dyDescent="0.2">
      <c r="A19" s="37">
        <v>15</v>
      </c>
      <c r="B19" s="38" t="str">
        <f>IF(C19&gt;=0,"Creşterea ","Diminuarea ")&amp; "ratei de actualizare cu"</f>
        <v>Diminuarea ratei de actualizare cu</v>
      </c>
      <c r="C19" s="39">
        <v>-0.1</v>
      </c>
      <c r="D19" s="40" t="str">
        <f>"a = "&amp;ROUND(D22,4)*100&amp;"%"</f>
        <v>a = 8.1%</v>
      </c>
      <c r="E19" s="41" t="str">
        <f>"VAN = "&amp;ROUND(E22,0)</f>
        <v>VAN = 99908</v>
      </c>
      <c r="F19" s="41" t="str">
        <f>"RIR = "&amp;ROUND(F22,4)*100&amp;"%"</f>
        <v>RIR = 12.04%</v>
      </c>
      <c r="G19" s="41" t="str">
        <f>"IP = "&amp;ROUND(G22,2)</f>
        <v>IP = 1.12</v>
      </c>
      <c r="H19" s="41" t="str">
        <f>" R = "&amp;ROUND(H22,2)</f>
        <v xml:space="preserve"> R = 1.96</v>
      </c>
      <c r="I19" s="42" t="str">
        <f>" Pr = "&amp;ROUND(I22,2)&amp;" ani"</f>
        <v xml:space="preserve"> Pr = 3.48 ani</v>
      </c>
    </row>
    <row r="20" spans="1:9" ht="17.25" customHeight="1" x14ac:dyDescent="0.2">
      <c r="A20" s="43"/>
      <c r="B20" s="184" t="s">
        <v>63</v>
      </c>
      <c r="C20" s="184"/>
      <c r="D20" s="44">
        <f>(1+$C19)*D$11</f>
        <v>8.1000000000000003E-2</v>
      </c>
      <c r="E20" s="44">
        <f>D20</f>
        <v>8.1000000000000003E-2</v>
      </c>
      <c r="F20" s="44">
        <f>E20</f>
        <v>8.1000000000000003E-2</v>
      </c>
      <c r="G20" s="44">
        <f>F20</f>
        <v>8.1000000000000003E-2</v>
      </c>
      <c r="H20" s="44">
        <f>G20</f>
        <v>8.1000000000000003E-2</v>
      </c>
      <c r="I20" s="45">
        <f>H20</f>
        <v>8.1000000000000003E-2</v>
      </c>
    </row>
    <row r="21" spans="1:9" ht="17.25" customHeight="1" x14ac:dyDescent="0.2">
      <c r="A21" s="46"/>
      <c r="B21" s="184" t="s">
        <v>64</v>
      </c>
      <c r="C21" s="184"/>
      <c r="D21" s="47">
        <f t="shared" ref="D21:I21" si="2">1/(1+D20)^D$3</f>
        <v>1</v>
      </c>
      <c r="E21" s="47">
        <f t="shared" si="2"/>
        <v>0.92506938020351526</v>
      </c>
      <c r="F21" s="47">
        <f t="shared" si="2"/>
        <v>0.85575335819011589</v>
      </c>
      <c r="G21" s="47">
        <f t="shared" si="2"/>
        <v>0.79163122866800739</v>
      </c>
      <c r="H21" s="47">
        <f t="shared" si="2"/>
        <v>0.73231381005366081</v>
      </c>
      <c r="I21" s="48">
        <f t="shared" si="2"/>
        <v>0.67744108238081491</v>
      </c>
    </row>
    <row r="22" spans="1:9" ht="17.25" customHeight="1" x14ac:dyDescent="0.2">
      <c r="A22" s="46"/>
      <c r="B22" s="49" t="s">
        <v>65</v>
      </c>
      <c r="C22" s="49"/>
      <c r="D22" s="50">
        <f>D20</f>
        <v>8.1000000000000003E-2</v>
      </c>
      <c r="E22" s="51">
        <f>NPV(D22,D$10:I$10)</f>
        <v>99907.610955732744</v>
      </c>
      <c r="F22" s="52">
        <f>IRR(D$10:I$10)</f>
        <v>0.12038014822763055</v>
      </c>
      <c r="G22" s="53">
        <f>SUMPRODUCT(E$9:I$9,E21:I21)/(D$4*D21)</f>
        <v>1.1174329273310106</v>
      </c>
      <c r="H22" s="53">
        <f>(SUMPRODUCT(E$5:I$5,E21:I21)+I$8*I21)/SUMPRODUCT(E$6:I$6,E21:I21)</f>
        <v>1.9572927047609832</v>
      </c>
      <c r="I22" s="54">
        <f>ROUND(D$4/AVERAGE(E$7:I$7),2)</f>
        <v>3.48</v>
      </c>
    </row>
    <row r="23" spans="1:9" ht="17.25" customHeight="1" x14ac:dyDescent="0.2">
      <c r="A23" s="29">
        <v>16</v>
      </c>
      <c r="B23" s="177" t="s">
        <v>66</v>
      </c>
      <c r="C23" s="178"/>
      <c r="D23" s="55">
        <f>(D22-D$11)/D$11</f>
        <v>-9.9999999999999936E-2</v>
      </c>
      <c r="E23" s="55">
        <f>(E22-D$13)/D$13</f>
        <v>0.33339963941406447</v>
      </c>
      <c r="F23" s="55">
        <f>(F22-D$14)/D$14</f>
        <v>0</v>
      </c>
      <c r="G23" s="55">
        <f>(G22-D$15)/D$15</f>
        <v>2.6294340238416886E-2</v>
      </c>
      <c r="H23" s="55">
        <f>(H22-D$16)/D$16</f>
        <v>8.2382801833677998E-4</v>
      </c>
      <c r="I23" s="56">
        <f>(I22-D$17)/D$17</f>
        <v>0</v>
      </c>
    </row>
    <row r="24" spans="1:9" ht="17.25" customHeight="1" x14ac:dyDescent="0.2">
      <c r="A24" s="29">
        <v>17</v>
      </c>
      <c r="B24" s="19" t="str">
        <f>IF(C24&gt;=0,"Creşterea ","Diminuarea ")&amp; "ratei de actualizare cu"</f>
        <v>Diminuarea ratei de actualizare cu</v>
      </c>
      <c r="C24" s="57">
        <v>-0.05</v>
      </c>
      <c r="D24" s="58" t="str">
        <f>"a = "&amp;ROUND(D27,4)*100&amp;"%"</f>
        <v>a = 8.55%</v>
      </c>
      <c r="E24" s="20" t="str">
        <f>"VAN = "&amp;ROUND(E27,0)</f>
        <v>VAN = 87246</v>
      </c>
      <c r="F24" s="20" t="str">
        <f>"RIR = "&amp;ROUND(F27,4)*100&amp;"%"</f>
        <v>RIR = 12.04%</v>
      </c>
      <c r="G24" s="20" t="str">
        <f>"IP = "&amp;ROUND(G27,2)</f>
        <v>IP = 1.1</v>
      </c>
      <c r="H24" s="20" t="str">
        <f>" R = "&amp;ROUND(H27,2)</f>
        <v xml:space="preserve"> R = 1.96</v>
      </c>
      <c r="I24" s="59" t="str">
        <f>" Pr = "&amp;ROUND(I27,2)&amp;" ani"</f>
        <v xml:space="preserve"> Pr = 3.48 ani</v>
      </c>
    </row>
    <row r="25" spans="1:9" ht="17.25" customHeight="1" x14ac:dyDescent="0.2">
      <c r="A25" s="43"/>
      <c r="B25" s="184" t="s">
        <v>63</v>
      </c>
      <c r="C25" s="184"/>
      <c r="D25" s="44">
        <f>(1+$C24)*D$11</f>
        <v>8.5499999999999993E-2</v>
      </c>
      <c r="E25" s="44">
        <f>D25</f>
        <v>8.5499999999999993E-2</v>
      </c>
      <c r="F25" s="44">
        <f>E25</f>
        <v>8.5499999999999993E-2</v>
      </c>
      <c r="G25" s="44">
        <f>F25</f>
        <v>8.5499999999999993E-2</v>
      </c>
      <c r="H25" s="44">
        <f>G25</f>
        <v>8.5499999999999993E-2</v>
      </c>
      <c r="I25" s="45">
        <f>H25</f>
        <v>8.5499999999999993E-2</v>
      </c>
    </row>
    <row r="26" spans="1:9" ht="17.25" customHeight="1" x14ac:dyDescent="0.2">
      <c r="A26" s="46"/>
      <c r="B26" s="184" t="s">
        <v>64</v>
      </c>
      <c r="C26" s="184"/>
      <c r="D26" s="47">
        <f t="shared" ref="D26:I26" si="3">1/(1+D25)^D$3</f>
        <v>1</v>
      </c>
      <c r="E26" s="47">
        <f t="shared" si="3"/>
        <v>0.92123445416858596</v>
      </c>
      <c r="F26" s="47">
        <f t="shared" si="3"/>
        <v>0.84867291954729251</v>
      </c>
      <c r="G26" s="47">
        <f t="shared" si="3"/>
        <v>0.78182673380681034</v>
      </c>
      <c r="H26" s="47">
        <f t="shared" si="3"/>
        <v>0.72024572437292533</v>
      </c>
      <c r="I26" s="48">
        <f t="shared" si="3"/>
        <v>0.66351517675994975</v>
      </c>
    </row>
    <row r="27" spans="1:9" ht="17.25" customHeight="1" x14ac:dyDescent="0.2">
      <c r="A27" s="46"/>
      <c r="B27" s="49" t="s">
        <v>65</v>
      </c>
      <c r="C27" s="49"/>
      <c r="D27" s="50">
        <f>D25</f>
        <v>8.5499999999999993E-2</v>
      </c>
      <c r="E27" s="51">
        <f>NPV(D27,D$10:I$10)</f>
        <v>87245.774003362152</v>
      </c>
      <c r="F27" s="52">
        <f>IRR(D$10:I$10)</f>
        <v>0.12038014822763055</v>
      </c>
      <c r="G27" s="53">
        <f>SUMPRODUCT(E$9:I$9,E26:I26)/(D$4*D26)</f>
        <v>1.1029769077996572</v>
      </c>
      <c r="H27" s="53">
        <f>(SUMPRODUCT(E$5:I$5,E26:I26)+I$8*I26)/SUMPRODUCT(E$6:I$6,E26:I26)</f>
        <v>1.9564852438811051</v>
      </c>
      <c r="I27" s="54">
        <f>ROUND(D$4/AVERAGE(E$7:I$7),2)</f>
        <v>3.48</v>
      </c>
    </row>
    <row r="28" spans="1:9" ht="17.25" customHeight="1" x14ac:dyDescent="0.2">
      <c r="A28" s="29">
        <v>18</v>
      </c>
      <c r="B28" s="177" t="s">
        <v>66</v>
      </c>
      <c r="C28" s="178"/>
      <c r="D28" s="55">
        <f>(D27-D$11)/D$11</f>
        <v>-5.0000000000000044E-2</v>
      </c>
      <c r="E28" s="55">
        <f>(E27-D$13)/D$13</f>
        <v>0.16441062381152641</v>
      </c>
      <c r="F28" s="55">
        <f>(F27-D$14)/D$14</f>
        <v>0</v>
      </c>
      <c r="G28" s="55">
        <f>(G27-D$15)/D$15</f>
        <v>1.3017363460186299E-2</v>
      </c>
      <c r="H28" s="55">
        <f>(H27-D$16)/D$16</f>
        <v>4.1094848999189657E-4</v>
      </c>
      <c r="I28" s="56">
        <f>(I27-D$17)/D$17</f>
        <v>0</v>
      </c>
    </row>
    <row r="29" spans="1:9" ht="17.25" customHeight="1" x14ac:dyDescent="0.2">
      <c r="A29" s="29">
        <v>19</v>
      </c>
      <c r="B29" s="19" t="str">
        <f>IF(C29&gt;=0,"Creşterea ","Diminuarea ")&amp; "ratei de actualizare cu"</f>
        <v>Diminuarea ratei de actualizare cu</v>
      </c>
      <c r="C29" s="57">
        <v>-0.01</v>
      </c>
      <c r="D29" s="58" t="str">
        <f>"a = "&amp;ROUND(D32,4)*100&amp;"%"</f>
        <v>a = 8.91%</v>
      </c>
      <c r="E29" s="20" t="str">
        <f>"VAN = "&amp;ROUND(E32,0)</f>
        <v>VAN = 77364</v>
      </c>
      <c r="F29" s="20" t="str">
        <f>"RIR = "&amp;ROUND(F32,4)*100&amp;"%"</f>
        <v>RIR = 12.04%</v>
      </c>
      <c r="G29" s="20" t="str">
        <f>"IP = "&amp;ROUND(G32,2)</f>
        <v>IP = 1.09</v>
      </c>
      <c r="H29" s="20" t="str">
        <f>" R = "&amp;ROUND(H32,2)</f>
        <v xml:space="preserve"> R = 1.96</v>
      </c>
      <c r="I29" s="59" t="str">
        <f>" Pr = "&amp;ROUND(I32,2)&amp;" ani"</f>
        <v xml:space="preserve"> Pr = 3.48 ani</v>
      </c>
    </row>
    <row r="30" spans="1:9" ht="17.25" customHeight="1" x14ac:dyDescent="0.2">
      <c r="A30" s="43"/>
      <c r="B30" s="184" t="s">
        <v>63</v>
      </c>
      <c r="C30" s="184"/>
      <c r="D30" s="44">
        <f>(1+$C29)*D$11</f>
        <v>8.9099999999999999E-2</v>
      </c>
      <c r="E30" s="44">
        <f>D30</f>
        <v>8.9099999999999999E-2</v>
      </c>
      <c r="F30" s="44">
        <f>E30</f>
        <v>8.9099999999999999E-2</v>
      </c>
      <c r="G30" s="44">
        <f>F30</f>
        <v>8.9099999999999999E-2</v>
      </c>
      <c r="H30" s="44">
        <f>G30</f>
        <v>8.9099999999999999E-2</v>
      </c>
      <c r="I30" s="45">
        <f>H30</f>
        <v>8.9099999999999999E-2</v>
      </c>
    </row>
    <row r="31" spans="1:9" ht="17.25" customHeight="1" x14ac:dyDescent="0.2">
      <c r="A31" s="46"/>
      <c r="B31" s="184" t="s">
        <v>64</v>
      </c>
      <c r="C31" s="184"/>
      <c r="D31" s="47">
        <f t="shared" ref="D31:I31" si="4">1/(1+D30)^D$3</f>
        <v>1</v>
      </c>
      <c r="E31" s="47">
        <f t="shared" si="4"/>
        <v>0.91818933063997799</v>
      </c>
      <c r="F31" s="47">
        <f t="shared" si="4"/>
        <v>0.84307164690109082</v>
      </c>
      <c r="G31" s="47">
        <f t="shared" si="4"/>
        <v>0.77409939114965653</v>
      </c>
      <c r="H31" s="47">
        <f t="shared" si="4"/>
        <v>0.71076980180851757</v>
      </c>
      <c r="I31" s="48">
        <f t="shared" si="4"/>
        <v>0.65262124856167258</v>
      </c>
    </row>
    <row r="32" spans="1:9" ht="17.25" customHeight="1" x14ac:dyDescent="0.2">
      <c r="A32" s="46"/>
      <c r="B32" s="49" t="s">
        <v>65</v>
      </c>
      <c r="C32" s="49"/>
      <c r="D32" s="50">
        <f>D30</f>
        <v>8.9099999999999999E-2</v>
      </c>
      <c r="E32" s="51">
        <f>NPV(D32,D$10:I$10)</f>
        <v>77363.787723625617</v>
      </c>
      <c r="F32" s="52">
        <f>IRR(D$10:I$10)</f>
        <v>0.12038014822763055</v>
      </c>
      <c r="G32" s="53">
        <f>SUMPRODUCT(E$9:I$9,E31:I31)/(D$4*D31)</f>
        <v>1.091615952602605</v>
      </c>
      <c r="H32" s="53">
        <f>(SUMPRODUCT(E$5:I$5,E31:I31)+I$8*I31)/SUMPRODUCT(E$6:I$6,E31:I31)</f>
        <v>1.9558419941373091</v>
      </c>
      <c r="I32" s="54">
        <f>ROUND(D$4/AVERAGE(E$7:I$7),2)</f>
        <v>3.48</v>
      </c>
    </row>
    <row r="33" spans="1:9" ht="17.25" customHeight="1" x14ac:dyDescent="0.2">
      <c r="A33" s="29">
        <v>20</v>
      </c>
      <c r="B33" s="177" t="s">
        <v>66</v>
      </c>
      <c r="C33" s="178"/>
      <c r="D33" s="55">
        <f>(D32-D$11)/D$11</f>
        <v>-9.9999999999999777E-3</v>
      </c>
      <c r="E33" s="55">
        <f>(E32-D$13)/D$13</f>
        <v>3.2522404124902558E-2</v>
      </c>
      <c r="F33" s="55">
        <f>(F32-D$14)/D$14</f>
        <v>0</v>
      </c>
      <c r="G33" s="55">
        <f>(G32-D$15)/D$15</f>
        <v>2.583015470919488E-3</v>
      </c>
      <c r="H33" s="55">
        <f>(H32-D$16)/D$16</f>
        <v>8.2035155061554576E-5</v>
      </c>
      <c r="I33" s="56">
        <f>(I32-D$17)/D$17</f>
        <v>0</v>
      </c>
    </row>
    <row r="34" spans="1:9" ht="17.25" customHeight="1" x14ac:dyDescent="0.2">
      <c r="A34" s="29">
        <v>21</v>
      </c>
      <c r="B34" s="19" t="str">
        <f>IF(C34&gt;=0,"Creşterea ","Diminuarea ")&amp; "ratei de actualizare cu"</f>
        <v>Creşterea ratei de actualizare cu</v>
      </c>
      <c r="C34" s="57">
        <v>0.01</v>
      </c>
      <c r="D34" s="58" t="str">
        <f>"a = "&amp;ROUND(D37,4)*100&amp;"%"</f>
        <v>a = 9.09%</v>
      </c>
      <c r="E34" s="20" t="str">
        <f>"VAN = "&amp;ROUND(E37,0)</f>
        <v>VAN = 72503</v>
      </c>
      <c r="F34" s="20" t="str">
        <f>"RIR = "&amp;ROUND(F37,4)*100&amp;"%"</f>
        <v>RIR = 12.04%</v>
      </c>
      <c r="G34" s="20" t="str">
        <f>"IP = "&amp;ROUND(G37,2)</f>
        <v>IP = 1.09</v>
      </c>
      <c r="H34" s="20" t="str">
        <f>" R = "&amp;ROUND(H37,2)</f>
        <v xml:space="preserve"> R = 1.96</v>
      </c>
      <c r="I34" s="59" t="str">
        <f>" Pr = "&amp;ROUND(I37,2)&amp;" ani"</f>
        <v xml:space="preserve"> Pr = 3.48 ani</v>
      </c>
    </row>
    <row r="35" spans="1:9" ht="17.25" customHeight="1" x14ac:dyDescent="0.2">
      <c r="A35" s="43"/>
      <c r="B35" s="184" t="s">
        <v>63</v>
      </c>
      <c r="C35" s="184"/>
      <c r="D35" s="44">
        <f>(1+$C34)*D$11</f>
        <v>9.0899999999999995E-2</v>
      </c>
      <c r="E35" s="44">
        <f>D35</f>
        <v>9.0899999999999995E-2</v>
      </c>
      <c r="F35" s="44">
        <f>E35</f>
        <v>9.0899999999999995E-2</v>
      </c>
      <c r="G35" s="44">
        <f>F35</f>
        <v>9.0899999999999995E-2</v>
      </c>
      <c r="H35" s="44">
        <f>G35</f>
        <v>9.0899999999999995E-2</v>
      </c>
      <c r="I35" s="45">
        <f>H35</f>
        <v>9.0899999999999995E-2</v>
      </c>
    </row>
    <row r="36" spans="1:9" ht="17.25" customHeight="1" x14ac:dyDescent="0.2">
      <c r="A36" s="46"/>
      <c r="B36" s="184" t="s">
        <v>64</v>
      </c>
      <c r="C36" s="184"/>
      <c r="D36" s="47">
        <f t="shared" ref="D36:I36" si="5">1/(1+D35)^D$3</f>
        <v>1</v>
      </c>
      <c r="E36" s="47">
        <f t="shared" si="5"/>
        <v>0.91667430561921348</v>
      </c>
      <c r="F36" s="47">
        <f t="shared" si="5"/>
        <v>0.84029178258246728</v>
      </c>
      <c r="G36" s="47">
        <f t="shared" si="5"/>
        <v>0.77027388631631433</v>
      </c>
      <c r="H36" s="47">
        <f t="shared" si="5"/>
        <v>0.70609027987562045</v>
      </c>
      <c r="I36" s="48">
        <f t="shared" si="5"/>
        <v>0.64725481700946053</v>
      </c>
    </row>
    <row r="37" spans="1:9" ht="17.25" customHeight="1" x14ac:dyDescent="0.2">
      <c r="A37" s="46"/>
      <c r="B37" s="49" t="s">
        <v>65</v>
      </c>
      <c r="C37" s="49"/>
      <c r="D37" s="50">
        <f>D35</f>
        <v>9.0899999999999995E-2</v>
      </c>
      <c r="E37" s="51">
        <f>NPV(D37,D$10:I$10)</f>
        <v>72503.492372141729</v>
      </c>
      <c r="F37" s="52">
        <f>IRR(D$10:I$10)</f>
        <v>0.12038014822763055</v>
      </c>
      <c r="G37" s="53">
        <f>SUMPRODUCT(E$9:I$9,E36:I36)/(D$4*D36)</f>
        <v>1.0860021853684938</v>
      </c>
      <c r="H37" s="53">
        <f>(SUMPRODUCT(E$5:I$5,E36:I36)+I$8*I36)/SUMPRODUCT(E$6:I$6,E36:I36)</f>
        <v>1.9555212760100373</v>
      </c>
      <c r="I37" s="54">
        <f>ROUND(D$4/AVERAGE(E$7:I$7),2)</f>
        <v>3.48</v>
      </c>
    </row>
    <row r="38" spans="1:9" ht="17.25" customHeight="1" x14ac:dyDescent="0.2">
      <c r="A38" s="60">
        <v>22</v>
      </c>
      <c r="B38" s="187" t="s">
        <v>66</v>
      </c>
      <c r="C38" s="188"/>
      <c r="D38" s="61">
        <f>(D37-D$11)/D$11</f>
        <v>9.9999999999999777E-3</v>
      </c>
      <c r="E38" s="61">
        <f>(E37-D$13)/D$13</f>
        <v>-3.2344686651454395E-2</v>
      </c>
      <c r="F38" s="61">
        <f>(F37-D$14)/D$14</f>
        <v>0</v>
      </c>
      <c r="G38" s="61">
        <f>(G37-D$15)/D$15</f>
        <v>-2.572889101845585E-3</v>
      </c>
      <c r="H38" s="61">
        <f>(H37-D$16)/D$16</f>
        <v>-8.1957866048784866E-5</v>
      </c>
      <c r="I38" s="62">
        <f>(I37-D$17)/D$17</f>
        <v>0</v>
      </c>
    </row>
    <row r="39" spans="1:9" ht="17.25" customHeight="1" x14ac:dyDescent="0.2">
      <c r="A39" s="29">
        <v>23</v>
      </c>
      <c r="B39" s="19" t="str">
        <f>IF(C39&gt;=0,"Creşterea ","Diminuarea ")&amp; "ratei de actualizare cu"</f>
        <v>Creşterea ratei de actualizare cu</v>
      </c>
      <c r="C39" s="57">
        <v>0.05</v>
      </c>
      <c r="D39" s="58" t="str">
        <f>"a = "&amp;ROUND(D42,4)*100&amp;"%"</f>
        <v>a = 9.45%</v>
      </c>
      <c r="E39" s="20" t="str">
        <f>"VAN = "&amp;ROUND(E42,0)</f>
        <v>VAN = 62941</v>
      </c>
      <c r="F39" s="20" t="str">
        <f>"RIR = "&amp;ROUND(F42,4)*100&amp;"%"</f>
        <v>RIR = 12.04%</v>
      </c>
      <c r="G39" s="20" t="str">
        <f>"IP = "&amp;ROUND(G42,2)</f>
        <v>IP = 1.07</v>
      </c>
      <c r="H39" s="20" t="str">
        <f>" R = "&amp;ROUND(H42,2)</f>
        <v xml:space="preserve"> R = 1.95</v>
      </c>
      <c r="I39" s="59" t="str">
        <f>" Pr = "&amp;ROUND(I42,2)&amp;" ani"</f>
        <v xml:space="preserve"> Pr = 3.48 ani</v>
      </c>
    </row>
    <row r="40" spans="1:9" ht="17.25" customHeight="1" x14ac:dyDescent="0.2">
      <c r="A40" s="43"/>
      <c r="B40" s="184" t="s">
        <v>63</v>
      </c>
      <c r="C40" s="184"/>
      <c r="D40" s="44">
        <f>(1+$C39)*D$11</f>
        <v>9.4500000000000001E-2</v>
      </c>
      <c r="E40" s="44">
        <f>D40</f>
        <v>9.4500000000000001E-2</v>
      </c>
      <c r="F40" s="44">
        <f>E40</f>
        <v>9.4500000000000001E-2</v>
      </c>
      <c r="G40" s="44">
        <f>F40</f>
        <v>9.4500000000000001E-2</v>
      </c>
      <c r="H40" s="44">
        <f>G40</f>
        <v>9.4500000000000001E-2</v>
      </c>
      <c r="I40" s="45">
        <f>H40</f>
        <v>9.4500000000000001E-2</v>
      </c>
    </row>
    <row r="41" spans="1:9" ht="17.25" customHeight="1" x14ac:dyDescent="0.2">
      <c r="A41" s="46"/>
      <c r="B41" s="184" t="s">
        <v>64</v>
      </c>
      <c r="C41" s="184"/>
      <c r="D41" s="47">
        <f t="shared" ref="D41:I41" si="6">1/(1+D40)^D$3</f>
        <v>1</v>
      </c>
      <c r="E41" s="47">
        <f t="shared" si="6"/>
        <v>0.91365920511649157</v>
      </c>
      <c r="F41" s="47">
        <f t="shared" si="6"/>
        <v>0.83477314309409922</v>
      </c>
      <c r="G41" s="47">
        <f t="shared" si="6"/>
        <v>0.76269816637194987</v>
      </c>
      <c r="H41" s="47">
        <f t="shared" si="6"/>
        <v>0.69684620043120138</v>
      </c>
      <c r="I41" s="48">
        <f t="shared" si="6"/>
        <v>0.63667994557441876</v>
      </c>
    </row>
    <row r="42" spans="1:9" ht="17.25" customHeight="1" x14ac:dyDescent="0.2">
      <c r="A42" s="46"/>
      <c r="B42" s="49" t="s">
        <v>65</v>
      </c>
      <c r="C42" s="49"/>
      <c r="D42" s="50">
        <f>D40</f>
        <v>9.4500000000000001E-2</v>
      </c>
      <c r="E42" s="51">
        <f>NPV(D42,D$10:I$10)</f>
        <v>62941.113211841024</v>
      </c>
      <c r="F42" s="52">
        <f>IRR(D$10:I$10)</f>
        <v>0.12038014822763055</v>
      </c>
      <c r="G42" s="53">
        <f>SUMPRODUCT(E$9:I$9,E41:I41)/(D$4*D41)</f>
        <v>1.0749058617559029</v>
      </c>
      <c r="H42" s="53">
        <f>(SUMPRODUCT(E$5:I$5,E41:I41)+I$8*I41)/SUMPRODUCT(E$6:I$6,E41:I41)</f>
        <v>1.9548816538885858</v>
      </c>
      <c r="I42" s="54">
        <f>ROUND(D$4/AVERAGE(E$7:I$7),2)</f>
        <v>3.48</v>
      </c>
    </row>
    <row r="43" spans="1:9" ht="17.25" customHeight="1" x14ac:dyDescent="0.2">
      <c r="A43" s="60">
        <v>24</v>
      </c>
      <c r="B43" s="187" t="s">
        <v>66</v>
      </c>
      <c r="C43" s="188"/>
      <c r="D43" s="61">
        <f>(D42-D$11)/D$11</f>
        <v>5.0000000000000044E-2</v>
      </c>
      <c r="E43" s="61">
        <f>(E42-D$13)/D$13</f>
        <v>-0.15996732523036133</v>
      </c>
      <c r="F43" s="61">
        <f>(F42-D$14)/D$14</f>
        <v>0</v>
      </c>
      <c r="G43" s="61">
        <f>(G42-D$15)/D$15</f>
        <v>-1.2764189038081094E-2</v>
      </c>
      <c r="H43" s="61">
        <f>(H42-D$16)/D$16</f>
        <v>-4.0901628634494293E-4</v>
      </c>
      <c r="I43" s="62">
        <f>(I42-D$17)/D$17</f>
        <v>0</v>
      </c>
    </row>
    <row r="44" spans="1:9" ht="17.25" customHeight="1" x14ac:dyDescent="0.2">
      <c r="A44" s="29">
        <v>25</v>
      </c>
      <c r="B44" s="19" t="str">
        <f>IF(C44&gt;=0,"Creşterea ","Diminuarea ")&amp; "ratei de actualizare cu"</f>
        <v>Creşterea ratei de actualizare cu</v>
      </c>
      <c r="C44" s="57">
        <v>0.1</v>
      </c>
      <c r="D44" s="58" t="str">
        <f>"a = "&amp;ROUND(D47,4)*100&amp;"%"</f>
        <v>a = 9.9%</v>
      </c>
      <c r="E44" s="20" t="str">
        <f>"VAN = "&amp;ROUND(E47,0)</f>
        <v>VAN = 51278</v>
      </c>
      <c r="F44" s="20" t="str">
        <f>"RIR = "&amp;ROUND(F47,4)*100&amp;"%"</f>
        <v>RIR = 12.04%</v>
      </c>
      <c r="G44" s="20" t="str">
        <f>"IP = "&amp;ROUND(G47,2)</f>
        <v>IP = 1.06</v>
      </c>
      <c r="H44" s="20" t="str">
        <f>" R = "&amp;ROUND(H47,2)</f>
        <v xml:space="preserve"> R = 1.95</v>
      </c>
      <c r="I44" s="59" t="str">
        <f>" Pr = "&amp;ROUND(I47,2)&amp;" ani"</f>
        <v xml:space="preserve"> Pr = 3.48 ani</v>
      </c>
    </row>
    <row r="45" spans="1:9" ht="17.25" customHeight="1" x14ac:dyDescent="0.2">
      <c r="A45" s="43"/>
      <c r="B45" s="184" t="s">
        <v>63</v>
      </c>
      <c r="C45" s="184"/>
      <c r="D45" s="44">
        <f>(1+$C44)*D$11</f>
        <v>9.9000000000000005E-2</v>
      </c>
      <c r="E45" s="44">
        <f>D45</f>
        <v>9.9000000000000005E-2</v>
      </c>
      <c r="F45" s="44">
        <f>E45</f>
        <v>9.9000000000000005E-2</v>
      </c>
      <c r="G45" s="44">
        <f>F45</f>
        <v>9.9000000000000005E-2</v>
      </c>
      <c r="H45" s="44">
        <f>G45</f>
        <v>9.9000000000000005E-2</v>
      </c>
      <c r="I45" s="45">
        <f>H45</f>
        <v>9.9000000000000005E-2</v>
      </c>
    </row>
    <row r="46" spans="1:9" ht="17.25" customHeight="1" x14ac:dyDescent="0.2">
      <c r="A46" s="46"/>
      <c r="B46" s="184" t="s">
        <v>64</v>
      </c>
      <c r="C46" s="184"/>
      <c r="D46" s="47">
        <f t="shared" ref="D46:I46" si="7">1/(1+D45)^D$3</f>
        <v>1</v>
      </c>
      <c r="E46" s="47">
        <f t="shared" si="7"/>
        <v>0.90991810737033674</v>
      </c>
      <c r="F46" s="47">
        <f t="shared" si="7"/>
        <v>0.82795096212041563</v>
      </c>
      <c r="G46" s="47">
        <f t="shared" si="7"/>
        <v>0.75336757244805796</v>
      </c>
      <c r="H46" s="47">
        <f t="shared" si="7"/>
        <v>0.68550279567612182</v>
      </c>
      <c r="I46" s="48">
        <f t="shared" si="7"/>
        <v>0.62375140643869142</v>
      </c>
    </row>
    <row r="47" spans="1:9" ht="17.25" customHeight="1" x14ac:dyDescent="0.2">
      <c r="A47" s="46"/>
      <c r="B47" s="49" t="s">
        <v>65</v>
      </c>
      <c r="C47" s="49"/>
      <c r="D47" s="50">
        <f>D45</f>
        <v>9.9000000000000005E-2</v>
      </c>
      <c r="E47" s="51">
        <f>NPV(D47,D$10:I$10)</f>
        <v>51278.383999239006</v>
      </c>
      <c r="F47" s="52">
        <f>IRR(D$10:I$10)</f>
        <v>0.12038014822763055</v>
      </c>
      <c r="G47" s="53">
        <f>SUMPRODUCT(E$9:I$9,E46:I46)/(D$4*D46)</f>
        <v>1.0612770207031432</v>
      </c>
      <c r="H47" s="53">
        <f>(SUMPRODUCT(E$5:I$5,E46:I46)+I$8*I46)/SUMPRODUCT(E$6:I$6,E46:I46)</f>
        <v>1.9540855288039976</v>
      </c>
      <c r="I47" s="54">
        <f>ROUND(D$4/AVERAGE(E$7:I$7),2)</f>
        <v>3.48</v>
      </c>
    </row>
    <row r="48" spans="1:9" ht="17.25" customHeight="1" thickBot="1" x14ac:dyDescent="0.25">
      <c r="A48" s="34">
        <v>26</v>
      </c>
      <c r="B48" s="185" t="s">
        <v>66</v>
      </c>
      <c r="C48" s="186"/>
      <c r="D48" s="63">
        <f>(D47-D$11)/D$11</f>
        <v>0.10000000000000009</v>
      </c>
      <c r="E48" s="63">
        <f>(E47-D$13)/D$13</f>
        <v>-0.31562192229161834</v>
      </c>
      <c r="F48" s="63">
        <f>(F47-D$14)/D$14</f>
        <v>0</v>
      </c>
      <c r="G48" s="63">
        <f>(G47-D$15)/D$15</f>
        <v>-2.5281452575199731E-2</v>
      </c>
      <c r="H48" s="63">
        <f>(H47-D$16)/D$16</f>
        <v>-8.1609947466978062E-4</v>
      </c>
      <c r="I48" s="64">
        <f>(I47-D$17)/D$17</f>
        <v>0</v>
      </c>
    </row>
    <row r="49" spans="1:9" ht="17.25" customHeight="1" thickBot="1" x14ac:dyDescent="0.25">
      <c r="A49" s="181" t="s">
        <v>67</v>
      </c>
      <c r="B49" s="182"/>
      <c r="C49" s="182"/>
      <c r="D49" s="182"/>
      <c r="E49" s="182"/>
      <c r="F49" s="182"/>
      <c r="G49" s="182"/>
      <c r="H49" s="182"/>
      <c r="I49" s="183"/>
    </row>
    <row r="50" spans="1:9" ht="17.25" customHeight="1" x14ac:dyDescent="0.2">
      <c r="A50" s="37">
        <f>A48+1</f>
        <v>27</v>
      </c>
      <c r="B50" s="38" t="str">
        <f>IF(C50&gt;=0,"Creşterea ","Diminuarea ")&amp; "încasărilor operaţionale cu"</f>
        <v>Diminuarea încasărilor operaţionale cu</v>
      </c>
      <c r="C50" s="39">
        <v>-0.1</v>
      </c>
      <c r="D50" s="40" t="str">
        <f>"a = "&amp;ROUND(D54,4)*100&amp;"%"</f>
        <v>a = 9%</v>
      </c>
      <c r="E50" s="41" t="str">
        <f>"VAN = "&amp;ROUND(E54,0)</f>
        <v>VAN = -113066</v>
      </c>
      <c r="F50" s="41" t="str">
        <f>"RIR = "&amp;ROUND(F54,4)*100&amp;"%"</f>
        <v>RIR = 4.2%</v>
      </c>
      <c r="G50" s="41" t="str">
        <f>"IP = "&amp;ROUND(G54,2)</f>
        <v>IP = 0.87</v>
      </c>
      <c r="H50" s="41" t="str">
        <f>" R = "&amp;ROUND(H54,2)</f>
        <v xml:space="preserve"> R = 1.76</v>
      </c>
      <c r="I50" s="42" t="str">
        <f>" Pr = "&amp;ROUND(I54,2)&amp;" ani"</f>
        <v xml:space="preserve"> Pr = 4.37 ani</v>
      </c>
    </row>
    <row r="51" spans="1:9" ht="17.25" customHeight="1" x14ac:dyDescent="0.2">
      <c r="A51" s="29"/>
      <c r="B51" s="176" t="s">
        <v>68</v>
      </c>
      <c r="C51" s="176"/>
      <c r="D51" s="65"/>
      <c r="E51" s="65">
        <f>(1+$C50)*E$5</f>
        <v>394729.2</v>
      </c>
      <c r="F51" s="65">
        <f>(1+$C50)*F$5</f>
        <v>434202.12000000005</v>
      </c>
      <c r="G51" s="65">
        <f>(1+$C50)*G$5</f>
        <v>477622.33199999999</v>
      </c>
      <c r="H51" s="65">
        <f>(1+$C50)*H$5</f>
        <v>525384.56520000007</v>
      </c>
      <c r="I51" s="66">
        <f>(1+$C50)*I$5</f>
        <v>577923.02172000008</v>
      </c>
    </row>
    <row r="52" spans="1:9" ht="17.25" customHeight="1" x14ac:dyDescent="0.2">
      <c r="A52" s="67"/>
      <c r="B52" s="176" t="s">
        <v>69</v>
      </c>
      <c r="C52" s="176"/>
      <c r="D52" s="68"/>
      <c r="E52" s="69">
        <f>E51-E$6</f>
        <v>147479.20000000001</v>
      </c>
      <c r="F52" s="69">
        <f>F51-F$6</f>
        <v>175202.12000000005</v>
      </c>
      <c r="G52" s="69">
        <f>G51-G$6</f>
        <v>206872.33199999999</v>
      </c>
      <c r="H52" s="69">
        <f>H51-H$6</f>
        <v>241634.56520000007</v>
      </c>
      <c r="I52" s="70">
        <f>I51-I$6</f>
        <v>281173.02172000008</v>
      </c>
    </row>
    <row r="53" spans="1:9" ht="17.25" customHeight="1" x14ac:dyDescent="0.2">
      <c r="A53" s="67"/>
      <c r="B53" s="176" t="s">
        <v>70</v>
      </c>
      <c r="C53" s="176"/>
      <c r="D53" s="30">
        <f t="shared" ref="D53:I53" si="8">D51-D$4-D$6+D$8</f>
        <v>-919675</v>
      </c>
      <c r="E53" s="30">
        <f t="shared" si="8"/>
        <v>147479.20000000001</v>
      </c>
      <c r="F53" s="30">
        <f t="shared" si="8"/>
        <v>175202.12000000005</v>
      </c>
      <c r="G53" s="30">
        <f t="shared" si="8"/>
        <v>206872.33199999999</v>
      </c>
      <c r="H53" s="30">
        <f t="shared" si="8"/>
        <v>241634.56520000007</v>
      </c>
      <c r="I53" s="31">
        <f t="shared" si="8"/>
        <v>281173.02172000008</v>
      </c>
    </row>
    <row r="54" spans="1:9" ht="17.25" customHeight="1" x14ac:dyDescent="0.2">
      <c r="A54" s="67"/>
      <c r="B54" s="177" t="s">
        <v>65</v>
      </c>
      <c r="C54" s="178"/>
      <c r="D54" s="55">
        <f>D$11</f>
        <v>0.09</v>
      </c>
      <c r="E54" s="71">
        <f>NPV(D54,D53:I53)</f>
        <v>-113066.30786123827</v>
      </c>
      <c r="F54" s="72">
        <f>IRR(D53:I53)</f>
        <v>4.1978256349517906E-2</v>
      </c>
      <c r="G54" s="73">
        <f>SUMPRODUCT(E53:I53,E$12:I$12)/(D$4*D$12)</f>
        <v>0.86599366562236668</v>
      </c>
      <c r="H54" s="73">
        <f>(SUMPRODUCT(E51:I51,E$12:I$12)+I$8*I$12)/SUMPRODUCT(E$6:I$6,E$12:I$12)</f>
        <v>1.7601134035475925</v>
      </c>
      <c r="I54" s="74">
        <f>ROUND(D$4/AVERAGE(E52:I52),2)</f>
        <v>4.37</v>
      </c>
    </row>
    <row r="55" spans="1:9" ht="17.25" customHeight="1" x14ac:dyDescent="0.2">
      <c r="A55" s="29">
        <f>A50+1</f>
        <v>28</v>
      </c>
      <c r="B55" s="176" t="s">
        <v>66</v>
      </c>
      <c r="C55" s="176"/>
      <c r="D55" s="55">
        <f>(D54-D$11)/D$11</f>
        <v>0</v>
      </c>
      <c r="E55" s="55">
        <f>(E54-D$13)/D$13</f>
        <v>-2.5090199103935622</v>
      </c>
      <c r="F55" s="55">
        <f>(F54-D$14)/D$14</f>
        <v>-0.65128588918049912</v>
      </c>
      <c r="G55" s="55">
        <f>(G54-D$15)/D$15</f>
        <v>-0.20463736482746267</v>
      </c>
      <c r="H55" s="55">
        <f>(H54-D$16)/D$16</f>
        <v>-9.9999999999999867E-2</v>
      </c>
      <c r="I55" s="56">
        <f>(I54-D$17)/D$17</f>
        <v>0.25574712643678166</v>
      </c>
    </row>
    <row r="56" spans="1:9" ht="17.25" customHeight="1" x14ac:dyDescent="0.2">
      <c r="A56" s="29">
        <f>A55+1</f>
        <v>29</v>
      </c>
      <c r="B56" s="19" t="str">
        <f>IF(C56&gt;=0,"Creşterea ","Diminuarea ")&amp; "încasărilor operaţionale cu"</f>
        <v>Diminuarea încasărilor operaţionale cu</v>
      </c>
      <c r="C56" s="57">
        <v>-0.05</v>
      </c>
      <c r="D56" s="58" t="str">
        <f>"a = "&amp;ROUND(D60,4)*100&amp;"%"</f>
        <v>a = 9%</v>
      </c>
      <c r="E56" s="20" t="str">
        <f>"VAN = "&amp;ROUND(E60,0)</f>
        <v>VAN = -19070</v>
      </c>
      <c r="F56" s="20" t="str">
        <f>"RIR = "&amp;ROUND(F60,4)*100&amp;"%"</f>
        <v>RIR = 8.21%</v>
      </c>
      <c r="G56" s="20" t="str">
        <f>"IP = "&amp;ROUND(G60,2)</f>
        <v>IP = 0.98</v>
      </c>
      <c r="H56" s="20" t="str">
        <f>" R = "&amp;ROUND(H60,2)</f>
        <v xml:space="preserve"> R = 1.86</v>
      </c>
      <c r="I56" s="59" t="str">
        <f>" Pr = "&amp;ROUND(I60,2)&amp;" ani"</f>
        <v xml:space="preserve"> Pr = 3.88 ani</v>
      </c>
    </row>
    <row r="57" spans="1:9" ht="17.25" customHeight="1" x14ac:dyDescent="0.2">
      <c r="A57" s="29"/>
      <c r="B57" s="176" t="s">
        <v>68</v>
      </c>
      <c r="C57" s="176"/>
      <c r="D57" s="65"/>
      <c r="E57" s="65">
        <f>(1+$C56)*E$5</f>
        <v>416658.6</v>
      </c>
      <c r="F57" s="65">
        <f>(1+$C56)*F$5</f>
        <v>458324.46</v>
      </c>
      <c r="G57" s="65">
        <f>(1+$C56)*G$5</f>
        <v>504156.90599999996</v>
      </c>
      <c r="H57" s="65">
        <f>(1+$C56)*H$5</f>
        <v>554572.59660000005</v>
      </c>
      <c r="I57" s="66">
        <f>(1+$C56)*I$5</f>
        <v>610029.85626000003</v>
      </c>
    </row>
    <row r="58" spans="1:9" ht="17.25" customHeight="1" x14ac:dyDescent="0.2">
      <c r="A58" s="67"/>
      <c r="B58" s="176" t="s">
        <v>69</v>
      </c>
      <c r="C58" s="176"/>
      <c r="D58" s="68"/>
      <c r="E58" s="69">
        <f>E57-E$6</f>
        <v>169408.59999999998</v>
      </c>
      <c r="F58" s="69">
        <f>F57-F$6</f>
        <v>199324.46000000002</v>
      </c>
      <c r="G58" s="69">
        <f>G57-G$6</f>
        <v>233406.90599999996</v>
      </c>
      <c r="H58" s="69">
        <f>H57-H$6</f>
        <v>270822.59660000005</v>
      </c>
      <c r="I58" s="70">
        <f>I57-I$6</f>
        <v>313279.85626000003</v>
      </c>
    </row>
    <row r="59" spans="1:9" ht="17.25" customHeight="1" x14ac:dyDescent="0.2">
      <c r="A59" s="67"/>
      <c r="B59" s="176" t="s">
        <v>70</v>
      </c>
      <c r="C59" s="176"/>
      <c r="D59" s="30">
        <f t="shared" ref="D59:I59" si="9">D57-D$4-D$6+D$8</f>
        <v>-919675</v>
      </c>
      <c r="E59" s="30">
        <f t="shared" si="9"/>
        <v>169408.59999999998</v>
      </c>
      <c r="F59" s="30">
        <f t="shared" si="9"/>
        <v>199324.46000000002</v>
      </c>
      <c r="G59" s="30">
        <f t="shared" si="9"/>
        <v>233406.90599999996</v>
      </c>
      <c r="H59" s="30">
        <f t="shared" si="9"/>
        <v>270822.59660000005</v>
      </c>
      <c r="I59" s="31">
        <f t="shared" si="9"/>
        <v>313279.85626000003</v>
      </c>
    </row>
    <row r="60" spans="1:9" ht="17.25" customHeight="1" x14ac:dyDescent="0.2">
      <c r="A60" s="67"/>
      <c r="B60" s="177" t="s">
        <v>65</v>
      </c>
      <c r="C60" s="178"/>
      <c r="D60" s="55">
        <f>D$11</f>
        <v>0.09</v>
      </c>
      <c r="E60" s="71">
        <f>NPV(D60,D59:I59)</f>
        <v>-19069.662865166792</v>
      </c>
      <c r="F60" s="72">
        <f>IRR(D59:I59)</f>
        <v>8.2096155224412604E-2</v>
      </c>
      <c r="G60" s="73">
        <f>SUMPRODUCT(E59:I59,E$12:I$12)/(D$4*D$12)</f>
        <v>0.9773986108972933</v>
      </c>
      <c r="H60" s="73">
        <f>(SUMPRODUCT(E57:I57,E$12:I$12)+I$8*I$12)/SUMPRODUCT(E$6:I$6,E$12:I$12)</f>
        <v>1.8578974815224583</v>
      </c>
      <c r="I60" s="74">
        <f>ROUND(D$4/AVERAGE(E58:I58),2)</f>
        <v>3.88</v>
      </c>
    </row>
    <row r="61" spans="1:9" ht="17.25" customHeight="1" x14ac:dyDescent="0.2">
      <c r="A61" s="29">
        <f>A56+1</f>
        <v>30</v>
      </c>
      <c r="B61" s="176" t="s">
        <v>66</v>
      </c>
      <c r="C61" s="176"/>
      <c r="D61" s="55">
        <f>(D60-D$11)/D$11</f>
        <v>0</v>
      </c>
      <c r="E61" s="55">
        <f>(E60-D$13)/D$13</f>
        <v>-1.2545099551967831</v>
      </c>
      <c r="F61" s="55">
        <f>(F60-D$14)/D$14</f>
        <v>-0.31802580049017348</v>
      </c>
      <c r="G61" s="55">
        <f>(G60-D$15)/D$15</f>
        <v>-0.10231868241373139</v>
      </c>
      <c r="H61" s="55">
        <f>(H60-D$16)/D$16</f>
        <v>-5.00000000000001E-2</v>
      </c>
      <c r="I61" s="56">
        <f>(I60-D$17)/D$17</f>
        <v>0.11494252873563215</v>
      </c>
    </row>
    <row r="62" spans="1:9" ht="17.25" customHeight="1" x14ac:dyDescent="0.2">
      <c r="A62" s="29">
        <f>A61+1</f>
        <v>31</v>
      </c>
      <c r="B62" s="19" t="str">
        <f>IF(C62&gt;=0,"Creşterea ","Diminuarea ")&amp; "încasărilor operaţionale cu"</f>
        <v>Diminuarea încasărilor operaţionale cu</v>
      </c>
      <c r="C62" s="57">
        <v>-0.01</v>
      </c>
      <c r="D62" s="58" t="str">
        <f>"a = "&amp;ROUND(D66,4)*100&amp;"%"</f>
        <v>a = 9%</v>
      </c>
      <c r="E62" s="20" t="str">
        <f>"VAN = "&amp;ROUND(E66,0)</f>
        <v>VAN = 56128</v>
      </c>
      <c r="F62" s="20" t="str">
        <f>"RIR = "&amp;ROUND(F66,4)*100&amp;"%"</f>
        <v>RIR = 11.29%</v>
      </c>
      <c r="G62" s="20" t="str">
        <f>"IP = "&amp;ROUND(G66,2)</f>
        <v>IP = 1.07</v>
      </c>
      <c r="H62" s="20" t="str">
        <f>" R = "&amp;ROUND(H66,2)</f>
        <v xml:space="preserve"> R = 1.94</v>
      </c>
      <c r="I62" s="59" t="str">
        <f>" Pr = "&amp;ROUND(I66,2)&amp;" ani"</f>
        <v xml:space="preserve"> Pr = 3.56 ani</v>
      </c>
    </row>
    <row r="63" spans="1:9" ht="17.25" customHeight="1" x14ac:dyDescent="0.2">
      <c r="A63" s="29"/>
      <c r="B63" s="176" t="s">
        <v>68</v>
      </c>
      <c r="C63" s="176"/>
      <c r="D63" s="65"/>
      <c r="E63" s="65">
        <f>(1+$C62)*E$5</f>
        <v>434202.12</v>
      </c>
      <c r="F63" s="65">
        <f>(1+$C62)*F$5</f>
        <v>477622.33200000005</v>
      </c>
      <c r="G63" s="65">
        <f>(1+$C62)*G$5</f>
        <v>525384.56519999995</v>
      </c>
      <c r="H63" s="65">
        <f>(1+$C62)*H$5</f>
        <v>577923.02172000008</v>
      </c>
      <c r="I63" s="66">
        <f>(1+$C62)*I$5</f>
        <v>635715.32389200013</v>
      </c>
    </row>
    <row r="64" spans="1:9" ht="17.25" customHeight="1" x14ac:dyDescent="0.2">
      <c r="A64" s="67"/>
      <c r="B64" s="176" t="s">
        <v>69</v>
      </c>
      <c r="C64" s="176"/>
      <c r="D64" s="68"/>
      <c r="E64" s="69">
        <f>E63-E$6</f>
        <v>186952.12</v>
      </c>
      <c r="F64" s="69">
        <f>F63-F$6</f>
        <v>218622.33200000005</v>
      </c>
      <c r="G64" s="69">
        <f>G63-G$6</f>
        <v>254634.56519999995</v>
      </c>
      <c r="H64" s="69">
        <f>H63-H$6</f>
        <v>294173.02172000008</v>
      </c>
      <c r="I64" s="70">
        <f>I63-I$6</f>
        <v>338965.32389200013</v>
      </c>
    </row>
    <row r="65" spans="1:9" ht="17.25" customHeight="1" x14ac:dyDescent="0.2">
      <c r="A65" s="67"/>
      <c r="B65" s="176" t="s">
        <v>70</v>
      </c>
      <c r="C65" s="176"/>
      <c r="D65" s="30">
        <f t="shared" ref="D65:I65" si="10">D63-D$4-D$6+D$8</f>
        <v>-919675</v>
      </c>
      <c r="E65" s="30">
        <f t="shared" si="10"/>
        <v>186952.12</v>
      </c>
      <c r="F65" s="30">
        <f t="shared" si="10"/>
        <v>218622.33200000005</v>
      </c>
      <c r="G65" s="30">
        <f t="shared" si="10"/>
        <v>254634.56519999995</v>
      </c>
      <c r="H65" s="30">
        <f t="shared" si="10"/>
        <v>294173.02172000008</v>
      </c>
      <c r="I65" s="31">
        <f t="shared" si="10"/>
        <v>338965.32389200013</v>
      </c>
    </row>
    <row r="66" spans="1:9" ht="17.25" customHeight="1" x14ac:dyDescent="0.2">
      <c r="A66" s="67"/>
      <c r="B66" s="177" t="s">
        <v>65</v>
      </c>
      <c r="C66" s="178"/>
      <c r="D66" s="55">
        <f>D$11</f>
        <v>0.09</v>
      </c>
      <c r="E66" s="71">
        <f>NPV(D66,D65:I65)</f>
        <v>56127.653131690757</v>
      </c>
      <c r="F66" s="72">
        <f>IRR(D65:I65)</f>
        <v>0.11285394653234926</v>
      </c>
      <c r="G66" s="73">
        <f>SUMPRODUCT(E65:I65,E$12:I$12)/(D$4*D$12)</f>
        <v>1.0665225671172347</v>
      </c>
      <c r="H66" s="73">
        <f>(SUMPRODUCT(E63:I63,E$12:I$12)+I$8*I$12)/SUMPRODUCT(E$6:I$6,E$12:I$12)</f>
        <v>1.9361247439023515</v>
      </c>
      <c r="I66" s="74">
        <f>ROUND(D$4/AVERAGE(E64:I64),2)</f>
        <v>3.56</v>
      </c>
    </row>
    <row r="67" spans="1:9" ht="17.25" customHeight="1" x14ac:dyDescent="0.2">
      <c r="A67" s="29">
        <f>A62+1</f>
        <v>32</v>
      </c>
      <c r="B67" s="176" t="s">
        <v>66</v>
      </c>
      <c r="C67" s="176"/>
      <c r="D67" s="55">
        <f>(D66-D$11)/D$11</f>
        <v>0</v>
      </c>
      <c r="E67" s="55">
        <f>(E66-D$13)/D$13</f>
        <v>-0.25090199103935479</v>
      </c>
      <c r="F67" s="55">
        <f>(F66-D$14)/D$14</f>
        <v>-6.2520289317552255E-2</v>
      </c>
      <c r="G67" s="55">
        <f>(G66-D$15)/D$15</f>
        <v>-2.0463736482746256E-2</v>
      </c>
      <c r="H67" s="55">
        <f>(H66-D$16)/D$16</f>
        <v>-9.9999999999999985E-3</v>
      </c>
      <c r="I67" s="56">
        <f>(I66-D$17)/D$17</f>
        <v>2.2988505747126457E-2</v>
      </c>
    </row>
    <row r="68" spans="1:9" ht="17.25" customHeight="1" x14ac:dyDescent="0.2">
      <c r="A68" s="29">
        <f>A67+1</f>
        <v>33</v>
      </c>
      <c r="B68" s="19" t="str">
        <f>IF(C68&gt;=0,"Creşterea ","Diminuarea ")&amp; "încasărilor operaţionale cu"</f>
        <v>Creşterea încasărilor operaţionale cu</v>
      </c>
      <c r="C68" s="57">
        <v>0.01</v>
      </c>
      <c r="D68" s="58" t="str">
        <f>"a = "&amp;ROUND(D72,4)*100&amp;"%"</f>
        <v>a = 9%</v>
      </c>
      <c r="E68" s="20" t="str">
        <f>"VAN = "&amp;ROUND(E72,0)</f>
        <v>VAN = 93726</v>
      </c>
      <c r="F68" s="20" t="str">
        <f>"RIR = "&amp;ROUND(F72,4)*100&amp;"%"</f>
        <v>RIR = 12.78%</v>
      </c>
      <c r="G68" s="20" t="str">
        <f>"IP = "&amp;ROUND(G72,2)</f>
        <v>IP = 1.11</v>
      </c>
      <c r="H68" s="20" t="str">
        <f>" R = "&amp;ROUND(H72,2)</f>
        <v xml:space="preserve"> R = 1.98</v>
      </c>
      <c r="I68" s="59" t="str">
        <f>" Pr = "&amp;ROUND(I72,2)&amp;" ani"</f>
        <v xml:space="preserve"> Pr = 3.41 ani</v>
      </c>
    </row>
    <row r="69" spans="1:9" ht="17.25" customHeight="1" x14ac:dyDescent="0.2">
      <c r="A69" s="29"/>
      <c r="B69" s="176" t="s">
        <v>68</v>
      </c>
      <c r="C69" s="176"/>
      <c r="D69" s="65"/>
      <c r="E69" s="65">
        <f>(1+$C68)*E$5</f>
        <v>442973.88</v>
      </c>
      <c r="F69" s="65">
        <f>(1+$C68)*F$5</f>
        <v>487271.26800000004</v>
      </c>
      <c r="G69" s="65">
        <f>(1+$C68)*G$5</f>
        <v>535998.39480000001</v>
      </c>
      <c r="H69" s="65">
        <f>(1+$C68)*H$5</f>
        <v>589598.23427999998</v>
      </c>
      <c r="I69" s="66">
        <f>(1+$C68)*I$5</f>
        <v>648558.05770800007</v>
      </c>
    </row>
    <row r="70" spans="1:9" ht="17.25" customHeight="1" x14ac:dyDescent="0.2">
      <c r="A70" s="67"/>
      <c r="B70" s="176" t="s">
        <v>69</v>
      </c>
      <c r="C70" s="176"/>
      <c r="D70" s="68"/>
      <c r="E70" s="69">
        <f>E69-E$6</f>
        <v>195723.88</v>
      </c>
      <c r="F70" s="69">
        <f>F69-F$6</f>
        <v>228271.26800000004</v>
      </c>
      <c r="G70" s="69">
        <f>G69-G$6</f>
        <v>265248.39480000001</v>
      </c>
      <c r="H70" s="69">
        <f>H69-H$6</f>
        <v>305848.23427999998</v>
      </c>
      <c r="I70" s="70">
        <f>I69-I$6</f>
        <v>351808.05770800007</v>
      </c>
    </row>
    <row r="71" spans="1:9" ht="17.25" customHeight="1" x14ac:dyDescent="0.2">
      <c r="A71" s="67"/>
      <c r="B71" s="176" t="s">
        <v>70</v>
      </c>
      <c r="C71" s="176"/>
      <c r="D71" s="30">
        <f t="shared" ref="D71:I71" si="11">D69-D$4-D$6+D$8</f>
        <v>-919675</v>
      </c>
      <c r="E71" s="30">
        <f t="shared" si="11"/>
        <v>195723.88</v>
      </c>
      <c r="F71" s="30">
        <f t="shared" si="11"/>
        <v>228271.26800000004</v>
      </c>
      <c r="G71" s="30">
        <f t="shared" si="11"/>
        <v>265248.39480000001</v>
      </c>
      <c r="H71" s="30">
        <f t="shared" si="11"/>
        <v>305848.23427999998</v>
      </c>
      <c r="I71" s="31">
        <f t="shared" si="11"/>
        <v>351808.05770800007</v>
      </c>
    </row>
    <row r="72" spans="1:9" ht="17.25" customHeight="1" x14ac:dyDescent="0.2">
      <c r="A72" s="67"/>
      <c r="B72" s="177" t="s">
        <v>65</v>
      </c>
      <c r="C72" s="178"/>
      <c r="D72" s="55">
        <f>D$11</f>
        <v>0.09</v>
      </c>
      <c r="E72" s="71">
        <f>NPV(D72,D71:I71)</f>
        <v>93726.311130119328</v>
      </c>
      <c r="F72" s="72">
        <f>IRR(D71:I71)</f>
        <v>0.12784564536225584</v>
      </c>
      <c r="G72" s="73">
        <f>SUMPRODUCT(E71:I71,E$12:I$12)/(D$4*D$12)</f>
        <v>1.1110845452272053</v>
      </c>
      <c r="H72" s="73">
        <f>(SUMPRODUCT(E69:I69,E$12:I$12)+I$8*I$12)/SUMPRODUCT(E$6:I$6,E$12:I$12)</f>
        <v>1.9752383750922975</v>
      </c>
      <c r="I72" s="74">
        <f>ROUND(D$4/AVERAGE(E70:I70),2)</f>
        <v>3.41</v>
      </c>
    </row>
    <row r="73" spans="1:9" ht="17.25" customHeight="1" x14ac:dyDescent="0.2">
      <c r="A73" s="60">
        <f>A68+1</f>
        <v>34</v>
      </c>
      <c r="B73" s="180" t="s">
        <v>66</v>
      </c>
      <c r="C73" s="180"/>
      <c r="D73" s="61">
        <f>(D72-D$11)/D$11</f>
        <v>0</v>
      </c>
      <c r="E73" s="61">
        <f>(E72-D$13)/D$13</f>
        <v>0.25090199103935662</v>
      </c>
      <c r="F73" s="61">
        <f>(F72-D$14)/D$14</f>
        <v>6.2016015468834271E-2</v>
      </c>
      <c r="G73" s="61">
        <f>(G72-D$15)/D$15</f>
        <v>2.0463736482746256E-2</v>
      </c>
      <c r="H73" s="61">
        <f>(H72-D$16)/D$16</f>
        <v>9.9999999999997712E-3</v>
      </c>
      <c r="I73" s="62">
        <f>(I72-D$17)/D$17</f>
        <v>-2.0114942528735587E-2</v>
      </c>
    </row>
    <row r="74" spans="1:9" ht="17.25" customHeight="1" x14ac:dyDescent="0.2">
      <c r="A74" s="29">
        <f>A73+1</f>
        <v>35</v>
      </c>
      <c r="B74" s="19" t="str">
        <f>IF(C74&gt;=0,"Creşterea ","Diminuarea ")&amp; "încasărilor operaţionale cu"</f>
        <v>Creşterea încasărilor operaţionale cu</v>
      </c>
      <c r="C74" s="57">
        <v>0.05</v>
      </c>
      <c r="D74" s="58" t="str">
        <f>"a = "&amp;ROUND(D78,4)*100&amp;"%"</f>
        <v>a = 9%</v>
      </c>
      <c r="E74" s="20" t="str">
        <f>"VAN = "&amp;ROUND(E78,0)</f>
        <v>VAN = 168924</v>
      </c>
      <c r="F74" s="20" t="str">
        <f>"RIR = "&amp;ROUND(F78,4)*100&amp;"%"</f>
        <v>RIR = 15.71%</v>
      </c>
      <c r="G74" s="20" t="str">
        <f>"IP = "&amp;ROUND(G78,2)</f>
        <v>IP = 1.2</v>
      </c>
      <c r="H74" s="20" t="str">
        <f>" R = "&amp;ROUND(H78,2)</f>
        <v xml:space="preserve"> R = 2.05</v>
      </c>
      <c r="I74" s="59" t="str">
        <f>" Pr = "&amp;ROUND(I78,2)&amp;" ani"</f>
        <v xml:space="preserve"> Pr = 3.16 ani</v>
      </c>
    </row>
    <row r="75" spans="1:9" ht="17.25" customHeight="1" x14ac:dyDescent="0.2">
      <c r="A75" s="29"/>
      <c r="B75" s="176" t="s">
        <v>68</v>
      </c>
      <c r="C75" s="176"/>
      <c r="D75" s="65"/>
      <c r="E75" s="65">
        <f>(1+$C74)*E$5</f>
        <v>460517.4</v>
      </c>
      <c r="F75" s="65">
        <f>(1+$C74)*F$5</f>
        <v>506569.14000000007</v>
      </c>
      <c r="G75" s="65">
        <f>(1+$C74)*G$5</f>
        <v>557226.054</v>
      </c>
      <c r="H75" s="65">
        <f>(1+$C74)*H$5</f>
        <v>612948.6594</v>
      </c>
      <c r="I75" s="66">
        <f>(1+$C74)*I$5</f>
        <v>674243.52534000017</v>
      </c>
    </row>
    <row r="76" spans="1:9" ht="17.25" customHeight="1" x14ac:dyDescent="0.2">
      <c r="A76" s="67"/>
      <c r="B76" s="176" t="s">
        <v>69</v>
      </c>
      <c r="C76" s="176"/>
      <c r="D76" s="68"/>
      <c r="E76" s="69">
        <f>E75-E$6</f>
        <v>213267.40000000002</v>
      </c>
      <c r="F76" s="69">
        <f>F75-F$6</f>
        <v>247569.14000000007</v>
      </c>
      <c r="G76" s="69">
        <f>G75-G$6</f>
        <v>286476.054</v>
      </c>
      <c r="H76" s="69">
        <f>H75-H$6</f>
        <v>329198.6594</v>
      </c>
      <c r="I76" s="70">
        <f>I75-I$6</f>
        <v>377493.52534000017</v>
      </c>
    </row>
    <row r="77" spans="1:9" ht="17.25" customHeight="1" x14ac:dyDescent="0.2">
      <c r="A77" s="67"/>
      <c r="B77" s="176" t="s">
        <v>70</v>
      </c>
      <c r="C77" s="176"/>
      <c r="D77" s="30">
        <f t="shared" ref="D77:I77" si="12">D75-D$4-D$6+D$8</f>
        <v>-919675</v>
      </c>
      <c r="E77" s="30">
        <f t="shared" si="12"/>
        <v>213267.40000000002</v>
      </c>
      <c r="F77" s="30">
        <f t="shared" si="12"/>
        <v>247569.14000000007</v>
      </c>
      <c r="G77" s="30">
        <f t="shared" si="12"/>
        <v>286476.054</v>
      </c>
      <c r="H77" s="30">
        <f t="shared" si="12"/>
        <v>329198.6594</v>
      </c>
      <c r="I77" s="31">
        <f t="shared" si="12"/>
        <v>377493.52534000017</v>
      </c>
    </row>
    <row r="78" spans="1:9" ht="17.25" customHeight="1" x14ac:dyDescent="0.2">
      <c r="A78" s="67"/>
      <c r="B78" s="177" t="s">
        <v>65</v>
      </c>
      <c r="C78" s="178"/>
      <c r="D78" s="55">
        <f>D$11</f>
        <v>0.09</v>
      </c>
      <c r="E78" s="71">
        <f>NPV(D78,D77:I77)</f>
        <v>168923.62712697679</v>
      </c>
      <c r="F78" s="72">
        <f>IRR(D77:I77)</f>
        <v>0.15714087368697793</v>
      </c>
      <c r="G78" s="73">
        <f>SUMPRODUCT(E77:I77,E$12:I$12)/(D$4*D$12)</f>
        <v>1.2002085014471466</v>
      </c>
      <c r="H78" s="73">
        <f>(SUMPRODUCT(E75:I75,E$12:I$12)+I$8*I$12)/SUMPRODUCT(E$6:I$6,E$12:I$12)</f>
        <v>2.0534656374721911</v>
      </c>
      <c r="I78" s="74">
        <f>ROUND(D$4/AVERAGE(E76:I76),2)</f>
        <v>3.16</v>
      </c>
    </row>
    <row r="79" spans="1:9" ht="17.25" customHeight="1" x14ac:dyDescent="0.2">
      <c r="A79" s="60">
        <f>A74+1</f>
        <v>36</v>
      </c>
      <c r="B79" s="180" t="s">
        <v>66</v>
      </c>
      <c r="C79" s="180"/>
      <c r="D79" s="61">
        <f>(D78-D$11)/D$11</f>
        <v>0</v>
      </c>
      <c r="E79" s="61">
        <f>(E78-D$13)/D$13</f>
        <v>1.2545099551967838</v>
      </c>
      <c r="F79" s="61">
        <f>(F78-D$14)/D$14</f>
        <v>0.305371990320492</v>
      </c>
      <c r="G79" s="61">
        <f>(G78-D$15)/D$15</f>
        <v>0.10231868241373129</v>
      </c>
      <c r="H79" s="61">
        <f>(H78-D$16)/D$16</f>
        <v>5.00000000000001E-2</v>
      </c>
      <c r="I79" s="62">
        <f>(I78-D$17)/D$17</f>
        <v>-9.1954022988505704E-2</v>
      </c>
    </row>
    <row r="80" spans="1:9" ht="17.25" customHeight="1" x14ac:dyDescent="0.2">
      <c r="A80" s="29">
        <f>A79+1</f>
        <v>37</v>
      </c>
      <c r="B80" s="19" t="str">
        <f>IF(C80&gt;=0,"Creşterea ","Diminuarea ")&amp; "încasărilor operaţionale cu"</f>
        <v>Creşterea încasărilor operaţionale cu</v>
      </c>
      <c r="C80" s="57">
        <v>0.1</v>
      </c>
      <c r="D80" s="58" t="str">
        <f>"a = "&amp;ROUND(D84,4)*100&amp;"%"</f>
        <v>a = 9%</v>
      </c>
      <c r="E80" s="20" t="str">
        <f>"VAN = "&amp;ROUND(E84,0)</f>
        <v>VAN = 262920</v>
      </c>
      <c r="F80" s="20" t="str">
        <f>"RIR = "&amp;ROUND(F84,4)*100&amp;"%"</f>
        <v>RIR = 19.26%</v>
      </c>
      <c r="G80" s="20" t="str">
        <f>"IP = "&amp;ROUND(G84,2)</f>
        <v>IP = 1.31</v>
      </c>
      <c r="H80" s="20" t="str">
        <f>" R = "&amp;ROUND(H84,2)</f>
        <v xml:space="preserve"> R = 2.15</v>
      </c>
      <c r="I80" s="59" t="str">
        <f>" Pr = "&amp;ROUND(I84,2)&amp;" ani"</f>
        <v xml:space="preserve"> Pr = 2.9 ani</v>
      </c>
    </row>
    <row r="81" spans="1:9" ht="17.25" customHeight="1" x14ac:dyDescent="0.2">
      <c r="A81" s="29"/>
      <c r="B81" s="176" t="s">
        <v>68</v>
      </c>
      <c r="C81" s="176"/>
      <c r="D81" s="65"/>
      <c r="E81" s="65">
        <f>(1+$C80)*E$5</f>
        <v>482446.80000000005</v>
      </c>
      <c r="F81" s="65">
        <f>(1+$C80)*F$5</f>
        <v>530691.4800000001</v>
      </c>
      <c r="G81" s="65">
        <f>(1+$C80)*G$5</f>
        <v>583760.62800000003</v>
      </c>
      <c r="H81" s="65">
        <f>(1+$C80)*H$5</f>
        <v>642136.6908000001</v>
      </c>
      <c r="I81" s="66">
        <f>(1+$C80)*I$5</f>
        <v>706350.35988000012</v>
      </c>
    </row>
    <row r="82" spans="1:9" ht="17.25" customHeight="1" x14ac:dyDescent="0.2">
      <c r="A82" s="67"/>
      <c r="B82" s="176" t="s">
        <v>69</v>
      </c>
      <c r="C82" s="176"/>
      <c r="D82" s="68"/>
      <c r="E82" s="69">
        <f>E81-E$6</f>
        <v>235196.80000000005</v>
      </c>
      <c r="F82" s="69">
        <f>F81-F$6</f>
        <v>271691.4800000001</v>
      </c>
      <c r="G82" s="69">
        <f>G81-G$6</f>
        <v>313010.62800000003</v>
      </c>
      <c r="H82" s="69">
        <f>H81-H$6</f>
        <v>358386.6908000001</v>
      </c>
      <c r="I82" s="70">
        <f>I81-I$6</f>
        <v>409600.35988000012</v>
      </c>
    </row>
    <row r="83" spans="1:9" ht="17.25" customHeight="1" x14ac:dyDescent="0.2">
      <c r="A83" s="67"/>
      <c r="B83" s="176" t="s">
        <v>70</v>
      </c>
      <c r="C83" s="176"/>
      <c r="D83" s="30">
        <f t="shared" ref="D83:I83" si="13">D81-D$4-D$6+D$8</f>
        <v>-919675</v>
      </c>
      <c r="E83" s="30">
        <f t="shared" si="13"/>
        <v>235196.80000000005</v>
      </c>
      <c r="F83" s="30">
        <f t="shared" si="13"/>
        <v>271691.4800000001</v>
      </c>
      <c r="G83" s="30">
        <f t="shared" si="13"/>
        <v>313010.62800000003</v>
      </c>
      <c r="H83" s="30">
        <f t="shared" si="13"/>
        <v>358386.6908000001</v>
      </c>
      <c r="I83" s="31">
        <f t="shared" si="13"/>
        <v>409600.35988000012</v>
      </c>
    </row>
    <row r="84" spans="1:9" ht="17.25" customHeight="1" x14ac:dyDescent="0.2">
      <c r="A84" s="67"/>
      <c r="B84" s="177" t="s">
        <v>65</v>
      </c>
      <c r="C84" s="178"/>
      <c r="D84" s="55">
        <f>D$11</f>
        <v>0.09</v>
      </c>
      <c r="E84" s="71">
        <f>NPV(D84,D83:I83)</f>
        <v>262920.27212304849</v>
      </c>
      <c r="F84" s="72">
        <f>IRR(D83:I83)</f>
        <v>0.19261677355369633</v>
      </c>
      <c r="G84" s="73">
        <f>SUMPRODUCT(E83:I83,E$12:I$12)/(D$4*D$12)</f>
        <v>1.3116134467220735</v>
      </c>
      <c r="H84" s="73">
        <f>(SUMPRODUCT(E81:I81,E$12:I$12)+I$8*I$12)/SUMPRODUCT(E$6:I$6,E$12:I$12)</f>
        <v>2.1512497154470571</v>
      </c>
      <c r="I84" s="74">
        <f>ROUND(D$4/AVERAGE(E82:I82),2)</f>
        <v>2.9</v>
      </c>
    </row>
    <row r="85" spans="1:9" ht="17.25" customHeight="1" thickBot="1" x14ac:dyDescent="0.25">
      <c r="A85" s="34">
        <f>A80+1</f>
        <v>38</v>
      </c>
      <c r="B85" s="179" t="s">
        <v>66</v>
      </c>
      <c r="C85" s="179"/>
      <c r="D85" s="63">
        <f>(D84-D$11)/D$11</f>
        <v>0</v>
      </c>
      <c r="E85" s="63">
        <f>(E84-D$13)/D$13</f>
        <v>2.5090199103935662</v>
      </c>
      <c r="F85" s="63">
        <f>(F84-D$14)/D$14</f>
        <v>0.60007091193700235</v>
      </c>
      <c r="G85" s="63">
        <f>(G84-D$15)/D$15</f>
        <v>0.20463736482746278</v>
      </c>
      <c r="H85" s="63">
        <f>(H84-D$16)/D$16</f>
        <v>9.9999999999999978E-2</v>
      </c>
      <c r="I85" s="64">
        <f>(I84-D$17)/D$17</f>
        <v>-0.16666666666666669</v>
      </c>
    </row>
    <row r="86" spans="1:9" ht="17.25" customHeight="1" thickBot="1" x14ac:dyDescent="0.25">
      <c r="A86" s="181" t="s">
        <v>71</v>
      </c>
      <c r="B86" s="182"/>
      <c r="C86" s="182"/>
      <c r="D86" s="182"/>
      <c r="E86" s="182"/>
      <c r="F86" s="182"/>
      <c r="G86" s="182"/>
      <c r="H86" s="182"/>
      <c r="I86" s="183"/>
    </row>
    <row r="87" spans="1:9" ht="17.25" customHeight="1" x14ac:dyDescent="0.2">
      <c r="A87" s="37">
        <f>A85+1</f>
        <v>39</v>
      </c>
      <c r="B87" s="38" t="str">
        <f>IF(C87&gt;=0,"Creşterea ","Diminuarea ")&amp; "plăţilor operaţionale cu"</f>
        <v>Diminuarea plăţilor operaţionale cu</v>
      </c>
      <c r="C87" s="39">
        <v>-0.1</v>
      </c>
      <c r="D87" s="40" t="str">
        <f>"a = "&amp;ROUND(D91,4)*100&amp;"%"</f>
        <v>a = 9%</v>
      </c>
      <c r="E87" s="41" t="str">
        <f>"VAN = "&amp;ROUND(E91,0)</f>
        <v>VAN = 171054</v>
      </c>
      <c r="F87" s="41" t="str">
        <f>"RIR = "&amp;ROUND(F91,4)*100&amp;"%"</f>
        <v>RIR = 15.82%</v>
      </c>
      <c r="G87" s="41" t="str">
        <f>"IP = "&amp;ROUND(G91,2)</f>
        <v>IP = 1.2</v>
      </c>
      <c r="H87" s="41" t="str">
        <f>" R = "&amp;ROUND(H91,2)</f>
        <v xml:space="preserve"> R = 2.17</v>
      </c>
      <c r="I87" s="42" t="str">
        <f>" Pr = "&amp;ROUND(I91,2)&amp;" ani"</f>
        <v xml:space="preserve"> Pr = 3.16 ani</v>
      </c>
    </row>
    <row r="88" spans="1:9" ht="17.25" customHeight="1" x14ac:dyDescent="0.2">
      <c r="A88" s="29"/>
      <c r="B88" s="176" t="s">
        <v>72</v>
      </c>
      <c r="C88" s="176"/>
      <c r="D88" s="65"/>
      <c r="E88" s="65">
        <f>(1+$C87)*E$6</f>
        <v>222525</v>
      </c>
      <c r="F88" s="65">
        <f>(1+$C87)*F$6</f>
        <v>233100</v>
      </c>
      <c r="G88" s="65">
        <f>(1+$C87)*G$6</f>
        <v>243675</v>
      </c>
      <c r="H88" s="65">
        <f>(1+$C87)*H$6</f>
        <v>255375</v>
      </c>
      <c r="I88" s="66">
        <f>(1+$C87)*I$6</f>
        <v>267075</v>
      </c>
    </row>
    <row r="89" spans="1:9" ht="17.25" customHeight="1" x14ac:dyDescent="0.2">
      <c r="A89" s="67"/>
      <c r="B89" s="176" t="s">
        <v>69</v>
      </c>
      <c r="C89" s="176"/>
      <c r="D89" s="68"/>
      <c r="E89" s="69">
        <f>E$5-E88</f>
        <v>216063</v>
      </c>
      <c r="F89" s="69">
        <f>F$5-F88</f>
        <v>249346.80000000005</v>
      </c>
      <c r="G89" s="69">
        <f>G$5-G88</f>
        <v>287016.48</v>
      </c>
      <c r="H89" s="69">
        <f>H$5-H88</f>
        <v>328385.62800000003</v>
      </c>
      <c r="I89" s="70">
        <f>I$5-I88</f>
        <v>375061.6908000001</v>
      </c>
    </row>
    <row r="90" spans="1:9" ht="17.25" customHeight="1" x14ac:dyDescent="0.2">
      <c r="A90" s="67"/>
      <c r="B90" s="176" t="s">
        <v>70</v>
      </c>
      <c r="C90" s="176"/>
      <c r="D90" s="30">
        <f t="shared" ref="D90:I90" si="14">D$5-D$4+D$8-D88</f>
        <v>-919675</v>
      </c>
      <c r="E90" s="30">
        <f t="shared" si="14"/>
        <v>216063</v>
      </c>
      <c r="F90" s="30">
        <f t="shared" si="14"/>
        <v>249346.80000000005</v>
      </c>
      <c r="G90" s="30">
        <f t="shared" si="14"/>
        <v>287016.48</v>
      </c>
      <c r="H90" s="30">
        <f t="shared" si="14"/>
        <v>328385.62800000003</v>
      </c>
      <c r="I90" s="31">
        <f t="shared" si="14"/>
        <v>375061.6908000001</v>
      </c>
    </row>
    <row r="91" spans="1:9" ht="17.25" customHeight="1" x14ac:dyDescent="0.2">
      <c r="A91" s="67"/>
      <c r="B91" s="177" t="s">
        <v>65</v>
      </c>
      <c r="C91" s="178"/>
      <c r="D91" s="55">
        <f>D$11</f>
        <v>0.09</v>
      </c>
      <c r="E91" s="71">
        <f>NPV(D91,D90:I90)</f>
        <v>171053.72069894872</v>
      </c>
      <c r="F91" s="72">
        <f>IRR(D90:I90)</f>
        <v>0.15818040826309265</v>
      </c>
      <c r="G91" s="73">
        <f>SUMPRODUCT(E90:I90,E$12:I$12)/(D$4*D$12)</f>
        <v>1.2027330911048513</v>
      </c>
      <c r="H91" s="73">
        <f>(SUMPRODUCT(E$5:I$5,E$12:I$12)+I$8*I$12)/SUMPRODUCT(E88:I88,E$12:I$12)</f>
        <v>2.1729795105525831</v>
      </c>
      <c r="I91" s="74">
        <f>ROUND(D$4/AVERAGE(E89:I89),2)</f>
        <v>3.16</v>
      </c>
    </row>
    <row r="92" spans="1:9" ht="17.25" customHeight="1" x14ac:dyDescent="0.2">
      <c r="A92" s="29">
        <f>A87+1</f>
        <v>40</v>
      </c>
      <c r="B92" s="176" t="s">
        <v>66</v>
      </c>
      <c r="C92" s="176"/>
      <c r="D92" s="55">
        <f>(D91-D$11)/D$11</f>
        <v>0</v>
      </c>
      <c r="E92" s="55">
        <f>(E91-D$13)/D$13</f>
        <v>1.2829388804169459</v>
      </c>
      <c r="F92" s="55">
        <f>(F91-D$14)/D$14</f>
        <v>0.31400742225357975</v>
      </c>
      <c r="G92" s="55">
        <f>(G91-D$15)/D$15</f>
        <v>0.1046373648274626</v>
      </c>
      <c r="H92" s="55">
        <f>(H91-D$16)/D$16</f>
        <v>0.11111111111111116</v>
      </c>
      <c r="I92" s="56">
        <f>(I91-D$17)/D$17</f>
        <v>-9.1954022988505704E-2</v>
      </c>
    </row>
    <row r="93" spans="1:9" ht="17.25" customHeight="1" x14ac:dyDescent="0.2">
      <c r="A93" s="29">
        <f>A92+1</f>
        <v>41</v>
      </c>
      <c r="B93" s="19" t="str">
        <f>IF(C93&gt;=0,"Creşterea ","Diminuarea ")&amp; "plăţilor operaţionale cu"</f>
        <v>Diminuarea plăţilor operaţionale cu</v>
      </c>
      <c r="C93" s="57">
        <v>-0.05</v>
      </c>
      <c r="D93" s="58" t="str">
        <f>"a = "&amp;ROUND(D97,4)*100&amp;"%"</f>
        <v>a = 9%</v>
      </c>
      <c r="E93" s="20" t="str">
        <f>"VAN = "&amp;ROUND(E97,0)</f>
        <v>VAN = 122990</v>
      </c>
      <c r="F93" s="20" t="str">
        <f>"RIR = "&amp;ROUND(F97,4)*100&amp;"%"</f>
        <v>RIR = 13.94%</v>
      </c>
      <c r="G93" s="20" t="str">
        <f>"IP = "&amp;ROUND(G97,2)</f>
        <v>IP = 1.15</v>
      </c>
      <c r="H93" s="20" t="str">
        <f>" R = "&amp;ROUND(H97,2)</f>
        <v xml:space="preserve"> R = 2.06</v>
      </c>
      <c r="I93" s="59" t="str">
        <f>" Pr = "&amp;ROUND(I97,2)&amp;" ani"</f>
        <v xml:space="preserve"> Pr = 3.31 ani</v>
      </c>
    </row>
    <row r="94" spans="1:9" ht="17.25" customHeight="1" x14ac:dyDescent="0.2">
      <c r="A94" s="29"/>
      <c r="B94" s="176" t="s">
        <v>72</v>
      </c>
      <c r="C94" s="176"/>
      <c r="D94" s="65"/>
      <c r="E94" s="65">
        <f>(1+$C93)*E$6</f>
        <v>234887.5</v>
      </c>
      <c r="F94" s="65">
        <f>(1+$C93)*F$6</f>
        <v>246050</v>
      </c>
      <c r="G94" s="65">
        <f>(1+$C93)*G$6</f>
        <v>257212.5</v>
      </c>
      <c r="H94" s="65">
        <f>(1+$C93)*H$6</f>
        <v>269562.5</v>
      </c>
      <c r="I94" s="66">
        <f>(1+$C93)*I$6</f>
        <v>281912.5</v>
      </c>
    </row>
    <row r="95" spans="1:9" ht="17.25" customHeight="1" x14ac:dyDescent="0.2">
      <c r="A95" s="67"/>
      <c r="B95" s="176" t="s">
        <v>69</v>
      </c>
      <c r="C95" s="176"/>
      <c r="D95" s="68"/>
      <c r="E95" s="69">
        <f>E$5-E94</f>
        <v>203700.5</v>
      </c>
      <c r="F95" s="69">
        <f>F$5-F94</f>
        <v>236396.80000000005</v>
      </c>
      <c r="G95" s="69">
        <f>G$5-G94</f>
        <v>273478.98</v>
      </c>
      <c r="H95" s="69">
        <f>H$5-H94</f>
        <v>314198.12800000003</v>
      </c>
      <c r="I95" s="70">
        <f>I$5-I94</f>
        <v>360224.1908000001</v>
      </c>
    </row>
    <row r="96" spans="1:9" ht="17.25" customHeight="1" x14ac:dyDescent="0.2">
      <c r="A96" s="67"/>
      <c r="B96" s="176" t="s">
        <v>70</v>
      </c>
      <c r="C96" s="176"/>
      <c r="D96" s="30">
        <f t="shared" ref="D96:I96" si="15">D$5-D$4+D$8-D94</f>
        <v>-919675</v>
      </c>
      <c r="E96" s="30">
        <f t="shared" si="15"/>
        <v>203700.5</v>
      </c>
      <c r="F96" s="30">
        <f t="shared" si="15"/>
        <v>236396.80000000005</v>
      </c>
      <c r="G96" s="30">
        <f t="shared" si="15"/>
        <v>273478.98</v>
      </c>
      <c r="H96" s="30">
        <f t="shared" si="15"/>
        <v>314198.12800000003</v>
      </c>
      <c r="I96" s="31">
        <f t="shared" si="15"/>
        <v>360224.1908000001</v>
      </c>
    </row>
    <row r="97" spans="1:9" ht="17.25" customHeight="1" x14ac:dyDescent="0.2">
      <c r="A97" s="67"/>
      <c r="B97" s="177" t="s">
        <v>65</v>
      </c>
      <c r="C97" s="178"/>
      <c r="D97" s="55">
        <f>D$11</f>
        <v>0.09</v>
      </c>
      <c r="E97" s="71">
        <f>NPV(D97,D96:I96)</f>
        <v>122990.35141492692</v>
      </c>
      <c r="F97" s="72">
        <f>IRR(D96:I96)</f>
        <v>0.13943370475861094</v>
      </c>
      <c r="G97" s="73">
        <f>SUMPRODUCT(E96:I96,E$12:I$12)/(D$4*D$12)</f>
        <v>1.1457683236385356</v>
      </c>
      <c r="H97" s="73">
        <f>(SUMPRODUCT(E$5:I$5,E$12:I$12)+I$8*I$12)/SUMPRODUCT(E94:I94,E$12:I$12)</f>
        <v>2.0586121678919209</v>
      </c>
      <c r="I97" s="74">
        <f>ROUND(D$4/AVERAGE(E95:I95),2)</f>
        <v>3.31</v>
      </c>
    </row>
    <row r="98" spans="1:9" ht="17.25" customHeight="1" x14ac:dyDescent="0.2">
      <c r="A98" s="29">
        <f>A93+1</f>
        <v>42</v>
      </c>
      <c r="B98" s="176" t="s">
        <v>66</v>
      </c>
      <c r="C98" s="176"/>
      <c r="D98" s="55">
        <f>(D97-D$11)/D$11</f>
        <v>0</v>
      </c>
      <c r="E98" s="55">
        <f>(E97-D$13)/D$13</f>
        <v>0.64146944020847396</v>
      </c>
      <c r="F98" s="55">
        <f>(F97-D$14)/D$14</f>
        <v>0.15827822785989129</v>
      </c>
      <c r="G98" s="55">
        <f>(G97-D$15)/D$15</f>
        <v>5.2318682413731298E-2</v>
      </c>
      <c r="H98" s="55">
        <f>(H97-D$16)/D$16</f>
        <v>5.2631578947368515E-2</v>
      </c>
      <c r="I98" s="56">
        <f>(I97-D$17)/D$17</f>
        <v>-4.885057471264366E-2</v>
      </c>
    </row>
    <row r="99" spans="1:9" ht="17.25" customHeight="1" x14ac:dyDescent="0.2">
      <c r="A99" s="29">
        <f>A98+1</f>
        <v>43</v>
      </c>
      <c r="B99" s="19" t="str">
        <f>IF(C99&gt;=0,"Creşterea ","Diminuarea ")&amp; "plăţilor operaţionale cu"</f>
        <v>Diminuarea plăţilor operaţionale cu</v>
      </c>
      <c r="C99" s="57">
        <v>-0.01</v>
      </c>
      <c r="D99" s="58" t="str">
        <f>"a = "&amp;ROUND(D103,4)*100&amp;"%"</f>
        <v>a = 9%</v>
      </c>
      <c r="E99" s="20" t="str">
        <f>"VAN = "&amp;ROUND(E103,0)</f>
        <v>VAN = 84540</v>
      </c>
      <c r="F99" s="20" t="str">
        <f>"RIR = "&amp;ROUND(F103,4)*100&amp;"%"</f>
        <v>RIR = 12.42%</v>
      </c>
      <c r="G99" s="20" t="str">
        <f>"IP = "&amp;ROUND(G103,2)</f>
        <v>IP = 1.1</v>
      </c>
      <c r="H99" s="20" t="str">
        <f>" R = "&amp;ROUND(H103,2)</f>
        <v xml:space="preserve"> R = 1.98</v>
      </c>
      <c r="I99" s="59" t="str">
        <f>" Pr = "&amp;ROUND(I103,2)&amp;" ani"</f>
        <v xml:space="preserve"> Pr = 3.45 ani</v>
      </c>
    </row>
    <row r="100" spans="1:9" ht="17.25" customHeight="1" x14ac:dyDescent="0.2">
      <c r="A100" s="29"/>
      <c r="B100" s="176" t="s">
        <v>72</v>
      </c>
      <c r="C100" s="176"/>
      <c r="D100" s="65"/>
      <c r="E100" s="65">
        <f>(1+$C99)*E$6</f>
        <v>244777.5</v>
      </c>
      <c r="F100" s="65">
        <f>(1+$C99)*F$6</f>
        <v>256410</v>
      </c>
      <c r="G100" s="65">
        <f>(1+$C99)*G$6</f>
        <v>268042.5</v>
      </c>
      <c r="H100" s="65">
        <f>(1+$C99)*H$6</f>
        <v>280912.5</v>
      </c>
      <c r="I100" s="66">
        <f>(1+$C99)*I$6</f>
        <v>293782.5</v>
      </c>
    </row>
    <row r="101" spans="1:9" ht="17.25" customHeight="1" x14ac:dyDescent="0.2">
      <c r="A101" s="67"/>
      <c r="B101" s="176" t="s">
        <v>69</v>
      </c>
      <c r="C101" s="176"/>
      <c r="D101" s="68"/>
      <c r="E101" s="69">
        <f>E$5-E100</f>
        <v>193810.5</v>
      </c>
      <c r="F101" s="69">
        <f>F$5-F100</f>
        <v>226036.80000000005</v>
      </c>
      <c r="G101" s="69">
        <f>G$5-G100</f>
        <v>262648.98</v>
      </c>
      <c r="H101" s="69">
        <f>H$5-H100</f>
        <v>302848.12800000003</v>
      </c>
      <c r="I101" s="70">
        <f>I$5-I100</f>
        <v>348354.1908000001</v>
      </c>
    </row>
    <row r="102" spans="1:9" ht="17.25" customHeight="1" x14ac:dyDescent="0.2">
      <c r="A102" s="67"/>
      <c r="B102" s="176" t="s">
        <v>70</v>
      </c>
      <c r="C102" s="176"/>
      <c r="D102" s="30">
        <f t="shared" ref="D102:I102" si="16">D$5-D$4+D$8-D100</f>
        <v>-919675</v>
      </c>
      <c r="E102" s="30">
        <f t="shared" si="16"/>
        <v>193810.5</v>
      </c>
      <c r="F102" s="30">
        <f t="shared" si="16"/>
        <v>226036.80000000005</v>
      </c>
      <c r="G102" s="30">
        <f t="shared" si="16"/>
        <v>262648.98</v>
      </c>
      <c r="H102" s="30">
        <f t="shared" si="16"/>
        <v>302848.12800000003</v>
      </c>
      <c r="I102" s="31">
        <f t="shared" si="16"/>
        <v>348354.1908000001</v>
      </c>
    </row>
    <row r="103" spans="1:9" ht="17.25" customHeight="1" x14ac:dyDescent="0.2">
      <c r="A103" s="67"/>
      <c r="B103" s="177" t="s">
        <v>65</v>
      </c>
      <c r="C103" s="178"/>
      <c r="D103" s="55">
        <f>D$11</f>
        <v>0.09</v>
      </c>
      <c r="E103" s="71">
        <f>NPV(D103,D102:I102)</f>
        <v>84539.655987709441</v>
      </c>
      <c r="F103" s="72">
        <f>IRR(D102:I102)</f>
        <v>0.1242166574105048</v>
      </c>
      <c r="G103" s="73">
        <f>SUMPRODUCT(E102:I102,E$12:I$12)/(D$4*D$12)</f>
        <v>1.1001965096654831</v>
      </c>
      <c r="H103" s="73">
        <f>(SUMPRODUCT(E$5:I$5,E$12:I$12)+I$8*I$12)/SUMPRODUCT(E100:I100,E$12:I$12)</f>
        <v>1.9754359186841666</v>
      </c>
      <c r="I103" s="74">
        <f>ROUND(D$4/AVERAGE(E101:I101),2)</f>
        <v>3.45</v>
      </c>
    </row>
    <row r="104" spans="1:9" ht="17.25" customHeight="1" x14ac:dyDescent="0.2">
      <c r="A104" s="29">
        <f>A99+1</f>
        <v>44</v>
      </c>
      <c r="B104" s="176" t="s">
        <v>66</v>
      </c>
      <c r="C104" s="176"/>
      <c r="D104" s="55">
        <f>(D103-D$11)/D$11</f>
        <v>0</v>
      </c>
      <c r="E104" s="55">
        <f>(E103-D$13)/D$13</f>
        <v>0.12829388804169584</v>
      </c>
      <c r="F104" s="55">
        <f>(F103-D$14)/D$14</f>
        <v>3.1869948985439739E-2</v>
      </c>
      <c r="G104" s="55">
        <f>(G103-D$15)/D$15</f>
        <v>1.0463736482746219E-2</v>
      </c>
      <c r="H104" s="55">
        <f>(H103-D$16)/D$16</f>
        <v>1.0101010101010209E-2</v>
      </c>
      <c r="I104" s="56">
        <f>(I103-D$17)/D$17</f>
        <v>-8.6206896551723582E-3</v>
      </c>
    </row>
    <row r="105" spans="1:9" ht="17.25" customHeight="1" x14ac:dyDescent="0.2">
      <c r="A105" s="29">
        <f>A104+1</f>
        <v>45</v>
      </c>
      <c r="B105" s="19" t="str">
        <f>IF(C105&gt;=0,"Creşterea ","Diminuarea ")&amp; "plăţilor operaţionale cu"</f>
        <v>Creşterea plăţilor operaţionale cu</v>
      </c>
      <c r="C105" s="57">
        <v>0.01</v>
      </c>
      <c r="D105" s="58" t="str">
        <f>"a = "&amp;ROUND(D109,4)*100&amp;"%"</f>
        <v>a = 9%</v>
      </c>
      <c r="E105" s="20" t="str">
        <f>"VAN = "&amp;ROUND(E109,0)</f>
        <v>VAN = 65314</v>
      </c>
      <c r="F105" s="20" t="str">
        <f>"RIR = "&amp;ROUND(F109,4)*100&amp;"%"</f>
        <v>RIR = 11.65%</v>
      </c>
      <c r="G105" s="20" t="str">
        <f>"IP = "&amp;ROUND(G109,2)</f>
        <v>IP = 1.08</v>
      </c>
      <c r="H105" s="20" t="str">
        <f>" R = "&amp;ROUND(H109,2)</f>
        <v xml:space="preserve"> R = 1.94</v>
      </c>
      <c r="I105" s="59" t="str">
        <f>" Pr = "&amp;ROUND(I109,2)&amp;" ani"</f>
        <v xml:space="preserve"> Pr = 3.52 ani</v>
      </c>
    </row>
    <row r="106" spans="1:9" ht="17.25" customHeight="1" x14ac:dyDescent="0.2">
      <c r="A106" s="29"/>
      <c r="B106" s="176" t="s">
        <v>72</v>
      </c>
      <c r="C106" s="176"/>
      <c r="D106" s="65"/>
      <c r="E106" s="65">
        <f>(1+$C105)*E$6</f>
        <v>249722.5</v>
      </c>
      <c r="F106" s="65">
        <f>(1+$C105)*F$6</f>
        <v>261590</v>
      </c>
      <c r="G106" s="65">
        <f>(1+$C105)*G$6</f>
        <v>273457.5</v>
      </c>
      <c r="H106" s="65">
        <f>(1+$C105)*H$6</f>
        <v>286587.5</v>
      </c>
      <c r="I106" s="66">
        <f>(1+$C105)*I$6</f>
        <v>299717.5</v>
      </c>
    </row>
    <row r="107" spans="1:9" ht="17.25" customHeight="1" x14ac:dyDescent="0.2">
      <c r="A107" s="67"/>
      <c r="B107" s="176" t="s">
        <v>69</v>
      </c>
      <c r="C107" s="176"/>
      <c r="D107" s="68"/>
      <c r="E107" s="69">
        <f>E$5-E106</f>
        <v>188865.5</v>
      </c>
      <c r="F107" s="69">
        <f>F$5-F106</f>
        <v>220856.80000000005</v>
      </c>
      <c r="G107" s="69">
        <f>G$5-G106</f>
        <v>257233.97999999998</v>
      </c>
      <c r="H107" s="69">
        <f>H$5-H106</f>
        <v>297173.12800000003</v>
      </c>
      <c r="I107" s="70">
        <f>I$5-I106</f>
        <v>342419.1908000001</v>
      </c>
    </row>
    <row r="108" spans="1:9" ht="17.25" customHeight="1" x14ac:dyDescent="0.2">
      <c r="A108" s="67"/>
      <c r="B108" s="176" t="s">
        <v>70</v>
      </c>
      <c r="C108" s="176"/>
      <c r="D108" s="30">
        <f t="shared" ref="D108:I108" si="17">D$5-D$4+D$8-D106</f>
        <v>-919675</v>
      </c>
      <c r="E108" s="30">
        <f t="shared" si="17"/>
        <v>188865.5</v>
      </c>
      <c r="F108" s="30">
        <f t="shared" si="17"/>
        <v>220856.80000000005</v>
      </c>
      <c r="G108" s="30">
        <f t="shared" si="17"/>
        <v>257233.97999999998</v>
      </c>
      <c r="H108" s="30">
        <f t="shared" si="17"/>
        <v>297173.12800000003</v>
      </c>
      <c r="I108" s="31">
        <f t="shared" si="17"/>
        <v>342419.1908000001</v>
      </c>
    </row>
    <row r="109" spans="1:9" ht="17.25" customHeight="1" x14ac:dyDescent="0.2">
      <c r="A109" s="67"/>
      <c r="B109" s="177" t="s">
        <v>65</v>
      </c>
      <c r="C109" s="178"/>
      <c r="D109" s="55">
        <f>D$11</f>
        <v>0.09</v>
      </c>
      <c r="E109" s="71">
        <f>NPV(D109,D108:I108)</f>
        <v>65314.308274100658</v>
      </c>
      <c r="F109" s="72">
        <f>IRR(D108:I108)</f>
        <v>0.11653029514122171</v>
      </c>
      <c r="G109" s="73">
        <f>SUMPRODUCT(E108:I108,E$12:I$12)/(D$4*D$12)</f>
        <v>1.0774106026789569</v>
      </c>
      <c r="H109" s="73">
        <f>(SUMPRODUCT(E$5:I$5,E$12:I$12)+I$8*I$12)/SUMPRODUCT(E106:I106,E$12:I$12)</f>
        <v>1.9363183757399254</v>
      </c>
      <c r="I109" s="74">
        <f>ROUND(D$4/AVERAGE(E107:I107),2)</f>
        <v>3.52</v>
      </c>
    </row>
    <row r="110" spans="1:9" ht="17.25" customHeight="1" x14ac:dyDescent="0.2">
      <c r="A110" s="60">
        <f>A105+1</f>
        <v>46</v>
      </c>
      <c r="B110" s="180" t="s">
        <v>66</v>
      </c>
      <c r="C110" s="180"/>
      <c r="D110" s="61">
        <f>(D109-D$11)/D$11</f>
        <v>0</v>
      </c>
      <c r="E110" s="61">
        <f>(E109-D$13)/D$13</f>
        <v>-0.12829388804169381</v>
      </c>
      <c r="F110" s="61">
        <f>(F109-D$14)/D$14</f>
        <v>-3.198079702584377E-2</v>
      </c>
      <c r="G110" s="61">
        <f>(G109-D$15)/D$15</f>
        <v>-1.0463736482746219E-2</v>
      </c>
      <c r="H110" s="61">
        <f>(H109-D$16)/D$16</f>
        <v>-9.9009900990099323E-3</v>
      </c>
      <c r="I110" s="62">
        <f>(I109-D$17)/D$17</f>
        <v>1.1494252873563229E-2</v>
      </c>
    </row>
    <row r="111" spans="1:9" ht="17.25" customHeight="1" x14ac:dyDescent="0.2">
      <c r="A111" s="29">
        <f>A110+1</f>
        <v>47</v>
      </c>
      <c r="B111" s="19" t="str">
        <f>IF(C111&gt;=0,"Creşterea ","Diminuarea ")&amp; "plăţilor operaţionale cu"</f>
        <v>Creşterea plăţilor operaţionale cu</v>
      </c>
      <c r="C111" s="57">
        <v>0.05</v>
      </c>
      <c r="D111" s="58" t="str">
        <f>"a = "&amp;ROUND(D115,4)*100&amp;"%"</f>
        <v>a = 9%</v>
      </c>
      <c r="E111" s="20" t="str">
        <f>"VAN = "&amp;ROUND(E115,0)</f>
        <v>VAN = 26864</v>
      </c>
      <c r="F111" s="20" t="str">
        <f>"RIR = "&amp;ROUND(F115,4)*100&amp;"%"</f>
        <v>RIR = 10.1%</v>
      </c>
      <c r="G111" s="20" t="str">
        <f>"IP = "&amp;ROUND(G115,2)</f>
        <v>IP = 1.03</v>
      </c>
      <c r="H111" s="20" t="str">
        <f>" R = "&amp;ROUND(H115,2)</f>
        <v xml:space="preserve"> R = 1.86</v>
      </c>
      <c r="I111" s="59" t="str">
        <f>" Pr = "&amp;ROUND(I115,2)&amp;" ani"</f>
        <v xml:space="preserve"> Pr = 3.67 ani</v>
      </c>
    </row>
    <row r="112" spans="1:9" ht="17.25" customHeight="1" x14ac:dyDescent="0.2">
      <c r="A112" s="29"/>
      <c r="B112" s="176" t="s">
        <v>72</v>
      </c>
      <c r="C112" s="176"/>
      <c r="D112" s="65"/>
      <c r="E112" s="65">
        <f>(1+$C111)*E$6</f>
        <v>259612.5</v>
      </c>
      <c r="F112" s="65">
        <f>(1+$C111)*F$6</f>
        <v>271950</v>
      </c>
      <c r="G112" s="65">
        <f>(1+$C111)*G$6</f>
        <v>284287.5</v>
      </c>
      <c r="H112" s="65">
        <f>(1+$C111)*H$6</f>
        <v>297937.5</v>
      </c>
      <c r="I112" s="66">
        <f>(1+$C111)*I$6</f>
        <v>311587.5</v>
      </c>
    </row>
    <row r="113" spans="1:9" ht="17.25" customHeight="1" x14ac:dyDescent="0.2">
      <c r="A113" s="67"/>
      <c r="B113" s="176" t="s">
        <v>69</v>
      </c>
      <c r="C113" s="176"/>
      <c r="D113" s="68"/>
      <c r="E113" s="69">
        <f>E$5-E112</f>
        <v>178975.5</v>
      </c>
      <c r="F113" s="69">
        <f>F$5-F112</f>
        <v>210496.80000000005</v>
      </c>
      <c r="G113" s="69">
        <f>G$5-G112</f>
        <v>246403.97999999998</v>
      </c>
      <c r="H113" s="69">
        <f>H$5-H112</f>
        <v>285823.12800000003</v>
      </c>
      <c r="I113" s="70">
        <f>I$5-I112</f>
        <v>330549.1908000001</v>
      </c>
    </row>
    <row r="114" spans="1:9" ht="17.25" customHeight="1" x14ac:dyDescent="0.2">
      <c r="A114" s="67"/>
      <c r="B114" s="176" t="s">
        <v>70</v>
      </c>
      <c r="C114" s="176"/>
      <c r="D114" s="30">
        <f t="shared" ref="D114:I114" si="18">D$5-D$4+D$8-D112</f>
        <v>-919675</v>
      </c>
      <c r="E114" s="30">
        <f t="shared" si="18"/>
        <v>178975.5</v>
      </c>
      <c r="F114" s="30">
        <f t="shared" si="18"/>
        <v>210496.80000000005</v>
      </c>
      <c r="G114" s="30">
        <f t="shared" si="18"/>
        <v>246403.97999999998</v>
      </c>
      <c r="H114" s="30">
        <f t="shared" si="18"/>
        <v>285823.12800000003</v>
      </c>
      <c r="I114" s="31">
        <f t="shared" si="18"/>
        <v>330549.1908000001</v>
      </c>
    </row>
    <row r="115" spans="1:9" ht="17.25" customHeight="1" x14ac:dyDescent="0.2">
      <c r="A115" s="67"/>
      <c r="B115" s="177" t="s">
        <v>65</v>
      </c>
      <c r="C115" s="178"/>
      <c r="D115" s="55">
        <f>D$11</f>
        <v>0.09</v>
      </c>
      <c r="E115" s="71">
        <f>NPV(D115,D114:I114)</f>
        <v>26863.612846883174</v>
      </c>
      <c r="F115" s="72">
        <f>IRR(D114:I114)</f>
        <v>0.10099270904651614</v>
      </c>
      <c r="G115" s="73">
        <f>SUMPRODUCT(E114:I114,E$12:I$12)/(D$4*D$12)</f>
        <v>1.0318387887059044</v>
      </c>
      <c r="H115" s="73">
        <f>(SUMPRODUCT(E$5:I$5,E$12:I$12)+I$8*I$12)/SUMPRODUCT(E112:I112,E$12:I$12)</f>
        <v>1.8625538661879286</v>
      </c>
      <c r="I115" s="74">
        <f>ROUND(D$4/AVERAGE(E113:I113),2)</f>
        <v>3.67</v>
      </c>
    </row>
    <row r="116" spans="1:9" ht="17.25" customHeight="1" x14ac:dyDescent="0.2">
      <c r="A116" s="29">
        <f>A111+1</f>
        <v>48</v>
      </c>
      <c r="B116" s="176" t="s">
        <v>66</v>
      </c>
      <c r="C116" s="176"/>
      <c r="D116" s="55">
        <f>(D115-D$11)/D$11</f>
        <v>0</v>
      </c>
      <c r="E116" s="55">
        <f>(E115-D$13)/D$13</f>
        <v>-0.64146944020847207</v>
      </c>
      <c r="F116" s="55">
        <f>(F115-D$14)/D$14</f>
        <v>-0.16105179688310484</v>
      </c>
      <c r="G116" s="55">
        <f>(G115-D$15)/D$15</f>
        <v>-5.2318682413731298E-2</v>
      </c>
      <c r="H116" s="55">
        <f>(H115-D$16)/D$16</f>
        <v>-4.7619047619047443E-2</v>
      </c>
      <c r="I116" s="56">
        <f>(I115-D$17)/D$17</f>
        <v>5.4597701149425269E-2</v>
      </c>
    </row>
    <row r="117" spans="1:9" ht="17.25" customHeight="1" x14ac:dyDescent="0.2">
      <c r="A117" s="29">
        <f>A116+1</f>
        <v>49</v>
      </c>
      <c r="B117" s="19" t="str">
        <f>IF(C117&gt;=0,"Creşterea ","Diminuarea ")&amp; "plăţilor operaţionale cu"</f>
        <v>Creşterea plăţilor operaţionale cu</v>
      </c>
      <c r="C117" s="57">
        <v>0.1</v>
      </c>
      <c r="D117" s="58" t="str">
        <f>"a = "&amp;ROUND(D121,4)*100&amp;"%"</f>
        <v>a = 9%</v>
      </c>
      <c r="E117" s="20" t="str">
        <f>"VAN = "&amp;ROUND(E121,0)</f>
        <v>VAN = -21200</v>
      </c>
      <c r="F117" s="20" t="str">
        <f>"RIR = "&amp;ROUND(F121,4)*100&amp;"%"</f>
        <v>RIR = 8.12%</v>
      </c>
      <c r="G117" s="20" t="str">
        <f>"IP = "&amp;ROUND(G121,2)</f>
        <v>IP = 0.97</v>
      </c>
      <c r="H117" s="20" t="str">
        <f>" R = "&amp;ROUND(H121,2)</f>
        <v xml:space="preserve"> R = 1.78</v>
      </c>
      <c r="I117" s="59" t="str">
        <f>" Pr = "&amp;ROUND(I121,2)&amp;" ani"</f>
        <v xml:space="preserve"> Pr = 3.88 ani</v>
      </c>
    </row>
    <row r="118" spans="1:9" ht="17.25" customHeight="1" x14ac:dyDescent="0.2">
      <c r="A118" s="29"/>
      <c r="B118" s="176" t="s">
        <v>72</v>
      </c>
      <c r="C118" s="176"/>
      <c r="D118" s="65"/>
      <c r="E118" s="65">
        <f>(1+$C117)*E$6</f>
        <v>271975</v>
      </c>
      <c r="F118" s="65">
        <f>(1+$C117)*F$6</f>
        <v>284900</v>
      </c>
      <c r="G118" s="65">
        <f>(1+$C117)*G$6</f>
        <v>297825</v>
      </c>
      <c r="H118" s="65">
        <f>(1+$C117)*H$6</f>
        <v>312125</v>
      </c>
      <c r="I118" s="66">
        <f>(1+$C117)*I$6</f>
        <v>326425</v>
      </c>
    </row>
    <row r="119" spans="1:9" ht="17.25" customHeight="1" x14ac:dyDescent="0.2">
      <c r="A119" s="67"/>
      <c r="B119" s="176" t="s">
        <v>69</v>
      </c>
      <c r="C119" s="176"/>
      <c r="D119" s="68"/>
      <c r="E119" s="69">
        <f>E$5-E118</f>
        <v>166613</v>
      </c>
      <c r="F119" s="69">
        <f>F$5-F118</f>
        <v>197546.80000000005</v>
      </c>
      <c r="G119" s="69">
        <f>G$5-G118</f>
        <v>232866.47999999998</v>
      </c>
      <c r="H119" s="69">
        <f>H$5-H118</f>
        <v>271635.62800000003</v>
      </c>
      <c r="I119" s="70">
        <f>I$5-I118</f>
        <v>315711.6908000001</v>
      </c>
    </row>
    <row r="120" spans="1:9" ht="17.25" customHeight="1" x14ac:dyDescent="0.2">
      <c r="A120" s="67"/>
      <c r="B120" s="176" t="s">
        <v>70</v>
      </c>
      <c r="C120" s="176"/>
      <c r="D120" s="30">
        <f t="shared" ref="D120:I120" si="19">D$5-D$4+D$8-D118</f>
        <v>-919675</v>
      </c>
      <c r="E120" s="30">
        <f t="shared" si="19"/>
        <v>166613</v>
      </c>
      <c r="F120" s="30">
        <f t="shared" si="19"/>
        <v>197546.80000000005</v>
      </c>
      <c r="G120" s="30">
        <f t="shared" si="19"/>
        <v>232866.47999999998</v>
      </c>
      <c r="H120" s="30">
        <f t="shared" si="19"/>
        <v>271635.62800000003</v>
      </c>
      <c r="I120" s="31">
        <f t="shared" si="19"/>
        <v>315711.6908000001</v>
      </c>
    </row>
    <row r="121" spans="1:9" ht="17.25" customHeight="1" x14ac:dyDescent="0.2">
      <c r="A121" s="67"/>
      <c r="B121" s="177" t="s">
        <v>65</v>
      </c>
      <c r="C121" s="178"/>
      <c r="D121" s="55">
        <f>D$11</f>
        <v>0.09</v>
      </c>
      <c r="E121" s="71">
        <f>NPV(D121,D120:I120)</f>
        <v>-21199.756437138742</v>
      </c>
      <c r="F121" s="72">
        <f>IRR(D120:I120)</f>
        <v>8.124077764534432E-2</v>
      </c>
      <c r="G121" s="73">
        <f>SUMPRODUCT(E120:I120,E$12:I$12)/(D$4*D$12)</f>
        <v>0.97487402123958855</v>
      </c>
      <c r="H121" s="73">
        <f>(SUMPRODUCT(E$5:I$5,E$12:I$12)+I$8*I$12)/SUMPRODUCT(E118:I118,E$12:I$12)</f>
        <v>1.77789232681575</v>
      </c>
      <c r="I121" s="74">
        <f>ROUND(D$4/AVERAGE(E119:I119),2)</f>
        <v>3.88</v>
      </c>
    </row>
    <row r="122" spans="1:9" ht="17.25" customHeight="1" thickBot="1" x14ac:dyDescent="0.25">
      <c r="A122" s="34">
        <f>A117+1</f>
        <v>50</v>
      </c>
      <c r="B122" s="179" t="s">
        <v>66</v>
      </c>
      <c r="C122" s="179"/>
      <c r="D122" s="63">
        <f>(D121-D$11)/D$11</f>
        <v>0</v>
      </c>
      <c r="E122" s="63">
        <f>(E121-D$13)/D$13</f>
        <v>-1.2829388804169457</v>
      </c>
      <c r="F122" s="63">
        <f>(F121-D$14)/D$14</f>
        <v>-0.32513143702295816</v>
      </c>
      <c r="G122" s="63">
        <f>(G121-D$15)/D$15</f>
        <v>-0.1046373648274628</v>
      </c>
      <c r="H122" s="63">
        <f>(H121-D$16)/D$16</f>
        <v>-9.0909090909090745E-2</v>
      </c>
      <c r="I122" s="64">
        <f>(I121-D$17)/D$17</f>
        <v>0.11494252873563215</v>
      </c>
    </row>
    <row r="123" spans="1:9" ht="17.25" customHeight="1" x14ac:dyDescent="0.2">
      <c r="A123" s="75"/>
      <c r="B123" s="76"/>
      <c r="C123" s="76"/>
      <c r="D123" s="50"/>
      <c r="E123" s="50"/>
      <c r="F123" s="50"/>
      <c r="G123" s="50"/>
      <c r="H123" s="50"/>
      <c r="I123" s="50"/>
    </row>
    <row r="124" spans="1:9" ht="17.25" customHeight="1" x14ac:dyDescent="0.2">
      <c r="A124" s="75"/>
      <c r="B124" s="76"/>
      <c r="C124" s="76"/>
      <c r="D124" s="50"/>
      <c r="E124" s="77"/>
      <c r="F124" s="50"/>
      <c r="G124" s="50"/>
      <c r="H124" s="50"/>
      <c r="I124" s="50"/>
    </row>
    <row r="125" spans="1:9" ht="17.25" customHeight="1" x14ac:dyDescent="0.2">
      <c r="A125" s="75"/>
      <c r="B125" s="76"/>
      <c r="C125" s="76"/>
      <c r="D125" s="50"/>
      <c r="E125" s="77"/>
      <c r="F125" s="50"/>
      <c r="G125" s="50"/>
      <c r="H125" s="50"/>
      <c r="I125" s="50"/>
    </row>
    <row r="126" spans="1:9" ht="17.25" customHeight="1" x14ac:dyDescent="0.2">
      <c r="A126" s="75"/>
      <c r="B126" s="76"/>
      <c r="C126" s="76"/>
      <c r="D126" s="50"/>
      <c r="E126" s="78"/>
      <c r="F126" s="50"/>
      <c r="G126" s="50"/>
      <c r="H126" s="50"/>
      <c r="I126" s="50"/>
    </row>
  </sheetData>
  <mergeCells count="102">
    <mergeCell ref="A1:I1"/>
    <mergeCell ref="B3:C3"/>
    <mergeCell ref="B4:C4"/>
    <mergeCell ref="B5:C5"/>
    <mergeCell ref="B6:C6"/>
    <mergeCell ref="B7:C7"/>
    <mergeCell ref="D13:I13"/>
    <mergeCell ref="B14:C14"/>
    <mergeCell ref="D14:I14"/>
    <mergeCell ref="B15:C15"/>
    <mergeCell ref="D15:I15"/>
    <mergeCell ref="B16:C16"/>
    <mergeCell ref="D16:I16"/>
    <mergeCell ref="B8:C8"/>
    <mergeCell ref="B9:C9"/>
    <mergeCell ref="B10:C10"/>
    <mergeCell ref="B11:C11"/>
    <mergeCell ref="B12:C12"/>
    <mergeCell ref="B13:C13"/>
    <mergeCell ref="B25:C25"/>
    <mergeCell ref="B26:C26"/>
    <mergeCell ref="B28:C28"/>
    <mergeCell ref="B30:C30"/>
    <mergeCell ref="B31:C31"/>
    <mergeCell ref="B33:C33"/>
    <mergeCell ref="B17:C17"/>
    <mergeCell ref="D17:I17"/>
    <mergeCell ref="A18:I18"/>
    <mergeCell ref="B20:C20"/>
    <mergeCell ref="B21:C21"/>
    <mergeCell ref="B23:C23"/>
    <mergeCell ref="B45:C45"/>
    <mergeCell ref="B46:C46"/>
    <mergeCell ref="B48:C48"/>
    <mergeCell ref="A49:I49"/>
    <mergeCell ref="B51:C51"/>
    <mergeCell ref="B52:C52"/>
    <mergeCell ref="B35:C35"/>
    <mergeCell ref="B36:C36"/>
    <mergeCell ref="B38:C38"/>
    <mergeCell ref="B40:C40"/>
    <mergeCell ref="B41:C41"/>
    <mergeCell ref="B43:C43"/>
    <mergeCell ref="B60:C60"/>
    <mergeCell ref="B61:C61"/>
    <mergeCell ref="B63:C63"/>
    <mergeCell ref="B64:C64"/>
    <mergeCell ref="B65:C65"/>
    <mergeCell ref="B66:C66"/>
    <mergeCell ref="B53:C53"/>
    <mergeCell ref="B54:C54"/>
    <mergeCell ref="B55:C55"/>
    <mergeCell ref="B57:C57"/>
    <mergeCell ref="B58:C58"/>
    <mergeCell ref="B59:C59"/>
    <mergeCell ref="B75:C75"/>
    <mergeCell ref="B76:C76"/>
    <mergeCell ref="B77:C77"/>
    <mergeCell ref="B78:C78"/>
    <mergeCell ref="B79:C79"/>
    <mergeCell ref="B81:C81"/>
    <mergeCell ref="B67:C67"/>
    <mergeCell ref="B69:C69"/>
    <mergeCell ref="B70:C70"/>
    <mergeCell ref="B71:C71"/>
    <mergeCell ref="B72:C72"/>
    <mergeCell ref="B73:C73"/>
    <mergeCell ref="B89:C89"/>
    <mergeCell ref="B90:C90"/>
    <mergeCell ref="B91:C91"/>
    <mergeCell ref="B92:C92"/>
    <mergeCell ref="B94:C94"/>
    <mergeCell ref="B95:C95"/>
    <mergeCell ref="B82:C82"/>
    <mergeCell ref="B83:C83"/>
    <mergeCell ref="B84:C84"/>
    <mergeCell ref="B85:C85"/>
    <mergeCell ref="A86:I86"/>
    <mergeCell ref="B88:C88"/>
    <mergeCell ref="B103:C103"/>
    <mergeCell ref="B104:C104"/>
    <mergeCell ref="B106:C106"/>
    <mergeCell ref="B107:C107"/>
    <mergeCell ref="B108:C108"/>
    <mergeCell ref="B109:C109"/>
    <mergeCell ref="B96:C96"/>
    <mergeCell ref="B97:C97"/>
    <mergeCell ref="B98:C98"/>
    <mergeCell ref="B100:C100"/>
    <mergeCell ref="B101:C101"/>
    <mergeCell ref="B102:C102"/>
    <mergeCell ref="B118:C118"/>
    <mergeCell ref="B119:C119"/>
    <mergeCell ref="B120:C120"/>
    <mergeCell ref="B121:C121"/>
    <mergeCell ref="B122:C122"/>
    <mergeCell ref="B110:C110"/>
    <mergeCell ref="B112:C112"/>
    <mergeCell ref="B113:C113"/>
    <mergeCell ref="B114:C114"/>
    <mergeCell ref="B115:C115"/>
    <mergeCell ref="B116:C1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Cloudifier</vt:lpstr>
      <vt:lpstr>Senzitivitate Cloudifier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ANDREI_D</dc:creator>
  <cp:lastModifiedBy>Ionut Damian</cp:lastModifiedBy>
  <dcterms:created xsi:type="dcterms:W3CDTF">2015-06-16T05:40:09Z</dcterms:created>
  <dcterms:modified xsi:type="dcterms:W3CDTF">2015-11-11T17:05:38Z</dcterms:modified>
</cp:coreProperties>
</file>