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lash_000\Dropbox\DIVERSE_SHARE\PROIECTE\POC 1 STARTUP 2015\03. Cloudifier\CONTRACTARE\Revizie CF_201606\"/>
    </mc:Choice>
  </mc:AlternateContent>
  <bookViews>
    <workbookView xWindow="0" yWindow="0" windowWidth="20475" windowHeight="15360" activeTab="1"/>
  </bookViews>
  <sheets>
    <sheet name="Echipamente" sheetId="2" r:id="rId1"/>
    <sheet name="Buget Structura Noua" sheetId="3" r:id="rId2"/>
    <sheet name="Echipamente_pe structura noua" sheetId="4" r:id="rId3"/>
  </sheets>
  <definedNames>
    <definedName name="bookmark29" localSheetId="1">'Buget Structura Noua'!#REF!</definedName>
    <definedName name="_xlnm.Print_Area" localSheetId="1">'Buget Structura Noua'!$B$2:$H$42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3" l="1"/>
  <c r="E32" i="3"/>
  <c r="J39" i="3"/>
  <c r="J38" i="3"/>
  <c r="J29" i="3"/>
  <c r="J25" i="3"/>
  <c r="J22" i="3"/>
  <c r="J16" i="3"/>
  <c r="J12" i="3"/>
  <c r="J7" i="3"/>
  <c r="K20" i="3"/>
  <c r="Q4" i="3"/>
  <c r="Q6" i="3"/>
  <c r="E11" i="3"/>
  <c r="E17" i="3"/>
  <c r="E28" i="3"/>
  <c r="E9" i="3"/>
  <c r="E31" i="3"/>
  <c r="L35" i="3"/>
  <c r="E34" i="3"/>
  <c r="Q5" i="3"/>
  <c r="L21" i="3"/>
  <c r="L20" i="3"/>
  <c r="L17" i="3"/>
  <c r="L16" i="3"/>
  <c r="D16" i="3"/>
  <c r="I16" i="3"/>
  <c r="D29" i="3"/>
  <c r="I29" i="3"/>
  <c r="D25" i="3"/>
  <c r="I25" i="3"/>
  <c r="D22" i="3"/>
  <c r="I22" i="3"/>
  <c r="D12" i="3"/>
  <c r="I12" i="3"/>
  <c r="D7" i="3"/>
  <c r="I7" i="3"/>
  <c r="E23" i="4"/>
  <c r="E22" i="4"/>
  <c r="E21" i="4"/>
  <c r="E20" i="4"/>
  <c r="E19" i="4"/>
  <c r="P3" i="3"/>
  <c r="P4" i="3"/>
  <c r="P5" i="3"/>
  <c r="P6" i="3"/>
  <c r="E6" i="3"/>
  <c r="Q3" i="3"/>
  <c r="E18" i="4"/>
  <c r="D28" i="4"/>
  <c r="E24" i="4"/>
  <c r="E25" i="4"/>
  <c r="C23" i="4"/>
  <c r="C22" i="4"/>
  <c r="C21" i="4"/>
  <c r="C20" i="4"/>
  <c r="C19" i="4"/>
  <c r="C18" i="4"/>
  <c r="G14" i="4"/>
  <c r="E10" i="4"/>
  <c r="E11" i="4"/>
  <c r="E12" i="4"/>
  <c r="E13" i="4"/>
  <c r="E14" i="4"/>
  <c r="G7" i="4"/>
  <c r="E3" i="4"/>
  <c r="E4" i="4"/>
  <c r="E5" i="4"/>
  <c r="E6" i="4"/>
  <c r="E7" i="4"/>
  <c r="K4" i="3"/>
  <c r="K5" i="3"/>
  <c r="K3" i="3"/>
  <c r="E35" i="3"/>
  <c r="H35" i="3"/>
  <c r="H42" i="3"/>
  <c r="J3" i="3"/>
  <c r="E42" i="3"/>
  <c r="I17" i="3"/>
  <c r="I9" i="3"/>
  <c r="E54" i="3"/>
  <c r="E47" i="3"/>
  <c r="E48" i="3"/>
  <c r="F9" i="3"/>
  <c r="F17" i="3"/>
  <c r="F28" i="3"/>
  <c r="F31" i="3"/>
  <c r="F32" i="3"/>
  <c r="D28" i="3"/>
  <c r="D11" i="3"/>
  <c r="D17" i="3"/>
  <c r="D6" i="3"/>
  <c r="D9" i="3"/>
  <c r="F38" i="3"/>
  <c r="F39" i="3"/>
  <c r="F41" i="3"/>
  <c r="F42" i="3"/>
  <c r="D31" i="3"/>
  <c r="D34" i="3"/>
  <c r="D35" i="3"/>
  <c r="D41" i="3"/>
  <c r="D42" i="3"/>
  <c r="H34" i="3"/>
  <c r="H32" i="3"/>
  <c r="H31" i="3"/>
  <c r="H29" i="3"/>
  <c r="H28" i="3"/>
  <c r="H17" i="3"/>
  <c r="H9" i="3"/>
  <c r="H25" i="3"/>
  <c r="H22" i="3"/>
  <c r="H16" i="3"/>
  <c r="H12" i="3"/>
  <c r="H11" i="3"/>
  <c r="H7" i="3"/>
  <c r="H6" i="3"/>
  <c r="D28" i="2"/>
  <c r="E18" i="2"/>
  <c r="E19" i="2"/>
  <c r="E20" i="2"/>
  <c r="E21" i="2"/>
  <c r="E22" i="2"/>
  <c r="E23" i="2"/>
  <c r="E24" i="2"/>
  <c r="E25" i="2"/>
  <c r="E10" i="2"/>
  <c r="E11" i="2"/>
  <c r="E12" i="2"/>
  <c r="E13" i="2"/>
  <c r="E14" i="2"/>
  <c r="C18" i="2"/>
  <c r="C23" i="2"/>
  <c r="C22" i="2"/>
  <c r="C21" i="2"/>
  <c r="C20" i="2"/>
  <c r="C19" i="2"/>
  <c r="G14" i="2"/>
  <c r="G7" i="2"/>
  <c r="E3" i="2"/>
  <c r="E4" i="2"/>
  <c r="E5" i="2"/>
  <c r="E6" i="2"/>
  <c r="E7" i="2"/>
</calcChain>
</file>

<file path=xl/sharedStrings.xml><?xml version="1.0" encoding="utf-8"?>
<sst xmlns="http://schemas.openxmlformats.org/spreadsheetml/2006/main" count="132" uniqueCount="96">
  <si>
    <t>Cod</t>
  </si>
  <si>
    <t>Denumire cheltuială</t>
  </si>
  <si>
    <t>CHELTUIELI ELIGIBILE DIRECTE</t>
  </si>
  <si>
    <t>CHELTUIELI INTEGRAL NEELIGIBILE</t>
  </si>
  <si>
    <t>TOTAL CHELTUIELI NEELIGIBILE</t>
  </si>
  <si>
    <t>Max total</t>
  </si>
  <si>
    <t>Rest</t>
  </si>
  <si>
    <t>Luni</t>
  </si>
  <si>
    <t>Echipa</t>
  </si>
  <si>
    <t>Membru/luna</t>
  </si>
  <si>
    <t>Total Cheltuieli activitati cercetare-dezvoltare</t>
  </si>
  <si>
    <t>Total Cheltuieli pentru introducerea in productie a rezultatelor</t>
  </si>
  <si>
    <t>Cercetatori</t>
  </si>
  <si>
    <t>Implementatori</t>
  </si>
  <si>
    <t>Tip Echipamente</t>
  </si>
  <si>
    <t>Buc</t>
  </si>
  <si>
    <t>Server Cloud Experimental</t>
  </si>
  <si>
    <t>Server Stocare Experimente</t>
  </si>
  <si>
    <t>Server Aplicatii Experimentale</t>
  </si>
  <si>
    <t>Pret</t>
  </si>
  <si>
    <t>Total</t>
  </si>
  <si>
    <t>Licente</t>
  </si>
  <si>
    <t>Baza de date</t>
  </si>
  <si>
    <t>Sisteme de operare servere</t>
  </si>
  <si>
    <t>Total Lei</t>
  </si>
  <si>
    <t>Pret Lei</t>
  </si>
  <si>
    <t>Laptop performant cercetare-dezvoltare</t>
  </si>
  <si>
    <t>Nr. Zile effort</t>
  </si>
  <si>
    <t>Studiu de piata</t>
  </si>
  <si>
    <t>Management</t>
  </si>
  <si>
    <t>Audit</t>
  </si>
  <si>
    <t>Servicii externe cercetare-dezvoltare</t>
  </si>
  <si>
    <t>Salarii cercetre dezvoltare implementare</t>
  </si>
  <si>
    <t>Consultanta proprietate intelectuala</t>
  </si>
  <si>
    <t>Buget/zi</t>
  </si>
  <si>
    <t>Licente medii de dezvoltare RAD</t>
  </si>
  <si>
    <t>SO laptop-uri cercetare-dezvoltare</t>
  </si>
  <si>
    <t>Informare publicitate</t>
  </si>
  <si>
    <t>Salarii si servicii</t>
  </si>
  <si>
    <t>Alte cheltuieli</t>
  </si>
  <si>
    <t>Regie</t>
  </si>
  <si>
    <t>Nr. luni</t>
  </si>
  <si>
    <t>Buget/luna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</si>
  <si>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</si>
  <si>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</si>
  <si>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</si>
  <si>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</si>
  <si>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</si>
  <si>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</si>
  <si>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</si>
  <si>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</si>
  <si>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</si>
  <si>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</si>
  <si>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</si>
  <si>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</si>
  <si>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</si>
  <si>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</si>
  <si>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</si>
  <si>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</si>
  <si>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</si>
  <si>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</si>
  <si>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</si>
  <si>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</si>
  <si>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</si>
  <si>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</si>
  <si>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</si>
  <si>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</si>
  <si>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</si>
  <si>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</si>
  <si>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</si>
  <si>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</si>
  <si>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</si>
  <si>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</si>
  <si>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</si>
  <si>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</si>
  <si>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</si>
  <si>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</si>
  <si>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</si>
  <si>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</si>
  <si>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</si>
  <si>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</si>
  <si>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</si>
  <si>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</si>
  <si>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</si>
  <si>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</si>
  <si>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</si>
  <si>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</si>
  <si>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</si>
  <si>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</si>
  <si>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</si>
  <si>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Implementare</t>
  </si>
  <si>
    <t>Salariu</t>
  </si>
  <si>
    <t>Zile</t>
  </si>
  <si>
    <t>Brut (EURO)</t>
  </si>
  <si>
    <t>Salarii cercetare dezvoltare implementare</t>
  </si>
  <si>
    <t>Total Cercetare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</si>
</sst>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5" fillId="0" borderId="4" xfId="0" applyFont="1" applyBorder="1" applyAlignment="1">
      <alignment vertical="center" wrapText="1"/>
    </xf>
    <xf numFmtId="4" fontId="6" fillId="0" borderId="0" xfId="0" applyNumberFormat="1" applyFont="1"/>
    <xf numFmtId="4" fontId="0" fillId="0" borderId="0" xfId="0" applyNumberFormat="1"/>
    <xf numFmtId="3" fontId="7" fillId="6" borderId="0" xfId="0" applyNumberFormat="1" applyFont="1" applyFill="1"/>
    <xf numFmtId="3" fontId="9" fillId="6" borderId="0" xfId="0" applyNumberFormat="1" applyFont="1" applyFill="1"/>
    <xf numFmtId="3" fontId="0" fillId="6" borderId="0" xfId="0" applyNumberFormat="1" applyFill="1"/>
    <xf numFmtId="0" fontId="8" fillId="0" borderId="9" xfId="0" applyFont="1" applyFill="1" applyBorder="1"/>
    <xf numFmtId="3" fontId="8" fillId="0" borderId="9" xfId="0" applyNumberFormat="1" applyFont="1" applyFill="1" applyBorder="1"/>
    <xf numFmtId="0" fontId="9" fillId="6" borderId="9" xfId="0" applyFont="1" applyFill="1" applyBorder="1"/>
    <xf numFmtId="3" fontId="9" fillId="6" borderId="9" xfId="0" applyNumberFormat="1" applyFont="1" applyFill="1" applyBorder="1"/>
    <xf numFmtId="0" fontId="0" fillId="0" borderId="9" xfId="0" applyBorder="1"/>
    <xf numFmtId="3" fontId="0" fillId="0" borderId="9" xfId="0" applyNumberFormat="1" applyBorder="1"/>
    <xf numFmtId="0" fontId="6" fillId="0" borderId="9" xfId="0" applyFont="1" applyBorder="1"/>
    <xf numFmtId="4" fontId="6" fillId="0" borderId="9" xfId="0" applyNumberFormat="1" applyFont="1" applyBorder="1"/>
    <xf numFmtId="4" fontId="0" fillId="0" borderId="9" xfId="0" applyNumberFormat="1" applyBorder="1"/>
    <xf numFmtId="0" fontId="0" fillId="0" borderId="9" xfId="0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Fill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11" fillId="0" borderId="4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 wrapText="1"/>
    </xf>
    <xf numFmtId="0" fontId="11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0" fontId="11" fillId="0" borderId="4" xfId="0" applyNumberFormat="1" applyFont="1" applyBorder="1" applyAlignment="1">
      <alignment horizontal="right" vertical="center"/>
    </xf>
    <xf numFmtId="10" fontId="11" fillId="0" borderId="4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right" vertical="center"/>
    </xf>
    <xf numFmtId="3" fontId="11" fillId="0" borderId="11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vertical="center" wrapText="1"/>
    </xf>
    <xf numFmtId="3" fontId="11" fillId="0" borderId="4" xfId="0" applyNumberFormat="1" applyFont="1" applyBorder="1" applyAlignment="1">
      <alignment horizontal="right" vertical="center" wrapText="1"/>
    </xf>
    <xf numFmtId="3" fontId="11" fillId="0" borderId="4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left" vertical="center" wrapText="1" indent="1"/>
    </xf>
    <xf numFmtId="3" fontId="2" fillId="3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12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12" fillId="5" borderId="4" xfId="0" applyNumberFormat="1" applyFont="1" applyFill="1" applyBorder="1" applyAlignment="1">
      <alignment horizontal="right" vertical="center"/>
    </xf>
    <xf numFmtId="10" fontId="12" fillId="5" borderId="4" xfId="0" applyNumberFormat="1" applyFont="1" applyFill="1" applyBorder="1" applyAlignment="1">
      <alignment horizontal="right" vertical="center" wrapText="1"/>
    </xf>
    <xf numFmtId="10" fontId="1" fillId="5" borderId="4" xfId="0" applyNumberFormat="1" applyFont="1" applyFill="1" applyBorder="1" applyAlignment="1">
      <alignment vertical="center" wrapText="1"/>
    </xf>
    <xf numFmtId="10" fontId="11" fillId="4" borderId="4" xfId="0" applyNumberFormat="1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0" fillId="0" borderId="9" xfId="0" applyFill="1" applyBorder="1"/>
    <xf numFmtId="3" fontId="0" fillId="7" borderId="0" xfId="0" applyNumberFormat="1" applyFill="1"/>
    <xf numFmtId="3" fontId="11" fillId="8" borderId="4" xfId="0" applyNumberFormat="1" applyFont="1" applyFill="1" applyBorder="1" applyAlignment="1">
      <alignment horizontal="right" vertical="center" wrapText="1"/>
    </xf>
    <xf numFmtId="0" fontId="0" fillId="8" borderId="0" xfId="0" applyFill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G28"/>
  <sheetViews>
    <sheetView topLeftCell="A4" workbookViewId="0">
      <selection activeCell="E28" sqref="E28"/>
    </sheetView>
  </sheetViews>
  <sheetFormatPr defaultColWidth="8.5703125" defaultRowHeight="15" x14ac:dyDescent="0.25"/>
  <cols>
    <col min="2" max="2" width="37.42578125" bestFit="1" customWidth="1"/>
    <col min="3" max="3" width="13.140625" style="10" bestFit="1" customWidth="1"/>
    <col min="4" max="4" width="12.42578125" style="10" customWidth="1"/>
    <col min="5" max="5" width="10.140625" style="10" bestFit="1" customWidth="1"/>
    <col min="6" max="6" width="8.5703125" style="10"/>
    <col min="7" max="7" width="9.140625" style="10" bestFit="1" customWidth="1"/>
  </cols>
  <sheetData>
    <row r="2" spans="2:7" x14ac:dyDescent="0.25">
      <c r="B2" s="20" t="s">
        <v>14</v>
      </c>
      <c r="C2" s="21" t="s">
        <v>15</v>
      </c>
      <c r="D2" s="21" t="s">
        <v>25</v>
      </c>
      <c r="E2" s="21" t="s">
        <v>20</v>
      </c>
      <c r="G2" s="9" t="s">
        <v>24</v>
      </c>
    </row>
    <row r="3" spans="2:7" x14ac:dyDescent="0.25">
      <c r="B3" s="18" t="s">
        <v>26</v>
      </c>
      <c r="C3" s="22">
        <v>3</v>
      </c>
      <c r="D3" s="22">
        <v>6000</v>
      </c>
      <c r="E3" s="22">
        <f>C3*D3</f>
        <v>18000</v>
      </c>
    </row>
    <row r="4" spans="2:7" x14ac:dyDescent="0.25">
      <c r="B4" s="18" t="s">
        <v>16</v>
      </c>
      <c r="C4" s="22">
        <v>1</v>
      </c>
      <c r="D4" s="22">
        <v>19000</v>
      </c>
      <c r="E4" s="22">
        <f t="shared" ref="E4:E6" si="0">C4*D4</f>
        <v>19000</v>
      </c>
    </row>
    <row r="5" spans="2:7" x14ac:dyDescent="0.25">
      <c r="B5" s="18" t="s">
        <v>17</v>
      </c>
      <c r="C5" s="22">
        <v>1</v>
      </c>
      <c r="D5" s="22">
        <v>14500</v>
      </c>
      <c r="E5" s="22">
        <f t="shared" si="0"/>
        <v>14500</v>
      </c>
    </row>
    <row r="6" spans="2:7" x14ac:dyDescent="0.25">
      <c r="B6" s="18" t="s">
        <v>18</v>
      </c>
      <c r="C6" s="22">
        <v>1</v>
      </c>
      <c r="D6" s="22">
        <v>14500</v>
      </c>
      <c r="E6" s="22">
        <f t="shared" si="0"/>
        <v>14500</v>
      </c>
    </row>
    <row r="7" spans="2:7" x14ac:dyDescent="0.25">
      <c r="E7" s="10">
        <f>SUM(E3:E6)</f>
        <v>66000</v>
      </c>
      <c r="G7" s="10" t="e">
        <f>#REF!</f>
        <v>#REF!</v>
      </c>
    </row>
    <row r="9" spans="2:7" x14ac:dyDescent="0.25">
      <c r="B9" s="20" t="s">
        <v>21</v>
      </c>
      <c r="C9" s="21" t="s">
        <v>15</v>
      </c>
      <c r="D9" s="21" t="s">
        <v>19</v>
      </c>
      <c r="E9" s="21" t="s">
        <v>20</v>
      </c>
    </row>
    <row r="10" spans="2:7" x14ac:dyDescent="0.25">
      <c r="B10" s="23" t="s">
        <v>36</v>
      </c>
      <c r="C10" s="22">
        <v>3</v>
      </c>
      <c r="D10" s="22">
        <v>2200</v>
      </c>
      <c r="E10" s="22">
        <f>C10*D10</f>
        <v>6600</v>
      </c>
    </row>
    <row r="11" spans="2:7" x14ac:dyDescent="0.25">
      <c r="B11" s="18" t="s">
        <v>22</v>
      </c>
      <c r="C11" s="22">
        <v>1</v>
      </c>
      <c r="D11" s="22">
        <v>20000</v>
      </c>
      <c r="E11" s="22">
        <f t="shared" ref="E11:E13" si="1">C11*D11</f>
        <v>20000</v>
      </c>
    </row>
    <row r="12" spans="2:7" x14ac:dyDescent="0.25">
      <c r="B12" s="18" t="s">
        <v>23</v>
      </c>
      <c r="C12" s="22">
        <v>3</v>
      </c>
      <c r="D12" s="22">
        <v>4500</v>
      </c>
      <c r="E12" s="22">
        <f t="shared" si="1"/>
        <v>13500</v>
      </c>
    </row>
    <row r="13" spans="2:7" x14ac:dyDescent="0.25">
      <c r="B13" s="18" t="s">
        <v>35</v>
      </c>
      <c r="C13" s="22">
        <v>3</v>
      </c>
      <c r="D13" s="22">
        <v>3300</v>
      </c>
      <c r="E13" s="22">
        <f t="shared" si="1"/>
        <v>9900</v>
      </c>
    </row>
    <row r="14" spans="2:7" x14ac:dyDescent="0.25">
      <c r="E14" s="10">
        <f>SUM(E10:E13)</f>
        <v>50000</v>
      </c>
      <c r="G14" s="10" t="e">
        <f>#REF!</f>
        <v>#REF!</v>
      </c>
    </row>
    <row r="17" spans="2:7" x14ac:dyDescent="0.25">
      <c r="B17" s="14" t="s">
        <v>38</v>
      </c>
      <c r="C17" s="15" t="s">
        <v>27</v>
      </c>
      <c r="D17" s="15" t="s">
        <v>34</v>
      </c>
      <c r="E17" s="15" t="s">
        <v>20</v>
      </c>
      <c r="F17" s="11"/>
      <c r="G17" s="11"/>
    </row>
    <row r="18" spans="2:7" x14ac:dyDescent="0.25">
      <c r="B18" s="16" t="s">
        <v>32</v>
      </c>
      <c r="C18" s="17" t="e">
        <f>E18/D18</f>
        <v>#REF!</v>
      </c>
      <c r="D18" s="17">
        <v>714</v>
      </c>
      <c r="E18" s="17" t="e">
        <f>#REF!+#REF!</f>
        <v>#REF!</v>
      </c>
      <c r="F18" s="12"/>
      <c r="G18" s="12"/>
    </row>
    <row r="19" spans="2:7" x14ac:dyDescent="0.25">
      <c r="B19" s="18" t="s">
        <v>31</v>
      </c>
      <c r="C19" s="19" t="e">
        <f>E19/D19</f>
        <v>#REF!</v>
      </c>
      <c r="D19" s="19">
        <v>950</v>
      </c>
      <c r="E19" s="19" t="e">
        <f>#REF!</f>
        <v>#REF!</v>
      </c>
      <c r="F19" s="13"/>
      <c r="G19" s="13"/>
    </row>
    <row r="20" spans="2:7" x14ac:dyDescent="0.25">
      <c r="B20" s="18" t="s">
        <v>33</v>
      </c>
      <c r="C20" s="19" t="e">
        <f t="shared" ref="C20:C23" si="2">E20/D20</f>
        <v>#REF!</v>
      </c>
      <c r="D20" s="19">
        <v>850</v>
      </c>
      <c r="E20" s="19" t="e">
        <f>#REF!</f>
        <v>#REF!</v>
      </c>
      <c r="F20" s="13"/>
      <c r="G20" s="13"/>
    </row>
    <row r="21" spans="2:7" x14ac:dyDescent="0.25">
      <c r="B21" s="18" t="s">
        <v>28</v>
      </c>
      <c r="C21" s="19" t="e">
        <f t="shared" si="2"/>
        <v>#REF!</v>
      </c>
      <c r="D21" s="19">
        <v>800</v>
      </c>
      <c r="E21" s="19" t="e">
        <f>#REF!</f>
        <v>#REF!</v>
      </c>
      <c r="F21" s="13"/>
      <c r="G21" s="13"/>
    </row>
    <row r="22" spans="2:7" x14ac:dyDescent="0.25">
      <c r="B22" s="18" t="s">
        <v>29</v>
      </c>
      <c r="C22" s="19" t="e">
        <f t="shared" si="2"/>
        <v>#REF!</v>
      </c>
      <c r="D22" s="19">
        <v>850</v>
      </c>
      <c r="E22" s="19" t="e">
        <f>#REF!</f>
        <v>#REF!</v>
      </c>
      <c r="F22" s="13"/>
      <c r="G22" s="13"/>
    </row>
    <row r="23" spans="2:7" x14ac:dyDescent="0.25">
      <c r="B23" s="18" t="s">
        <v>30</v>
      </c>
      <c r="C23" s="19" t="e">
        <f t="shared" si="2"/>
        <v>#REF!</v>
      </c>
      <c r="D23" s="19">
        <v>800</v>
      </c>
      <c r="E23" s="19" t="e">
        <f>#REF!</f>
        <v>#REF!</v>
      </c>
      <c r="F23" s="13"/>
      <c r="G23" s="13"/>
    </row>
    <row r="24" spans="2:7" x14ac:dyDescent="0.25">
      <c r="B24" s="27" t="s">
        <v>37</v>
      </c>
      <c r="E24" s="10" t="e">
        <f>#REF!</f>
        <v>#REF!</v>
      </c>
    </row>
    <row r="25" spans="2:7" x14ac:dyDescent="0.25">
      <c r="E25" s="10" t="e">
        <f>SUM(E18:E24)</f>
        <v>#REF!</v>
      </c>
    </row>
    <row r="27" spans="2:7" x14ac:dyDescent="0.25">
      <c r="B27" t="s">
        <v>39</v>
      </c>
      <c r="C27" s="10" t="s">
        <v>41</v>
      </c>
      <c r="D27" s="10" t="s">
        <v>42</v>
      </c>
      <c r="E27" s="10" t="s">
        <v>20</v>
      </c>
    </row>
    <row r="28" spans="2:7" x14ac:dyDescent="0.25">
      <c r="B28" t="s">
        <v>40</v>
      </c>
      <c r="C28" s="10">
        <v>21</v>
      </c>
      <c r="D28" s="10">
        <f>E28/C28</f>
        <v>4285.7142857142853</v>
      </c>
      <c r="E28" s="10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4"/>
  <sheetViews>
    <sheetView tabSelected="1" topLeftCell="A16" zoomScale="85" zoomScaleNormal="85" zoomScalePageLayoutView="85" workbookViewId="0">
      <selection activeCell="E35" sqref="E35"/>
    </sheetView>
  </sheetViews>
  <sheetFormatPr defaultColWidth="8.85546875" defaultRowHeight="15" x14ac:dyDescent="0.25"/>
  <cols>
    <col min="2" max="2" width="4.85546875" bestFit="1" customWidth="1"/>
    <col min="3" max="3" width="93" style="38" customWidth="1"/>
    <col min="4" max="4" width="9" style="7" bestFit="1" customWidth="1"/>
    <col min="5" max="5" width="8.42578125" style="7" bestFit="1" customWidth="1"/>
    <col min="6" max="6" width="9.5703125" customWidth="1"/>
    <col min="7" max="7" width="12.42578125" customWidth="1"/>
    <col min="8" max="8" width="11.140625" style="7" customWidth="1"/>
    <col min="10" max="10" width="8.85546875" style="7"/>
    <col min="13" max="13" width="10.42578125" bestFit="1" customWidth="1"/>
    <col min="14" max="14" width="15.42578125" bestFit="1" customWidth="1"/>
    <col min="16" max="16" width="16" bestFit="1" customWidth="1"/>
    <col min="17" max="17" width="21" bestFit="1" customWidth="1"/>
    <col min="18" max="18" width="12.42578125" bestFit="1" customWidth="1"/>
  </cols>
  <sheetData>
    <row r="1" spans="2:18" ht="15.75" thickBot="1" x14ac:dyDescent="0.3"/>
    <row r="2" spans="2:18" ht="72" thickBot="1" x14ac:dyDescent="0.3">
      <c r="B2" s="28" t="s">
        <v>0</v>
      </c>
      <c r="C2" s="29" t="s">
        <v>1</v>
      </c>
      <c r="D2" s="47" t="s">
        <v>43</v>
      </c>
      <c r="E2" s="47" t="s">
        <v>44</v>
      </c>
      <c r="F2" s="29" t="s">
        <v>45</v>
      </c>
      <c r="G2" s="29" t="s">
        <v>46</v>
      </c>
      <c r="H2" s="47" t="s">
        <v>47</v>
      </c>
      <c r="K2" t="s">
        <v>92</v>
      </c>
      <c r="M2" t="s">
        <v>88</v>
      </c>
      <c r="N2" t="s">
        <v>89</v>
      </c>
      <c r="O2" t="s">
        <v>91</v>
      </c>
      <c r="P2" t="s">
        <v>95</v>
      </c>
      <c r="Q2" t="s">
        <v>90</v>
      </c>
      <c r="R2" t="s">
        <v>93</v>
      </c>
    </row>
    <row r="3" spans="2:18" ht="15.75" thickBot="1" x14ac:dyDescent="0.3">
      <c r="B3" s="30">
        <v>1</v>
      </c>
      <c r="C3" s="31">
        <v>2</v>
      </c>
      <c r="D3" s="48" t="s">
        <v>48</v>
      </c>
      <c r="E3" s="48">
        <v>4</v>
      </c>
      <c r="F3" s="31">
        <v>5</v>
      </c>
      <c r="G3" s="31">
        <v>6</v>
      </c>
      <c r="H3" s="59" t="s">
        <v>49</v>
      </c>
      <c r="J3" s="7">
        <f>840000-H42</f>
        <v>41318.849999999977</v>
      </c>
      <c r="K3" s="7">
        <f>(M3+N3)*20</f>
        <v>420</v>
      </c>
      <c r="L3" t="s">
        <v>85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18" ht="15.75" thickBot="1" x14ac:dyDescent="0.3">
      <c r="B4" s="74" t="s">
        <v>2</v>
      </c>
      <c r="C4" s="75"/>
      <c r="D4" s="75"/>
      <c r="E4" s="75"/>
      <c r="F4" s="75"/>
      <c r="G4" s="75"/>
      <c r="H4" s="76"/>
      <c r="K4" s="7">
        <f t="shared" ref="K4:K5" si="0">(M4+N4)*20</f>
        <v>220</v>
      </c>
      <c r="L4" t="s">
        <v>86</v>
      </c>
      <c r="M4">
        <v>0</v>
      </c>
      <c r="N4">
        <v>11</v>
      </c>
      <c r="O4">
        <v>6500</v>
      </c>
      <c r="P4">
        <f t="shared" ref="P4:P5" si="1">M4*O4</f>
        <v>0</v>
      </c>
      <c r="Q4">
        <f t="shared" ref="Q4:Q5" si="2">N4*O4</f>
        <v>71500</v>
      </c>
      <c r="R4">
        <v>1200</v>
      </c>
    </row>
    <row r="5" spans="2:18" ht="15.75" thickBot="1" x14ac:dyDescent="0.3">
      <c r="B5" s="81" t="s">
        <v>50</v>
      </c>
      <c r="C5" s="82"/>
      <c r="D5" s="3"/>
      <c r="E5" s="4"/>
      <c r="F5" s="32"/>
      <c r="G5" s="32"/>
      <c r="H5" s="3"/>
      <c r="K5" s="7">
        <f t="shared" si="0"/>
        <v>260</v>
      </c>
      <c r="L5" t="s">
        <v>87</v>
      </c>
      <c r="M5">
        <v>7</v>
      </c>
      <c r="N5">
        <v>6</v>
      </c>
      <c r="O5">
        <v>9000</v>
      </c>
      <c r="P5">
        <f t="shared" si="1"/>
        <v>63000</v>
      </c>
      <c r="Q5">
        <f t="shared" si="2"/>
        <v>54000</v>
      </c>
      <c r="R5">
        <v>1650</v>
      </c>
    </row>
    <row r="6" spans="2:18" ht="30.75" thickBot="1" x14ac:dyDescent="0.3">
      <c r="B6" s="34">
        <v>1.1000000000000001</v>
      </c>
      <c r="C6" s="33" t="s">
        <v>51</v>
      </c>
      <c r="D6" s="49">
        <f>E6</f>
        <v>126000</v>
      </c>
      <c r="E6" s="52">
        <f>P6</f>
        <v>126000</v>
      </c>
      <c r="F6" s="39">
        <v>0</v>
      </c>
      <c r="G6" s="45">
        <v>0.9</v>
      </c>
      <c r="H6" s="49">
        <f>E6*G6</f>
        <v>113400</v>
      </c>
      <c r="P6">
        <f>SUM(P3:P5)</f>
        <v>126000</v>
      </c>
      <c r="Q6">
        <f>SUM(Q3:Q5)</f>
        <v>251500</v>
      </c>
    </row>
    <row r="7" spans="2:18" ht="30.75" thickBot="1" x14ac:dyDescent="0.3">
      <c r="B7" s="34">
        <v>1.2</v>
      </c>
      <c r="C7" s="33" t="s">
        <v>52</v>
      </c>
      <c r="D7" s="49">
        <f>E7</f>
        <v>141774</v>
      </c>
      <c r="E7" s="52">
        <v>141774</v>
      </c>
      <c r="F7" s="39">
        <v>0</v>
      </c>
      <c r="G7" s="45">
        <v>0.9</v>
      </c>
      <c r="H7" s="49">
        <f>E7*G7</f>
        <v>127596.6</v>
      </c>
      <c r="I7">
        <f>D7/1.24*0.24</f>
        <v>27440.129032258064</v>
      </c>
      <c r="J7" s="71">
        <f>E7/1.24*1.2</f>
        <v>137200.64516129033</v>
      </c>
    </row>
    <row r="8" spans="2:18" ht="30.75" thickBot="1" x14ac:dyDescent="0.3">
      <c r="B8" s="42">
        <v>1.3</v>
      </c>
      <c r="C8" s="42" t="s">
        <v>53</v>
      </c>
      <c r="D8" s="50"/>
      <c r="E8" s="54"/>
      <c r="F8" s="42"/>
      <c r="G8" s="43"/>
      <c r="H8" s="50"/>
    </row>
    <row r="9" spans="2:18" ht="15.75" thickBot="1" x14ac:dyDescent="0.3">
      <c r="B9" s="25"/>
      <c r="C9" s="68" t="s">
        <v>10</v>
      </c>
      <c r="D9" s="62">
        <f>D6+D7</f>
        <v>267774</v>
      </c>
      <c r="E9" s="62">
        <f>E6+E7</f>
        <v>267774</v>
      </c>
      <c r="F9" s="62">
        <f>F6+F7</f>
        <v>0</v>
      </c>
      <c r="G9" s="63">
        <v>0.9</v>
      </c>
      <c r="H9" s="62">
        <f>E9*G9</f>
        <v>240996.6</v>
      </c>
      <c r="I9" s="73">
        <f>E9/E42</f>
        <v>0.30174319251180526</v>
      </c>
    </row>
    <row r="10" spans="2:18" ht="26.45" customHeight="1" thickBot="1" x14ac:dyDescent="0.3">
      <c r="B10" s="79" t="s">
        <v>54</v>
      </c>
      <c r="C10" s="80"/>
      <c r="D10" s="51"/>
      <c r="E10" s="55"/>
      <c r="F10" s="26"/>
      <c r="G10" s="26"/>
      <c r="H10" s="60"/>
    </row>
    <row r="11" spans="2:18" ht="30.75" thickBot="1" x14ac:dyDescent="0.3">
      <c r="B11" s="1">
        <v>2.1</v>
      </c>
      <c r="C11" s="33" t="s">
        <v>55</v>
      </c>
      <c r="D11" s="49">
        <f>E11</f>
        <v>251500</v>
      </c>
      <c r="E11" s="52">
        <f>Q6</f>
        <v>251500</v>
      </c>
      <c r="F11" s="40">
        <v>0</v>
      </c>
      <c r="G11" s="46">
        <v>0.9</v>
      </c>
      <c r="H11" s="49">
        <f>E11*G11</f>
        <v>226350</v>
      </c>
    </row>
    <row r="12" spans="2:18" ht="30.75" thickBot="1" x14ac:dyDescent="0.3">
      <c r="B12" s="1">
        <v>2.2000000000000002</v>
      </c>
      <c r="C12" s="33" t="s">
        <v>56</v>
      </c>
      <c r="D12" s="49">
        <f>E12</f>
        <v>63871</v>
      </c>
      <c r="E12" s="52">
        <v>63871</v>
      </c>
      <c r="F12" s="40">
        <v>0</v>
      </c>
      <c r="G12" s="46">
        <v>0.9</v>
      </c>
      <c r="H12" s="49">
        <f>E12*G12</f>
        <v>57483.9</v>
      </c>
      <c r="I12">
        <f>D12/1.24*0.24</f>
        <v>12362.129032258064</v>
      </c>
      <c r="J12" s="71">
        <f>E12/1.24*1.2</f>
        <v>61810.645161290326</v>
      </c>
    </row>
    <row r="13" spans="2:18" ht="30.75" thickBot="1" x14ac:dyDescent="0.3">
      <c r="B13" s="1">
        <v>2.2999999999999998</v>
      </c>
      <c r="C13" s="36" t="s">
        <v>57</v>
      </c>
      <c r="D13" s="4"/>
      <c r="E13" s="4"/>
      <c r="F13" s="33"/>
      <c r="G13" s="44"/>
      <c r="H13" s="3"/>
    </row>
    <row r="14" spans="2:18" ht="30.75" thickBot="1" x14ac:dyDescent="0.3">
      <c r="B14" s="1">
        <v>2.4</v>
      </c>
      <c r="C14" s="33" t="s">
        <v>58</v>
      </c>
      <c r="D14" s="4"/>
      <c r="E14" s="4"/>
      <c r="F14" s="33"/>
      <c r="G14" s="33"/>
      <c r="H14" s="3"/>
    </row>
    <row r="15" spans="2:18" ht="15.75" thickBot="1" x14ac:dyDescent="0.3">
      <c r="B15" s="1"/>
      <c r="C15" s="33" t="s">
        <v>59</v>
      </c>
      <c r="D15" s="49"/>
      <c r="E15" s="4"/>
      <c r="F15" s="33"/>
      <c r="G15" s="44"/>
      <c r="H15" s="49"/>
    </row>
    <row r="16" spans="2:18" ht="15.75" thickBot="1" x14ac:dyDescent="0.3">
      <c r="B16" s="1"/>
      <c r="C16" s="8" t="s">
        <v>60</v>
      </c>
      <c r="D16" s="49">
        <f>E16</f>
        <v>48387</v>
      </c>
      <c r="E16" s="52">
        <v>48387</v>
      </c>
      <c r="F16" s="40">
        <v>0</v>
      </c>
      <c r="G16" s="46">
        <v>0.9</v>
      </c>
      <c r="H16" s="49">
        <f>E16*G16</f>
        <v>43548.3</v>
      </c>
      <c r="I16">
        <f>D16/1.24*0.24</f>
        <v>9365.2258064516118</v>
      </c>
      <c r="J16" s="71">
        <f>E16/1.24*1.2</f>
        <v>46826.129032258061</v>
      </c>
      <c r="K16">
        <v>887.04</v>
      </c>
      <c r="L16">
        <f>K16*93</f>
        <v>82494.720000000001</v>
      </c>
    </row>
    <row r="17" spans="2:12" ht="15.75" thickBot="1" x14ac:dyDescent="0.3">
      <c r="B17" s="35"/>
      <c r="C17" s="68" t="s">
        <v>11</v>
      </c>
      <c r="D17" s="64">
        <f>D11+D12+D16</f>
        <v>363758</v>
      </c>
      <c r="E17" s="64">
        <f t="shared" ref="E17:F17" si="3">E11+E12+E16</f>
        <v>363758</v>
      </c>
      <c r="F17" s="64">
        <f t="shared" si="3"/>
        <v>0</v>
      </c>
      <c r="G17" s="65">
        <v>0.9</v>
      </c>
      <c r="H17" s="64">
        <f>E17*G17</f>
        <v>327382.2</v>
      </c>
      <c r="I17">
        <f>E17/E42</f>
        <v>0.4099035015412596</v>
      </c>
      <c r="L17">
        <f>K16*22</f>
        <v>19514.879999999997</v>
      </c>
    </row>
    <row r="18" spans="2:12" ht="15.75" thickBot="1" x14ac:dyDescent="0.3">
      <c r="B18" s="79" t="s">
        <v>61</v>
      </c>
      <c r="C18" s="80"/>
      <c r="D18" s="4"/>
      <c r="E18" s="4"/>
      <c r="F18" s="33"/>
      <c r="G18" s="33"/>
      <c r="H18" s="3"/>
    </row>
    <row r="19" spans="2:12" ht="15.75" thickBot="1" x14ac:dyDescent="0.3">
      <c r="B19" s="1">
        <v>3.1</v>
      </c>
      <c r="C19" s="33" t="s">
        <v>62</v>
      </c>
      <c r="D19" s="4"/>
      <c r="E19" s="4"/>
      <c r="F19" s="33"/>
      <c r="G19" s="33"/>
      <c r="H19" s="3"/>
    </row>
    <row r="20" spans="2:12" ht="15.75" thickBot="1" x14ac:dyDescent="0.3">
      <c r="B20" s="1"/>
      <c r="C20" s="8" t="s">
        <v>63</v>
      </c>
      <c r="D20" s="49"/>
      <c r="E20" s="4"/>
      <c r="F20" s="33"/>
      <c r="G20" s="44"/>
      <c r="H20" s="49"/>
      <c r="K20">
        <f>251500/3</f>
        <v>83833.333333333328</v>
      </c>
      <c r="L20">
        <f>3/4*K20</f>
        <v>62875</v>
      </c>
    </row>
    <row r="21" spans="2:12" ht="15.75" thickBot="1" x14ac:dyDescent="0.3">
      <c r="B21" s="1"/>
      <c r="C21" s="8" t="s">
        <v>64</v>
      </c>
      <c r="D21" s="49"/>
      <c r="E21" s="4"/>
      <c r="F21" s="33"/>
      <c r="G21" s="44"/>
      <c r="H21" s="49"/>
      <c r="L21">
        <f>1/4*K20</f>
        <v>20958.333333333332</v>
      </c>
    </row>
    <row r="22" spans="2:12" ht="30.75" thickBot="1" x14ac:dyDescent="0.3">
      <c r="B22" s="1"/>
      <c r="C22" s="8" t="s">
        <v>65</v>
      </c>
      <c r="D22" s="49">
        <f>E22</f>
        <v>67742</v>
      </c>
      <c r="E22" s="52">
        <v>67742</v>
      </c>
      <c r="F22" s="40">
        <v>0</v>
      </c>
      <c r="G22" s="46">
        <v>0.9</v>
      </c>
      <c r="H22" s="49">
        <f>E22*G22</f>
        <v>60967.8</v>
      </c>
      <c r="I22">
        <f>D22/1.24*0.24</f>
        <v>13111.354838709678</v>
      </c>
      <c r="J22" s="71">
        <f>E22/1.24*1.2</f>
        <v>65556.774193548394</v>
      </c>
    </row>
    <row r="23" spans="2:12" ht="15.75" thickBot="1" x14ac:dyDescent="0.3">
      <c r="B23" s="1"/>
      <c r="C23" s="8" t="s">
        <v>66</v>
      </c>
      <c r="D23" s="49"/>
      <c r="E23" s="4"/>
      <c r="F23" s="33"/>
      <c r="G23" s="44"/>
      <c r="H23" s="49"/>
    </row>
    <row r="24" spans="2:12" ht="15.75" thickBot="1" x14ac:dyDescent="0.3">
      <c r="B24" s="1">
        <v>3.2</v>
      </c>
      <c r="C24" s="24" t="s">
        <v>82</v>
      </c>
      <c r="D24" s="4"/>
      <c r="E24" s="4"/>
      <c r="F24" s="33"/>
      <c r="G24" s="33"/>
      <c r="H24" s="3"/>
    </row>
    <row r="25" spans="2:12" ht="15.75" thickBot="1" x14ac:dyDescent="0.3">
      <c r="B25" s="1"/>
      <c r="C25" s="8" t="s">
        <v>67</v>
      </c>
      <c r="D25" s="49">
        <f>E25</f>
        <v>38710</v>
      </c>
      <c r="E25" s="52">
        <v>38710</v>
      </c>
      <c r="F25" s="40">
        <v>0</v>
      </c>
      <c r="G25" s="46">
        <v>0.9</v>
      </c>
      <c r="H25" s="49">
        <f>E25*G25</f>
        <v>34839</v>
      </c>
      <c r="I25">
        <f>D25/1.24*0.24</f>
        <v>7492.2580645161288</v>
      </c>
      <c r="J25" s="71">
        <f>E25/1.24*1.2</f>
        <v>37461.290322580644</v>
      </c>
    </row>
    <row r="26" spans="2:12" ht="15.75" thickBot="1" x14ac:dyDescent="0.3">
      <c r="B26" s="1"/>
      <c r="C26" s="8" t="s">
        <v>68</v>
      </c>
      <c r="D26" s="49"/>
      <c r="E26" s="4"/>
      <c r="F26" s="33"/>
      <c r="G26" s="44"/>
      <c r="H26" s="49"/>
    </row>
    <row r="27" spans="2:12" ht="30.75" thickBot="1" x14ac:dyDescent="0.3">
      <c r="B27" s="1"/>
      <c r="C27" s="8" t="s">
        <v>69</v>
      </c>
      <c r="D27" s="49"/>
      <c r="E27" s="4"/>
      <c r="F27" s="33"/>
      <c r="G27" s="44"/>
      <c r="H27" s="49"/>
    </row>
    <row r="28" spans="2:12" ht="29.25" thickBot="1" x14ac:dyDescent="0.3">
      <c r="B28" s="35"/>
      <c r="C28" s="69" t="s">
        <v>84</v>
      </c>
      <c r="D28" s="64">
        <f>D22+D25</f>
        <v>106452</v>
      </c>
      <c r="E28" s="64">
        <f t="shared" ref="E28:F28" si="4">E22+E25</f>
        <v>106452</v>
      </c>
      <c r="F28" s="64">
        <f t="shared" si="4"/>
        <v>0</v>
      </c>
      <c r="G28" s="66">
        <v>0.9</v>
      </c>
      <c r="H28" s="64">
        <f>E28*G28</f>
        <v>95806.8</v>
      </c>
    </row>
    <row r="29" spans="2:12" ht="15.75" thickBot="1" x14ac:dyDescent="0.3">
      <c r="B29" s="79" t="s">
        <v>70</v>
      </c>
      <c r="C29" s="80"/>
      <c r="D29" s="52">
        <f>E29</f>
        <v>27000</v>
      </c>
      <c r="E29" s="52">
        <v>27000</v>
      </c>
      <c r="F29" s="40">
        <v>0</v>
      </c>
      <c r="G29" s="46">
        <v>0.9</v>
      </c>
      <c r="H29" s="49">
        <f>E29*G29</f>
        <v>24300</v>
      </c>
      <c r="I29">
        <f>D29/1.24*0.24</f>
        <v>5225.8064516129034</v>
      </c>
      <c r="J29" s="71">
        <f>E29/1.24*1.2</f>
        <v>26129.032258064519</v>
      </c>
    </row>
    <row r="30" spans="2:12" ht="15.75" thickBot="1" x14ac:dyDescent="0.3">
      <c r="B30" s="74" t="s">
        <v>83</v>
      </c>
      <c r="C30" s="76"/>
      <c r="D30" s="4"/>
      <c r="E30" s="4"/>
      <c r="F30" s="33"/>
      <c r="G30" s="33"/>
      <c r="H30" s="3"/>
    </row>
    <row r="31" spans="2:12" ht="15.75" thickBot="1" x14ac:dyDescent="0.3">
      <c r="B31" s="74" t="s">
        <v>71</v>
      </c>
      <c r="C31" s="76"/>
      <c r="D31" s="52">
        <f>D9+D17+D28+D29</f>
        <v>764984</v>
      </c>
      <c r="E31" s="52">
        <f>E9+E17+E28+E29</f>
        <v>764984</v>
      </c>
      <c r="F31" s="52">
        <f>F9+F17+F28+F29</f>
        <v>0</v>
      </c>
      <c r="G31" s="67">
        <v>0.9</v>
      </c>
      <c r="H31" s="49">
        <f>E31*G31</f>
        <v>688485.6</v>
      </c>
    </row>
    <row r="32" spans="2:12" ht="15.75" thickBot="1" x14ac:dyDescent="0.3">
      <c r="B32" s="74" t="s">
        <v>72</v>
      </c>
      <c r="C32" s="76"/>
      <c r="D32" s="52">
        <f>D31-D25-D22-D7-D29</f>
        <v>489758</v>
      </c>
      <c r="E32" s="52">
        <f>E31-E25-E22-E7-E29</f>
        <v>489758</v>
      </c>
      <c r="F32" s="52">
        <f>F31-F25-F22-F7</f>
        <v>0</v>
      </c>
      <c r="G32" s="67">
        <v>0.9</v>
      </c>
      <c r="H32" s="49">
        <f>E32*G32</f>
        <v>440782.2</v>
      </c>
    </row>
    <row r="33" spans="2:12" ht="15.75" thickBot="1" x14ac:dyDescent="0.3">
      <c r="B33" s="74" t="s">
        <v>73</v>
      </c>
      <c r="C33" s="76"/>
      <c r="D33" s="4"/>
      <c r="E33" s="4"/>
      <c r="F33" s="33"/>
      <c r="G33" s="2"/>
      <c r="H33" s="3"/>
    </row>
    <row r="34" spans="2:12" ht="15.75" thickBot="1" x14ac:dyDescent="0.3">
      <c r="B34" s="85" t="s">
        <v>74</v>
      </c>
      <c r="C34" s="86"/>
      <c r="D34" s="52">
        <f>E34</f>
        <v>122439.5</v>
      </c>
      <c r="E34" s="52">
        <f>L35</f>
        <v>122439.5</v>
      </c>
      <c r="F34" s="40">
        <v>0</v>
      </c>
      <c r="G34" s="67">
        <v>0.9</v>
      </c>
      <c r="H34" s="49">
        <f>E34*G34</f>
        <v>110195.55</v>
      </c>
    </row>
    <row r="35" spans="2:12" ht="15.75" thickBot="1" x14ac:dyDescent="0.3">
      <c r="B35" s="77" t="s">
        <v>75</v>
      </c>
      <c r="C35" s="78"/>
      <c r="D35" s="52">
        <f>D31+D34</f>
        <v>887423.5</v>
      </c>
      <c r="E35" s="52">
        <f>E31+E34</f>
        <v>887423.5</v>
      </c>
      <c r="F35" s="40">
        <v>0</v>
      </c>
      <c r="G35" s="67">
        <v>0.9</v>
      </c>
      <c r="H35" s="49">
        <f>E35*G35</f>
        <v>798681.15</v>
      </c>
      <c r="L35">
        <f>E32*0.25</f>
        <v>122439.5</v>
      </c>
    </row>
    <row r="36" spans="2:12" ht="15.75" thickBot="1" x14ac:dyDescent="0.3">
      <c r="B36" s="74" t="s">
        <v>3</v>
      </c>
      <c r="C36" s="75"/>
      <c r="D36" s="75"/>
      <c r="E36" s="75"/>
      <c r="F36" s="75"/>
      <c r="G36" s="75"/>
      <c r="H36" s="76"/>
    </row>
    <row r="37" spans="2:12" ht="15.75" thickBot="1" x14ac:dyDescent="0.3">
      <c r="B37" s="1">
        <v>1</v>
      </c>
      <c r="C37" s="33" t="s">
        <v>76</v>
      </c>
      <c r="D37" s="4"/>
      <c r="E37" s="56"/>
      <c r="F37" s="37"/>
      <c r="G37" s="2"/>
      <c r="H37" s="61"/>
    </row>
    <row r="38" spans="2:12" ht="15.75" thickBot="1" x14ac:dyDescent="0.3">
      <c r="B38" s="1">
        <v>2</v>
      </c>
      <c r="C38" s="33" t="s">
        <v>77</v>
      </c>
      <c r="D38" s="4">
        <v>12581</v>
      </c>
      <c r="E38" s="57"/>
      <c r="F38" s="4">
        <f>D38</f>
        <v>12581</v>
      </c>
      <c r="G38" s="2"/>
      <c r="H38" s="61"/>
      <c r="J38" s="71">
        <f>D38/1.24*1.2</f>
        <v>12175.161290322581</v>
      </c>
    </row>
    <row r="39" spans="2:12" ht="15.75" thickBot="1" x14ac:dyDescent="0.3">
      <c r="B39" s="1">
        <v>3</v>
      </c>
      <c r="C39" s="33" t="s">
        <v>78</v>
      </c>
      <c r="D39" s="4">
        <v>5226</v>
      </c>
      <c r="E39" s="57"/>
      <c r="F39" s="4">
        <f>D39</f>
        <v>5226</v>
      </c>
      <c r="G39" s="2"/>
      <c r="H39" s="61"/>
      <c r="J39" s="71">
        <f>D39/1.24*1.2</f>
        <v>5057.4193548387102</v>
      </c>
    </row>
    <row r="40" spans="2:12" ht="15.75" thickBot="1" x14ac:dyDescent="0.3">
      <c r="B40" s="1" t="s">
        <v>79</v>
      </c>
      <c r="C40" s="33" t="s">
        <v>80</v>
      </c>
      <c r="D40" s="4"/>
      <c r="E40" s="57"/>
      <c r="F40" s="33"/>
      <c r="G40" s="2"/>
      <c r="H40" s="61"/>
    </row>
    <row r="41" spans="2:12" ht="15.75" thickBot="1" x14ac:dyDescent="0.3">
      <c r="B41" s="74" t="s">
        <v>4</v>
      </c>
      <c r="C41" s="76"/>
      <c r="D41" s="53">
        <f>D38+D39</f>
        <v>17807</v>
      </c>
      <c r="E41" s="58"/>
      <c r="F41" s="53">
        <f>F38+F39</f>
        <v>17807</v>
      </c>
      <c r="G41" s="2"/>
      <c r="H41" s="61"/>
    </row>
    <row r="42" spans="2:12" ht="15.75" thickBot="1" x14ac:dyDescent="0.3">
      <c r="B42" s="83" t="s">
        <v>81</v>
      </c>
      <c r="C42" s="84"/>
      <c r="D42" s="52">
        <f>D35+D41</f>
        <v>905230.5</v>
      </c>
      <c r="E42" s="52">
        <f>E35</f>
        <v>887423.5</v>
      </c>
      <c r="F42" s="52">
        <f>F41</f>
        <v>17807</v>
      </c>
      <c r="G42" s="41"/>
      <c r="H42" s="72">
        <f>H35</f>
        <v>798681.15</v>
      </c>
    </row>
    <row r="47" spans="2:12" x14ac:dyDescent="0.25">
      <c r="D47" t="s">
        <v>5</v>
      </c>
      <c r="E47" s="5">
        <f>220000*4.5</f>
        <v>990000</v>
      </c>
    </row>
    <row r="48" spans="2:12" x14ac:dyDescent="0.25">
      <c r="D48" t="s">
        <v>6</v>
      </c>
      <c r="E48" s="5">
        <f>E47-E38</f>
        <v>990000</v>
      </c>
    </row>
    <row r="49" spans="4:5" x14ac:dyDescent="0.25">
      <c r="D49" t="s">
        <v>7</v>
      </c>
      <c r="E49" s="6">
        <v>21</v>
      </c>
    </row>
    <row r="50" spans="4:5" x14ac:dyDescent="0.25">
      <c r="D50" t="s">
        <v>8</v>
      </c>
      <c r="E50">
        <v>1.5</v>
      </c>
    </row>
    <row r="51" spans="4:5" x14ac:dyDescent="0.25">
      <c r="D51" t="s">
        <v>9</v>
      </c>
      <c r="E51" s="7">
        <v>15000</v>
      </c>
    </row>
    <row r="52" spans="4:5" x14ac:dyDescent="0.25">
      <c r="D52"/>
      <c r="E52"/>
    </row>
    <row r="53" spans="4:5" x14ac:dyDescent="0.25">
      <c r="D53" t="s">
        <v>12</v>
      </c>
      <c r="E53">
        <v>0.5</v>
      </c>
    </row>
    <row r="54" spans="4:5" x14ac:dyDescent="0.25">
      <c r="D54" t="s">
        <v>13</v>
      </c>
      <c r="E54">
        <f>E50-E53</f>
        <v>1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G28"/>
  <sheetViews>
    <sheetView topLeftCell="A13" workbookViewId="0">
      <selection activeCell="D28" sqref="D28"/>
    </sheetView>
  </sheetViews>
  <sheetFormatPr defaultColWidth="8.5703125" defaultRowHeight="15" x14ac:dyDescent="0.25"/>
  <cols>
    <col min="2" max="2" width="39.140625" bestFit="1" customWidth="1"/>
    <col min="3" max="3" width="13.140625" style="10" bestFit="1" customWidth="1"/>
    <col min="4" max="4" width="12.42578125" style="10" customWidth="1"/>
    <col min="5" max="5" width="10.140625" style="10" bestFit="1" customWidth="1"/>
    <col min="6" max="6" width="8.5703125" style="10"/>
    <col min="7" max="7" width="9.140625" style="10" bestFit="1" customWidth="1"/>
  </cols>
  <sheetData>
    <row r="2" spans="2:7" x14ac:dyDescent="0.25">
      <c r="B2" s="20" t="s">
        <v>14</v>
      </c>
      <c r="C2" s="21" t="s">
        <v>15</v>
      </c>
      <c r="D2" s="21" t="s">
        <v>25</v>
      </c>
      <c r="E2" s="21" t="s">
        <v>20</v>
      </c>
      <c r="G2" s="9" t="s">
        <v>24</v>
      </c>
    </row>
    <row r="3" spans="2:7" x14ac:dyDescent="0.25">
      <c r="B3" s="18" t="s">
        <v>26</v>
      </c>
      <c r="C3" s="22">
        <v>3</v>
      </c>
      <c r="D3" s="22">
        <v>6000</v>
      </c>
      <c r="E3" s="22">
        <f>C3*D3</f>
        <v>18000</v>
      </c>
    </row>
    <row r="4" spans="2:7" x14ac:dyDescent="0.25">
      <c r="B4" s="18" t="s">
        <v>16</v>
      </c>
      <c r="C4" s="22">
        <v>1</v>
      </c>
      <c r="D4" s="22">
        <v>19000</v>
      </c>
      <c r="E4" s="22">
        <f t="shared" ref="E4:E6" si="0">C4*D4</f>
        <v>19000</v>
      </c>
    </row>
    <row r="5" spans="2:7" x14ac:dyDescent="0.25">
      <c r="B5" s="18" t="s">
        <v>17</v>
      </c>
      <c r="C5" s="22">
        <v>1</v>
      </c>
      <c r="D5" s="22">
        <v>14500</v>
      </c>
      <c r="E5" s="22">
        <f t="shared" si="0"/>
        <v>14500</v>
      </c>
    </row>
    <row r="6" spans="2:7" x14ac:dyDescent="0.25">
      <c r="B6" s="18" t="s">
        <v>18</v>
      </c>
      <c r="C6" s="22">
        <v>1</v>
      </c>
      <c r="D6" s="22">
        <v>14500</v>
      </c>
      <c r="E6" s="22">
        <f t="shared" si="0"/>
        <v>14500</v>
      </c>
    </row>
    <row r="7" spans="2:7" x14ac:dyDescent="0.25">
      <c r="E7" s="10">
        <f>SUM(E3:E6)</f>
        <v>66000</v>
      </c>
      <c r="G7" s="10" t="e">
        <f>#REF!</f>
        <v>#REF!</v>
      </c>
    </row>
    <row r="9" spans="2:7" x14ac:dyDescent="0.25">
      <c r="B9" s="20" t="s">
        <v>21</v>
      </c>
      <c r="C9" s="21" t="s">
        <v>15</v>
      </c>
      <c r="D9" s="21" t="s">
        <v>19</v>
      </c>
      <c r="E9" s="21" t="s">
        <v>20</v>
      </c>
    </row>
    <row r="10" spans="2:7" x14ac:dyDescent="0.25">
      <c r="B10" s="23" t="s">
        <v>36</v>
      </c>
      <c r="C10" s="22">
        <v>3</v>
      </c>
      <c r="D10" s="22">
        <v>2200</v>
      </c>
      <c r="E10" s="22">
        <f>C10*D10</f>
        <v>6600</v>
      </c>
    </row>
    <row r="11" spans="2:7" x14ac:dyDescent="0.25">
      <c r="B11" s="18" t="s">
        <v>22</v>
      </c>
      <c r="C11" s="22">
        <v>1</v>
      </c>
      <c r="D11" s="22">
        <v>20000</v>
      </c>
      <c r="E11" s="22">
        <f t="shared" ref="E11:E13" si="1">C11*D11</f>
        <v>20000</v>
      </c>
    </row>
    <row r="12" spans="2:7" x14ac:dyDescent="0.25">
      <c r="B12" s="18" t="s">
        <v>23</v>
      </c>
      <c r="C12" s="22">
        <v>3</v>
      </c>
      <c r="D12" s="22">
        <v>4500</v>
      </c>
      <c r="E12" s="22">
        <f t="shared" si="1"/>
        <v>13500</v>
      </c>
    </row>
    <row r="13" spans="2:7" x14ac:dyDescent="0.25">
      <c r="B13" s="18" t="s">
        <v>35</v>
      </c>
      <c r="C13" s="22">
        <v>3</v>
      </c>
      <c r="D13" s="22">
        <v>3300</v>
      </c>
      <c r="E13" s="22">
        <f t="shared" si="1"/>
        <v>9900</v>
      </c>
    </row>
    <row r="14" spans="2:7" x14ac:dyDescent="0.25">
      <c r="E14" s="10">
        <f>SUM(E10:E13)</f>
        <v>50000</v>
      </c>
      <c r="G14" s="10" t="e">
        <f>#REF!</f>
        <v>#REF!</v>
      </c>
    </row>
    <row r="17" spans="2:7" x14ac:dyDescent="0.25">
      <c r="B17" s="14" t="s">
        <v>38</v>
      </c>
      <c r="C17" s="15" t="s">
        <v>27</v>
      </c>
      <c r="D17" s="15" t="s">
        <v>34</v>
      </c>
      <c r="E17" s="15" t="s">
        <v>20</v>
      </c>
      <c r="F17" s="11"/>
      <c r="G17" s="11"/>
    </row>
    <row r="18" spans="2:7" x14ac:dyDescent="0.25">
      <c r="B18" s="16" t="s">
        <v>94</v>
      </c>
      <c r="C18" s="17">
        <f>E18/D18</f>
        <v>528.71148459383755</v>
      </c>
      <c r="D18" s="17">
        <v>714</v>
      </c>
      <c r="E18" s="17">
        <f>'Buget Structura Noua'!E6+'Buget Structura Noua'!E11</f>
        <v>377500</v>
      </c>
      <c r="F18" s="12"/>
      <c r="G18" s="12"/>
    </row>
    <row r="19" spans="2:7" x14ac:dyDescent="0.25">
      <c r="B19" s="18" t="s">
        <v>31</v>
      </c>
      <c r="C19" s="19">
        <f>E19/D19</f>
        <v>149.23578947368421</v>
      </c>
      <c r="D19" s="19">
        <v>950</v>
      </c>
      <c r="E19" s="19">
        <f>'Buget Structura Noua'!E7</f>
        <v>141774</v>
      </c>
      <c r="F19" s="13"/>
      <c r="G19" s="13"/>
    </row>
    <row r="20" spans="2:7" x14ac:dyDescent="0.25">
      <c r="B20" s="18" t="s">
        <v>33</v>
      </c>
      <c r="C20" s="19">
        <f t="shared" ref="C20:C23" si="2">E20/D20</f>
        <v>79.6964705882353</v>
      </c>
      <c r="D20" s="19">
        <v>850</v>
      </c>
      <c r="E20" s="19">
        <f>'Buget Structura Noua'!E22</f>
        <v>67742</v>
      </c>
      <c r="F20" s="13"/>
      <c r="G20" s="13"/>
    </row>
    <row r="21" spans="2:7" x14ac:dyDescent="0.25">
      <c r="B21" s="18" t="s">
        <v>28</v>
      </c>
      <c r="C21" s="19">
        <f t="shared" si="2"/>
        <v>48.387500000000003</v>
      </c>
      <c r="D21" s="19">
        <v>800</v>
      </c>
      <c r="E21" s="19">
        <f>'Buget Structura Noua'!E25</f>
        <v>38710</v>
      </c>
      <c r="F21" s="13"/>
      <c r="G21" s="13"/>
    </row>
    <row r="22" spans="2:7" x14ac:dyDescent="0.25">
      <c r="B22" s="18" t="s">
        <v>29</v>
      </c>
      <c r="C22" s="19">
        <f t="shared" si="2"/>
        <v>14.801176470588235</v>
      </c>
      <c r="D22" s="19">
        <v>850</v>
      </c>
      <c r="E22" s="19">
        <f>'Buget Structura Noua'!D38</f>
        <v>12581</v>
      </c>
      <c r="F22" s="13"/>
      <c r="G22" s="13"/>
    </row>
    <row r="23" spans="2:7" x14ac:dyDescent="0.25">
      <c r="B23" s="18" t="s">
        <v>30</v>
      </c>
      <c r="C23" s="19">
        <f t="shared" si="2"/>
        <v>6.5324999999999998</v>
      </c>
      <c r="D23" s="19">
        <v>800</v>
      </c>
      <c r="E23" s="19">
        <f>'Buget Structura Noua'!D39</f>
        <v>5226</v>
      </c>
      <c r="F23" s="13"/>
      <c r="G23" s="13"/>
    </row>
    <row r="24" spans="2:7" x14ac:dyDescent="0.25">
      <c r="B24" s="70" t="s">
        <v>37</v>
      </c>
      <c r="C24" s="22"/>
      <c r="D24" s="22"/>
      <c r="E24" s="22" t="e">
        <f>#REF!</f>
        <v>#REF!</v>
      </c>
    </row>
    <row r="25" spans="2:7" x14ac:dyDescent="0.25">
      <c r="E25" s="10" t="e">
        <f>SUM(E18:E24)</f>
        <v>#REF!</v>
      </c>
    </row>
    <row r="27" spans="2:7" x14ac:dyDescent="0.25">
      <c r="B27" t="s">
        <v>39</v>
      </c>
      <c r="C27" s="10" t="s">
        <v>41</v>
      </c>
      <c r="D27" s="10" t="s">
        <v>42</v>
      </c>
      <c r="E27" s="10" t="s">
        <v>20</v>
      </c>
    </row>
    <row r="28" spans="2:7" x14ac:dyDescent="0.25">
      <c r="B28" t="s">
        <v>40</v>
      </c>
      <c r="C28" s="10">
        <v>21</v>
      </c>
      <c r="D28" s="10">
        <f>E28/C28</f>
        <v>6207.1428571428569</v>
      </c>
      <c r="E28" s="10">
        <v>130350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Echipamente</vt:lpstr>
      <vt:lpstr>Buget Structura Noua</vt:lpstr>
      <vt:lpstr>Echipamente_pe structura noua</vt:lpstr>
      <vt:lpstr>'Buget Structura Noua'!Print_Area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Ionut Damian</cp:lastModifiedBy>
  <cp:lastPrinted>2015-07-13T16:31:46Z</cp:lastPrinted>
  <dcterms:created xsi:type="dcterms:W3CDTF">2015-03-17T11:13:33Z</dcterms:created>
  <dcterms:modified xsi:type="dcterms:W3CDTF">2016-06-22T11:35:37Z</dcterms:modified>
</cp:coreProperties>
</file>