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lash_000\Dropbox\DIVERSE_SHARE\PROIECTE\POC 1 STARTUP 2015\03. Cloudifier\0. PRECONTRACTARE\Componente Draft\"/>
    </mc:Choice>
  </mc:AlternateContent>
  <bookViews>
    <workbookView xWindow="0" yWindow="0" windowWidth="20490" windowHeight="15360" activeTab="2"/>
  </bookViews>
  <sheets>
    <sheet name="Sheet1" sheetId="1" r:id="rId1"/>
    <sheet name="Echipamente" sheetId="2" r:id="rId2"/>
    <sheet name="Buget Structura Noua" sheetId="3" r:id="rId3"/>
  </sheets>
  <definedNames>
    <definedName name="bookmark29" localSheetId="2">'Buget Structura Noua'!#REF!</definedName>
    <definedName name="_xlnm.Print_Area" localSheetId="0">Sheet1!$A$1:$H$28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3" i="3" l="1"/>
  <c r="W13" i="3"/>
  <c r="W12" i="3"/>
  <c r="V12" i="3"/>
  <c r="Q13" i="3"/>
  <c r="Q12" i="3"/>
  <c r="Q14" i="3"/>
  <c r="Q15" i="3"/>
  <c r="Q17" i="3"/>
  <c r="P13" i="3"/>
  <c r="P12" i="3"/>
  <c r="P14" i="3"/>
  <c r="P15" i="3"/>
  <c r="P17" i="3"/>
  <c r="K4" i="3"/>
  <c r="K5" i="3"/>
  <c r="K3" i="3"/>
  <c r="Q3" i="3"/>
  <c r="Q4" i="3"/>
  <c r="Q5" i="3"/>
  <c r="Q6" i="3"/>
  <c r="E11" i="3"/>
  <c r="P3" i="3"/>
  <c r="P4" i="3"/>
  <c r="P5" i="3"/>
  <c r="P6" i="3"/>
  <c r="E6" i="3"/>
  <c r="E9" i="3"/>
  <c r="E17" i="3"/>
  <c r="E28" i="3"/>
  <c r="E31" i="3"/>
  <c r="E35" i="3"/>
  <c r="H35" i="3"/>
  <c r="H42" i="3"/>
  <c r="J3" i="3"/>
  <c r="E42" i="3"/>
  <c r="I17" i="3"/>
  <c r="I9" i="3"/>
  <c r="E54" i="3"/>
  <c r="E47" i="3"/>
  <c r="E48" i="3"/>
  <c r="F9" i="3"/>
  <c r="F17" i="3"/>
  <c r="F28" i="3"/>
  <c r="F31" i="3"/>
  <c r="F32" i="3"/>
  <c r="E32" i="3"/>
  <c r="D22" i="3"/>
  <c r="D25" i="3"/>
  <c r="D28" i="3"/>
  <c r="D11" i="3"/>
  <c r="D12" i="3"/>
  <c r="D16" i="3"/>
  <c r="D17" i="3"/>
  <c r="D6" i="3"/>
  <c r="D7" i="3"/>
  <c r="D9" i="3"/>
  <c r="F38" i="3"/>
  <c r="F39" i="3"/>
  <c r="F41" i="3"/>
  <c r="F42" i="3"/>
  <c r="D29" i="3"/>
  <c r="D31" i="3"/>
  <c r="D34" i="3"/>
  <c r="D35" i="3"/>
  <c r="D41" i="3"/>
  <c r="D42" i="3"/>
  <c r="H34" i="3"/>
  <c r="H32" i="3"/>
  <c r="H31" i="3"/>
  <c r="D32" i="3"/>
  <c r="H29" i="3"/>
  <c r="H28" i="3"/>
  <c r="H17" i="3"/>
  <c r="H9" i="3"/>
  <c r="H25" i="3"/>
  <c r="H22" i="3"/>
  <c r="H16" i="3"/>
  <c r="H12" i="3"/>
  <c r="H11" i="3"/>
  <c r="H7" i="3"/>
  <c r="H6" i="3"/>
  <c r="D28" i="2"/>
  <c r="E39" i="1"/>
  <c r="E10" i="1"/>
  <c r="E18" i="2"/>
  <c r="E19" i="2"/>
  <c r="E20" i="2"/>
  <c r="E21" i="2"/>
  <c r="E22" i="2"/>
  <c r="E23" i="2"/>
  <c r="E24" i="2"/>
  <c r="E25" i="2"/>
  <c r="E10" i="2"/>
  <c r="E11" i="2"/>
  <c r="E12" i="2"/>
  <c r="E13" i="2"/>
  <c r="E14" i="2"/>
  <c r="C18" i="2"/>
  <c r="F39" i="1"/>
  <c r="G39" i="1"/>
  <c r="C23" i="2"/>
  <c r="C22" i="2"/>
  <c r="C21" i="2"/>
  <c r="C20" i="2"/>
  <c r="C19" i="2"/>
  <c r="G14" i="2"/>
  <c r="G7" i="2"/>
  <c r="G34" i="1"/>
  <c r="D18" i="1"/>
  <c r="D16" i="1"/>
  <c r="D15" i="1"/>
  <c r="D12" i="1"/>
  <c r="D11" i="1"/>
  <c r="D10" i="1"/>
  <c r="D7" i="1"/>
  <c r="D6" i="1"/>
  <c r="P11" i="1"/>
  <c r="P12" i="1"/>
  <c r="P18" i="1"/>
  <c r="E3" i="2"/>
  <c r="E4" i="2"/>
  <c r="E5" i="2"/>
  <c r="E6" i="2"/>
  <c r="E7" i="2"/>
  <c r="E32" i="1"/>
  <c r="E13" i="1"/>
  <c r="H13" i="1"/>
  <c r="E22" i="1"/>
  <c r="D27" i="1"/>
  <c r="F13" i="1"/>
  <c r="F38" i="1"/>
  <c r="H22" i="1"/>
  <c r="H11" i="1"/>
  <c r="H12" i="1"/>
  <c r="H18" i="1"/>
  <c r="F25" i="1"/>
  <c r="F26" i="1"/>
  <c r="F17" i="1"/>
  <c r="H10" i="1"/>
  <c r="F8" i="1"/>
  <c r="F19" i="1"/>
  <c r="F20" i="1"/>
  <c r="D13" i="1"/>
  <c r="F23" i="1"/>
  <c r="F27" i="1"/>
  <c r="F28" i="1"/>
  <c r="M11" i="1"/>
  <c r="H6" i="1"/>
  <c r="P7" i="1"/>
  <c r="H7" i="1"/>
  <c r="L7" i="1"/>
  <c r="E8" i="1"/>
  <c r="H8" i="1"/>
  <c r="D8" i="1"/>
  <c r="P15" i="1"/>
  <c r="H15" i="1"/>
  <c r="D17" i="1"/>
  <c r="D19" i="1"/>
  <c r="D20" i="1"/>
  <c r="E17" i="1"/>
  <c r="E19" i="1"/>
  <c r="E23" i="1"/>
  <c r="H23" i="1"/>
  <c r="H28" i="1"/>
  <c r="H31" i="1"/>
  <c r="E20" i="1"/>
  <c r="H20" i="1"/>
  <c r="D23" i="1"/>
  <c r="D28" i="1"/>
  <c r="J13" i="1"/>
  <c r="E33" i="1"/>
  <c r="H19" i="1"/>
  <c r="E28" i="1"/>
  <c r="J20" i="1"/>
  <c r="J8" i="1"/>
  <c r="H30" i="1"/>
  <c r="J18" i="1"/>
  <c r="J22" i="1"/>
  <c r="J17" i="1"/>
  <c r="M13" i="1"/>
  <c r="H16" i="1"/>
  <c r="H17" i="1"/>
  <c r="P16" i="1"/>
</calcChain>
</file>

<file path=xl/sharedStrings.xml><?xml version="1.0" encoding="utf-8"?>
<sst xmlns="http://schemas.openxmlformats.org/spreadsheetml/2006/main" count="153" uniqueCount="125">
  <si>
    <t>Cod</t>
  </si>
  <si>
    <t>Denumire cheltuială</t>
  </si>
  <si>
    <t>Valoare cheltuială</t>
  </si>
  <si>
    <t>(lei)</t>
  </si>
  <si>
    <t>Valoare eligibilă</t>
  </si>
  <si>
    <t>Valoare neeligibilă</t>
  </si>
  <si>
    <t>Intensitatea intervenţiei publice</t>
  </si>
  <si>
    <t>(%)</t>
  </si>
  <si>
    <t>Valoarea asistenţei  financiare nerambursabile</t>
  </si>
  <si>
    <t>CHELTUIELI ELIGIBILE DIRECTE</t>
  </si>
  <si>
    <t>TOTAL CHELTUIELI ELIGIBILE DIRECTE</t>
  </si>
  <si>
    <t>TOTAL CHELTUIELI ELIGIBILE DIRECTE MINUS ACHIZIȚII DE SERVICII (se va preciza unde este cazul să se completeze)</t>
  </si>
  <si>
    <t>CHELTUIELI ELIGIBILE INDIRECTE (unde este cazul)</t>
  </si>
  <si>
    <t xml:space="preserve">      TOTAL CHELTUIELI ELIGIBILE </t>
  </si>
  <si>
    <t>CHELTUIELI INTEGRAL NEELIGIBILE</t>
  </si>
  <si>
    <t>TOTAL CHELTUIELI NEELIGIBILE</t>
  </si>
  <si>
    <t xml:space="preserve">       TOTAL GENERAL</t>
  </si>
  <si>
    <t>Cheltuieli generale de administrație (de regie)</t>
  </si>
  <si>
    <t>Achizitie servicii consultanta proprietate intelectuala</t>
  </si>
  <si>
    <t>Achizitie servicii studiu de piata</t>
  </si>
  <si>
    <t>Achizitie servicii cercetare si dezvoltare produs/platforma</t>
  </si>
  <si>
    <t>Achizitie echipamente</t>
  </si>
  <si>
    <t>Achizitie servicii management proiect</t>
  </si>
  <si>
    <t>Achizitie servicii auditare financiara si tehnica</t>
  </si>
  <si>
    <t>Max total</t>
  </si>
  <si>
    <t>Rest</t>
  </si>
  <si>
    <t>Luni</t>
  </si>
  <si>
    <t>Echipa</t>
  </si>
  <si>
    <t>Membru/luna</t>
  </si>
  <si>
    <t>Cheltuieli activitati cercetare-dezvoltare</t>
  </si>
  <si>
    <t>Salariu personal cercetare-dezvoltare</t>
  </si>
  <si>
    <t>Cheltuieli pentru introducerea in productie a rezultatelor</t>
  </si>
  <si>
    <t>Salariu personal implementare si lansare in productie produs/platforma</t>
  </si>
  <si>
    <t>Achizitie licente software de baza</t>
  </si>
  <si>
    <t>Achizitie servicii de consultanta in domeniul inovarii</t>
  </si>
  <si>
    <t>Cheltuieli de informare si publicitate</t>
  </si>
  <si>
    <t>Total Cheltuieli activitati cercetare-dezvoltare</t>
  </si>
  <si>
    <t>Total Cheltuieli pentru introducerea in productie a rezultatelor</t>
  </si>
  <si>
    <t>Total Achizitie servicii de consultanta in domeniul inovarii</t>
  </si>
  <si>
    <t>Cercetatori</t>
  </si>
  <si>
    <t>Implementatori</t>
  </si>
  <si>
    <t>Tip Echipamente</t>
  </si>
  <si>
    <t>Buc</t>
  </si>
  <si>
    <t>Server Cloud Experimental</t>
  </si>
  <si>
    <t>Server Stocare Experimente</t>
  </si>
  <si>
    <t>Server Aplicatii Experimentale</t>
  </si>
  <si>
    <t>Pret</t>
  </si>
  <si>
    <t>Total</t>
  </si>
  <si>
    <t>Licente</t>
  </si>
  <si>
    <t>Baza de date</t>
  </si>
  <si>
    <t>Sisteme de operare servere</t>
  </si>
  <si>
    <t>Total Lei</t>
  </si>
  <si>
    <t>Pret Lei</t>
  </si>
  <si>
    <t>Laptop performant cercetare-dezvoltare</t>
  </si>
  <si>
    <t>Nr. Zile effort</t>
  </si>
  <si>
    <t>Studiu de piata</t>
  </si>
  <si>
    <t>Management</t>
  </si>
  <si>
    <t>Audit</t>
  </si>
  <si>
    <t>Servicii externe cercetare-dezvoltare</t>
  </si>
  <si>
    <t>Salarii cercetre dezvoltare implementare</t>
  </si>
  <si>
    <t>Consultanta proprietate intelectuala</t>
  </si>
  <si>
    <t>Buget/zi</t>
  </si>
  <si>
    <t>Licente medii de dezvoltare RAD</t>
  </si>
  <si>
    <t>SO laptop-uri cercetare-dezvoltare</t>
  </si>
  <si>
    <t>Informare publicitate</t>
  </si>
  <si>
    <t>Salarii si servicii</t>
  </si>
  <si>
    <t>Alte cheltuieli</t>
  </si>
  <si>
    <t>Regie</t>
  </si>
  <si>
    <t>Nr. luni</t>
  </si>
  <si>
    <t>Buget/luna</t>
  </si>
  <si>
    <t>Valoare cheltuială (lei)</t>
  </si>
  <si>
    <t>Valoare eligibilă (lei)</t>
  </si>
  <si>
    <t>Valoare neeligibilă (lei)</t>
  </si>
  <si>
    <t>Intensitatea intervenţiei publice (%)</t>
  </si>
  <si>
    <t>Valoarea asistenţei  financiare nerambursabile (lei)</t>
  </si>
  <si>
    <t>3=4+5</t>
  </si>
  <si>
    <t>7=4x6</t>
  </si>
  <si>
    <r>
      <t xml:space="preserve">1.Cheltuieli pentru activităţile de cercetare-dezvoltare (cercetare industriala/ dezvoltare experimentală)- </t>
    </r>
    <r>
      <rPr>
        <b/>
        <u/>
        <sz val="11"/>
        <color theme="1"/>
        <rFont val="Times New Roman"/>
        <family val="1"/>
      </rPr>
      <t>minim 30% din cheltuielile totale eligibile – conditie de eligibilitate</t>
    </r>
  </si>
  <si>
    <t>Cheltuieli de personal (cheltuieli salariale pentru cercetători, tehnicieni şi personal auxiliar în măsura în care aceştia sunt angajaţi în proiectul de cercetare)</t>
  </si>
  <si>
    <r>
      <t>Cheltuieli pentru achiziţia de servicii de cercetare-dezvoltare (cercetare industrială/ dezvoltare experimentală</t>
    </r>
    <r>
      <rPr>
        <b/>
        <sz val="11"/>
        <color theme="1"/>
        <rFont val="Times New Roman"/>
        <family val="1"/>
      </rPr>
      <t>)</t>
    </r>
  </si>
  <si>
    <t>Cheltuieli pentru achiziţia de materii prime şi  materiale, necesare desfăşurării activităţilor de cercetare-dezvoltare</t>
  </si>
  <si>
    <r>
      <t xml:space="preserve">2. </t>
    </r>
    <r>
      <rPr>
        <b/>
        <sz val="11"/>
        <color theme="1"/>
        <rFont val="Times New Roman"/>
        <family val="1"/>
      </rPr>
      <t xml:space="preserve">Cheltuieli pentru introducerea în producţie a rezultatelor cercetării şi realizarea produsului/procesului/tehnologiei/serviciului- </t>
    </r>
    <r>
      <rPr>
        <b/>
        <u/>
        <sz val="11"/>
        <color theme="1"/>
        <rFont val="Times New Roman"/>
        <family val="1"/>
      </rPr>
      <t>minim 40% din cheltuielile totale eligibile- conditie de eligibilitate</t>
    </r>
  </si>
  <si>
    <t>Cheltuieli de personal (cheltuieli salariale pentru  personalul implicat în activităţile de introducere în producţie a rezultatelor cercetarii şi realizarea produsului);</t>
  </si>
  <si>
    <t>Cheltuieli pentru achiziţia de utilaje, instalaţii şi echipamente strict necesare pentru introducerea rezultatelor cercetării în ciclul productiv</t>
  </si>
  <si>
    <t>Cheltuieli pentru achiziţia de materii prime şi  materiale, necesare pentru activităţile de introducere în productie şi realizarea produsului/procesului/tehnologiei/serviciului</t>
  </si>
  <si>
    <t>Cheltuieli pentru achiziţia de active necorporale necesare pentru introducerea rezultatelor cercetării în ciclul productiv</t>
  </si>
  <si>
    <r>
      <t xml:space="preserve"> </t>
    </r>
    <r>
      <rPr>
        <i/>
        <sz val="11"/>
        <color theme="1"/>
        <rFont val="Times New Roman"/>
        <family val="1"/>
      </rPr>
      <t>2.4.1 Aplicatii informatice</t>
    </r>
  </si>
  <si>
    <t xml:space="preserve"> 2.4.2 Licente</t>
  </si>
  <si>
    <r>
      <t xml:space="preserve">3 </t>
    </r>
    <r>
      <rPr>
        <b/>
        <sz val="11"/>
        <color theme="1"/>
        <rFont val="Times New Roman"/>
        <family val="1"/>
      </rPr>
      <t>Cheltuieli pentru servicii de consultanţă în domeniul inovării şi pentru serviciile de sprijinire a inovării</t>
    </r>
  </si>
  <si>
    <t>Cheltuieli pentru servicii de consultanţă în domeniul inovării</t>
  </si>
  <si>
    <t>3.1.1 Asistenţă tehnologică</t>
  </si>
  <si>
    <t>3.1.2 Servicii de transfer de tehnologie</t>
  </si>
  <si>
    <t>3.1.3 Consultanţă în materie de achiziţie, protejare şi comercializare a drepturilor de proprietate intelectuală </t>
  </si>
  <si>
    <t>3.1.4 Servicii de consultanta  referitoare la utilizarea standardelor</t>
  </si>
  <si>
    <t>3.2.1 Servicii de cercetare de piata</t>
  </si>
  <si>
    <t>3.2.2 Servicii în materie de incercari şi testari în laboratoarele de    specialitate;</t>
  </si>
  <si>
    <t>3.2.3 Servicii referitoare la cerificarea, testarea şi marcarea calitatii produselor obtinute în proiect.</t>
  </si>
  <si>
    <r>
      <t>4 .</t>
    </r>
    <r>
      <rPr>
        <b/>
        <sz val="11"/>
        <color theme="1"/>
        <rFont val="Times New Roman"/>
        <family val="1"/>
      </rPr>
      <t>Cheltuieli pentru informare şi publicitate pentru proiect (obligatorii)</t>
    </r>
  </si>
  <si>
    <t xml:space="preserve">TOTAL  CHELTUIELI ELIGIBILE DIRECTE </t>
  </si>
  <si>
    <t>TOTAL  CHELTUIELI ELIGIBILE DIRECTE MINUS ACHIZITIA DE SERVICII</t>
  </si>
  <si>
    <t>CHELTUIELI ELIGIBILE INDIRECTE</t>
  </si>
  <si>
    <t>6.Cheltuieli generale de administraţie (de regie)</t>
  </si>
  <si>
    <t>TOTAL  CHELTUIELI ELIGIBILE</t>
  </si>
  <si>
    <t xml:space="preserve">Taxa pe valoarea adăugată </t>
  </si>
  <si>
    <t>Cheltuieli aferente managementului de proiect  (obligatorii)</t>
  </si>
  <si>
    <t>Cheltuieli aferente auditului final al proiectului (obligatorii)</t>
  </si>
  <si>
    <t>…</t>
  </si>
  <si>
    <t>......................</t>
  </si>
  <si>
    <t>TOTAL GENERAL</t>
  </si>
  <si>
    <r>
      <t xml:space="preserve"> </t>
    </r>
    <r>
      <rPr>
        <sz val="11"/>
        <color theme="1"/>
        <rFont val="Times New Roman"/>
        <family val="1"/>
      </rPr>
      <t>Cheltuieli pentru servicii suport pentru  inovare</t>
    </r>
  </si>
  <si>
    <t xml:space="preserve">5 . Cheltuieli pentru infiinţarea  şi înregistrarea SPIN-OFF-urilor </t>
  </si>
  <si>
    <t>Total Cheltuieli pentru servicii de consultanta in domeniul inovarii si  pentru serviciile de sprijinire a inovării</t>
  </si>
  <si>
    <t>Damian</t>
  </si>
  <si>
    <t>Patricia</t>
  </si>
  <si>
    <t>Expert</t>
  </si>
  <si>
    <t>Cercetare</t>
  </si>
  <si>
    <t>Implementare</t>
  </si>
  <si>
    <t>Total Cerceatre</t>
  </si>
  <si>
    <t>Total Implementare</t>
  </si>
  <si>
    <t>Salariu</t>
  </si>
  <si>
    <t>Zile</t>
  </si>
  <si>
    <t>Brut (EURO)</t>
  </si>
  <si>
    <t>Bulie</t>
  </si>
  <si>
    <t>Brut lei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</si>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</sst>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33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3" fontId="2" fillId="0" borderId="0" xfId="0" applyNumberFormat="1" applyFont="1" applyBorder="1" applyAlignment="1">
      <alignment vertical="center"/>
    </xf>
    <xf numFmtId="0" fontId="0" fillId="0" borderId="0" xfId="0" applyBorder="1"/>
    <xf numFmtId="3" fontId="0" fillId="0" borderId="0" xfId="0" applyNumberFormat="1"/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3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3" fontId="2" fillId="0" borderId="11" xfId="0" applyNumberFormat="1" applyFont="1" applyBorder="1" applyAlignment="1">
      <alignment horizontal="right" vertical="center"/>
    </xf>
    <xf numFmtId="3" fontId="2" fillId="0" borderId="11" xfId="0" applyNumberFormat="1" applyFont="1" applyBorder="1" applyAlignment="1">
      <alignment horizontal="right" vertical="center" wrapText="1"/>
    </xf>
    <xf numFmtId="10" fontId="2" fillId="0" borderId="11" xfId="0" applyNumberFormat="1" applyFont="1" applyBorder="1" applyAlignment="1">
      <alignment vertical="center"/>
    </xf>
    <xf numFmtId="10" fontId="2" fillId="0" borderId="5" xfId="0" applyNumberFormat="1" applyFont="1" applyBorder="1" applyAlignment="1">
      <alignment vertical="center"/>
    </xf>
    <xf numFmtId="3" fontId="2" fillId="5" borderId="11" xfId="0" applyNumberFormat="1" applyFont="1" applyFill="1" applyBorder="1" applyAlignment="1">
      <alignment horizontal="right" vertical="center" wrapText="1"/>
    </xf>
    <xf numFmtId="10" fontId="2" fillId="5" borderId="11" xfId="0" applyNumberFormat="1" applyFont="1" applyFill="1" applyBorder="1" applyAlignment="1">
      <alignment vertical="center"/>
    </xf>
    <xf numFmtId="3" fontId="2" fillId="5" borderId="11" xfId="0" applyNumberFormat="1" applyFont="1" applyFill="1" applyBorder="1" applyAlignment="1">
      <alignment vertical="center"/>
    </xf>
    <xf numFmtId="0" fontId="1" fillId="5" borderId="11" xfId="0" applyFont="1" applyFill="1" applyBorder="1" applyAlignment="1">
      <alignment horizontal="right" vertical="center" wrapText="1"/>
    </xf>
    <xf numFmtId="3" fontId="2" fillId="6" borderId="11" xfId="0" applyNumberFormat="1" applyFont="1" applyFill="1" applyBorder="1" applyAlignment="1">
      <alignment horizontal="right" vertical="center" wrapText="1"/>
    </xf>
    <xf numFmtId="10" fontId="2" fillId="6" borderId="11" xfId="0" applyNumberFormat="1" applyFont="1" applyFill="1" applyBorder="1" applyAlignment="1">
      <alignment vertical="center"/>
    </xf>
    <xf numFmtId="3" fontId="2" fillId="6" borderId="11" xfId="0" applyNumberFormat="1" applyFont="1" applyFill="1" applyBorder="1" applyAlignment="1">
      <alignment vertical="center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/>
    <xf numFmtId="0" fontId="6" fillId="0" borderId="5" xfId="0" applyFont="1" applyBorder="1" applyAlignment="1">
      <alignment vertical="center" wrapText="1"/>
    </xf>
    <xf numFmtId="164" fontId="0" fillId="0" borderId="0" xfId="13" applyNumberFormat="1" applyFont="1"/>
    <xf numFmtId="4" fontId="7" fillId="0" borderId="0" xfId="0" applyNumberFormat="1" applyFont="1"/>
    <xf numFmtId="4" fontId="0" fillId="0" borderId="0" xfId="0" applyNumberFormat="1"/>
    <xf numFmtId="3" fontId="8" fillId="6" borderId="0" xfId="0" applyNumberFormat="1" applyFont="1" applyFill="1"/>
    <xf numFmtId="3" fontId="10" fillId="6" borderId="0" xfId="0" applyNumberFormat="1" applyFont="1" applyFill="1"/>
    <xf numFmtId="3" fontId="0" fillId="6" borderId="0" xfId="0" applyNumberFormat="1" applyFill="1"/>
    <xf numFmtId="0" fontId="9" fillId="0" borderId="12" xfId="0" applyFont="1" applyFill="1" applyBorder="1"/>
    <xf numFmtId="3" fontId="9" fillId="0" borderId="12" xfId="0" applyNumberFormat="1" applyFont="1" applyFill="1" applyBorder="1"/>
    <xf numFmtId="0" fontId="10" fillId="6" borderId="12" xfId="0" applyFont="1" applyFill="1" applyBorder="1"/>
    <xf numFmtId="3" fontId="10" fillId="6" borderId="12" xfId="0" applyNumberFormat="1" applyFont="1" applyFill="1" applyBorder="1"/>
    <xf numFmtId="0" fontId="0" fillId="0" borderId="12" xfId="0" applyBorder="1"/>
    <xf numFmtId="3" fontId="0" fillId="0" borderId="12" xfId="0" applyNumberFormat="1" applyBorder="1"/>
    <xf numFmtId="0" fontId="7" fillId="0" borderId="12" xfId="0" applyFont="1" applyBorder="1"/>
    <xf numFmtId="4" fontId="7" fillId="0" borderId="12" xfId="0" applyNumberFormat="1" applyFont="1" applyBorder="1"/>
    <xf numFmtId="4" fontId="0" fillId="0" borderId="12" xfId="0" applyNumberFormat="1" applyBorder="1"/>
    <xf numFmtId="0" fontId="0" fillId="0" borderId="12" xfId="0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3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12" fillId="0" borderId="5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 wrapText="1"/>
    </xf>
    <xf numFmtId="0" fontId="12" fillId="4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0" fontId="2" fillId="0" borderId="5" xfId="0" applyNumberFormat="1" applyFont="1" applyBorder="1" applyAlignment="1">
      <alignment vertical="center" wrapText="1"/>
    </xf>
    <xf numFmtId="10" fontId="12" fillId="0" borderId="5" xfId="0" applyNumberFormat="1" applyFont="1" applyBorder="1" applyAlignment="1">
      <alignment horizontal="right" vertical="center"/>
    </xf>
    <xf numFmtId="10" fontId="12" fillId="0" borderId="5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12" fillId="0" borderId="5" xfId="0" applyNumberFormat="1" applyFont="1" applyBorder="1" applyAlignment="1">
      <alignment horizontal="right" vertical="center"/>
    </xf>
    <xf numFmtId="3" fontId="12" fillId="0" borderId="14" xfId="0" applyNumberFormat="1" applyFont="1" applyBorder="1" applyAlignment="1">
      <alignment horizontal="right" vertical="center"/>
    </xf>
    <xf numFmtId="3" fontId="2" fillId="0" borderId="11" xfId="0" applyNumberFormat="1" applyFont="1" applyBorder="1" applyAlignment="1">
      <alignment vertical="center" wrapText="1"/>
    </xf>
    <xf numFmtId="3" fontId="12" fillId="0" borderId="5" xfId="0" applyNumberFormat="1" applyFont="1" applyBorder="1" applyAlignment="1">
      <alignment horizontal="right" vertical="center" wrapText="1"/>
    </xf>
    <xf numFmtId="3" fontId="12" fillId="0" borderId="5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3" fontId="2" fillId="3" borderId="5" xfId="0" applyNumberFormat="1" applyFont="1" applyFill="1" applyBorder="1" applyAlignment="1">
      <alignment horizontal="left" vertical="center" wrapText="1" indent="1"/>
    </xf>
    <xf numFmtId="3" fontId="2" fillId="3" borderId="5" xfId="0" applyNumberFormat="1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vertical="center" wrapText="1"/>
    </xf>
    <xf numFmtId="3" fontId="2" fillId="0" borderId="5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vertical="center"/>
    </xf>
    <xf numFmtId="3" fontId="2" fillId="4" borderId="5" xfId="0" applyNumberFormat="1" applyFont="1" applyFill="1" applyBorder="1" applyAlignment="1">
      <alignment vertical="center"/>
    </xf>
    <xf numFmtId="3" fontId="13" fillId="5" borderId="3" xfId="0" applyNumberFormat="1" applyFont="1" applyFill="1" applyBorder="1" applyAlignment="1">
      <alignment horizontal="right" vertical="center"/>
    </xf>
    <xf numFmtId="10" fontId="1" fillId="5" borderId="3" xfId="0" applyNumberFormat="1" applyFont="1" applyFill="1" applyBorder="1" applyAlignment="1">
      <alignment vertical="center" wrapText="1"/>
    </xf>
    <xf numFmtId="3" fontId="13" fillId="5" borderId="5" xfId="0" applyNumberFormat="1" applyFont="1" applyFill="1" applyBorder="1" applyAlignment="1">
      <alignment horizontal="right" vertical="center"/>
    </xf>
    <xf numFmtId="10" fontId="13" fillId="5" borderId="5" xfId="0" applyNumberFormat="1" applyFont="1" applyFill="1" applyBorder="1" applyAlignment="1">
      <alignment horizontal="right" vertical="center" wrapText="1"/>
    </xf>
    <xf numFmtId="10" fontId="1" fillId="5" borderId="5" xfId="0" applyNumberFormat="1" applyFont="1" applyFill="1" applyBorder="1" applyAlignment="1">
      <alignment vertical="center" wrapText="1"/>
    </xf>
    <xf numFmtId="10" fontId="12" fillId="4" borderId="5" xfId="0" applyNumberFormat="1" applyFont="1" applyFill="1" applyBorder="1" applyAlignment="1">
      <alignment horizontal="right" vertical="center" wrapText="1"/>
    </xf>
    <xf numFmtId="0" fontId="1" fillId="5" borderId="11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6" fillId="0" borderId="8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</cellXfs>
  <cellStyles count="1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Q39"/>
  <sheetViews>
    <sheetView topLeftCell="A10" zoomScaleNormal="100" workbookViewId="0">
      <selection activeCell="D32" sqref="D32:E39"/>
    </sheetView>
  </sheetViews>
  <sheetFormatPr defaultColWidth="8.7109375" defaultRowHeight="15" x14ac:dyDescent="0.25"/>
  <cols>
    <col min="3" max="3" width="70.42578125" bestFit="1" customWidth="1"/>
    <col min="4" max="8" width="11.42578125" customWidth="1"/>
    <col min="10" max="10" width="8.7109375" style="32"/>
  </cols>
  <sheetData>
    <row r="1" spans="1:17" ht="71.25" x14ac:dyDescent="0.25">
      <c r="A1" s="105" t="s">
        <v>0</v>
      </c>
      <c r="B1" s="107" t="s">
        <v>1</v>
      </c>
      <c r="C1" s="108"/>
      <c r="D1" s="7" t="s">
        <v>2</v>
      </c>
      <c r="E1" s="7" t="s">
        <v>4</v>
      </c>
      <c r="F1" s="7" t="s">
        <v>5</v>
      </c>
      <c r="G1" s="7" t="s">
        <v>6</v>
      </c>
      <c r="H1" s="7" t="s">
        <v>8</v>
      </c>
    </row>
    <row r="2" spans="1:17" ht="15.75" thickBot="1" x14ac:dyDescent="0.3">
      <c r="A2" s="106"/>
      <c r="B2" s="109"/>
      <c r="C2" s="110"/>
      <c r="D2" s="8" t="s">
        <v>3</v>
      </c>
      <c r="E2" s="8" t="s">
        <v>3</v>
      </c>
      <c r="F2" s="8" t="s">
        <v>3</v>
      </c>
      <c r="G2" s="8" t="s">
        <v>7</v>
      </c>
      <c r="H2" s="8" t="s">
        <v>3</v>
      </c>
    </row>
    <row r="3" spans="1:17" ht="15.75" thickBot="1" x14ac:dyDescent="0.3">
      <c r="A3" s="12">
        <v>1</v>
      </c>
      <c r="B3" s="96">
        <v>2</v>
      </c>
      <c r="C3" s="96"/>
      <c r="D3" s="12">
        <v>3</v>
      </c>
      <c r="E3" s="12">
        <v>4</v>
      </c>
      <c r="F3" s="12">
        <v>5</v>
      </c>
      <c r="G3" s="12">
        <v>6</v>
      </c>
      <c r="H3" s="13">
        <v>7</v>
      </c>
    </row>
    <row r="4" spans="1:17" ht="15.75" thickBot="1" x14ac:dyDescent="0.3">
      <c r="A4" s="111" t="s">
        <v>9</v>
      </c>
      <c r="B4" s="111"/>
      <c r="C4" s="111"/>
      <c r="D4" s="111"/>
      <c r="E4" s="111"/>
      <c r="F4" s="111"/>
      <c r="G4" s="111"/>
      <c r="H4" s="111"/>
    </row>
    <row r="5" spans="1:17" ht="15.75" customHeight="1" thickBot="1" x14ac:dyDescent="0.3">
      <c r="A5" s="14">
        <v>1</v>
      </c>
      <c r="B5" s="99" t="s">
        <v>29</v>
      </c>
      <c r="C5" s="100"/>
      <c r="D5" s="100"/>
      <c r="E5" s="100"/>
      <c r="F5" s="100"/>
      <c r="G5" s="100"/>
      <c r="H5" s="101"/>
    </row>
    <row r="6" spans="1:17" ht="15.75" customHeight="1" thickBot="1" x14ac:dyDescent="0.3">
      <c r="A6" s="95">
        <v>1.1000000000000001</v>
      </c>
      <c r="B6" s="95"/>
      <c r="C6" s="29" t="s">
        <v>30</v>
      </c>
      <c r="D6" s="18">
        <f>E6+F6</f>
        <v>157500</v>
      </c>
      <c r="E6" s="19">
        <v>157500</v>
      </c>
      <c r="F6" s="19">
        <v>0</v>
      </c>
      <c r="G6" s="20">
        <v>0.9</v>
      </c>
      <c r="H6" s="15">
        <f>E6*G6</f>
        <v>141750</v>
      </c>
    </row>
    <row r="7" spans="1:17" ht="15.75" thickBot="1" x14ac:dyDescent="0.3">
      <c r="A7" s="95">
        <v>1.2</v>
      </c>
      <c r="B7" s="95"/>
      <c r="C7" s="29" t="s">
        <v>20</v>
      </c>
      <c r="D7" s="18">
        <f>E7+F7</f>
        <v>146500</v>
      </c>
      <c r="E7" s="19">
        <v>146500</v>
      </c>
      <c r="F7" s="19"/>
      <c r="G7" s="20">
        <v>0.9</v>
      </c>
      <c r="H7" s="15">
        <f t="shared" ref="H7:H19" si="0">E7*G7</f>
        <v>131850</v>
      </c>
      <c r="L7">
        <f>E7/4.5</f>
        <v>32555.555555555555</v>
      </c>
      <c r="P7" s="11">
        <f>D7</f>
        <v>146500</v>
      </c>
      <c r="Q7">
        <v>166470</v>
      </c>
    </row>
    <row r="8" spans="1:17" ht="15.75" thickBot="1" x14ac:dyDescent="0.3">
      <c r="A8" s="120"/>
      <c r="B8" s="121"/>
      <c r="C8" s="25" t="s">
        <v>36</v>
      </c>
      <c r="D8" s="22">
        <f>D6+D7</f>
        <v>304000</v>
      </c>
      <c r="E8" s="22">
        <f>E6+E7</f>
        <v>304000</v>
      </c>
      <c r="F8" s="22">
        <f t="shared" ref="F8" si="1">F6+F7</f>
        <v>0</v>
      </c>
      <c r="G8" s="23">
        <v>0.9</v>
      </c>
      <c r="H8" s="24">
        <f t="shared" si="0"/>
        <v>273600</v>
      </c>
      <c r="J8" s="32">
        <f>E8/E23</f>
        <v>0.30928883914945571</v>
      </c>
    </row>
    <row r="9" spans="1:17" ht="15.75" customHeight="1" thickBot="1" x14ac:dyDescent="0.3">
      <c r="A9" s="16">
        <v>2</v>
      </c>
      <c r="B9" s="122" t="s">
        <v>31</v>
      </c>
      <c r="C9" s="123"/>
      <c r="D9" s="123"/>
      <c r="E9" s="123"/>
      <c r="F9" s="123"/>
      <c r="G9" s="123"/>
      <c r="H9" s="124"/>
    </row>
    <row r="10" spans="1:17" ht="15.75" customHeight="1" thickBot="1" x14ac:dyDescent="0.3">
      <c r="A10" s="95">
        <v>2.1</v>
      </c>
      <c r="B10" s="95"/>
      <c r="C10" s="30" t="s">
        <v>32</v>
      </c>
      <c r="D10" s="18">
        <f t="shared" ref="D10:D12" si="2">E10+F10</f>
        <v>315000</v>
      </c>
      <c r="E10" s="19">
        <f>(E39)*E34*E36</f>
        <v>315000</v>
      </c>
      <c r="F10" s="19">
        <v>0</v>
      </c>
      <c r="G10" s="20">
        <v>0.9</v>
      </c>
      <c r="H10" s="15">
        <f t="shared" si="0"/>
        <v>283500</v>
      </c>
    </row>
    <row r="11" spans="1:17" ht="15.75" customHeight="1" thickBot="1" x14ac:dyDescent="0.3">
      <c r="A11" s="96">
        <v>2.2000000000000002</v>
      </c>
      <c r="B11" s="96"/>
      <c r="C11" s="29" t="s">
        <v>33</v>
      </c>
      <c r="D11" s="18">
        <f t="shared" si="2"/>
        <v>50000</v>
      </c>
      <c r="E11" s="19">
        <v>50000</v>
      </c>
      <c r="F11" s="19"/>
      <c r="G11" s="20">
        <v>0.9</v>
      </c>
      <c r="H11" s="15">
        <f t="shared" si="0"/>
        <v>45000</v>
      </c>
      <c r="M11" s="11">
        <f>E6+E10</f>
        <v>472500</v>
      </c>
      <c r="P11" s="11">
        <f t="shared" ref="P11:P12" si="3">D11</f>
        <v>50000</v>
      </c>
      <c r="Q11">
        <v>50220</v>
      </c>
    </row>
    <row r="12" spans="1:17" ht="15.75" thickBot="1" x14ac:dyDescent="0.3">
      <c r="A12" s="96">
        <v>2.4</v>
      </c>
      <c r="B12" s="96"/>
      <c r="C12" s="29" t="s">
        <v>21</v>
      </c>
      <c r="D12" s="18">
        <f t="shared" si="2"/>
        <v>66000</v>
      </c>
      <c r="E12" s="19">
        <v>66000</v>
      </c>
      <c r="F12" s="19"/>
      <c r="G12" s="20">
        <v>0.9</v>
      </c>
      <c r="H12" s="15">
        <f t="shared" si="0"/>
        <v>59400</v>
      </c>
      <c r="P12" s="11">
        <f t="shared" si="3"/>
        <v>66000</v>
      </c>
      <c r="Q12">
        <v>66960</v>
      </c>
    </row>
    <row r="13" spans="1:17" ht="15.75" thickBot="1" x14ac:dyDescent="0.3">
      <c r="A13" s="97"/>
      <c r="B13" s="98"/>
      <c r="C13" s="25" t="s">
        <v>37</v>
      </c>
      <c r="D13" s="22">
        <f>D10+D11+D12</f>
        <v>431000</v>
      </c>
      <c r="E13" s="22">
        <f>E10+E11+E12</f>
        <v>431000</v>
      </c>
      <c r="F13" s="22">
        <f>F10+F11+F12</f>
        <v>0</v>
      </c>
      <c r="G13" s="23">
        <v>0.9</v>
      </c>
      <c r="H13" s="24">
        <f t="shared" si="0"/>
        <v>387900</v>
      </c>
      <c r="J13" s="32">
        <f>E13/E23</f>
        <v>0.43849832129412963</v>
      </c>
      <c r="M13" s="11">
        <f>D7+D15+D16+D18+D27</f>
        <v>322800</v>
      </c>
    </row>
    <row r="14" spans="1:17" ht="15.75" thickBot="1" x14ac:dyDescent="0.3">
      <c r="A14" s="17">
        <v>3</v>
      </c>
      <c r="B14" s="122" t="s">
        <v>34</v>
      </c>
      <c r="C14" s="123"/>
      <c r="D14" s="123"/>
      <c r="E14" s="123"/>
      <c r="F14" s="123"/>
      <c r="G14" s="123"/>
      <c r="H14" s="124"/>
    </row>
    <row r="15" spans="1:17" ht="15.75" customHeight="1" thickBot="1" x14ac:dyDescent="0.3">
      <c r="A15" s="96">
        <v>3.1</v>
      </c>
      <c r="B15" s="96"/>
      <c r="C15" s="29" t="s">
        <v>18</v>
      </c>
      <c r="D15" s="18">
        <f t="shared" ref="D15:D16" si="4">E15+F15</f>
        <v>85000</v>
      </c>
      <c r="E15" s="19">
        <v>85000</v>
      </c>
      <c r="F15" s="19"/>
      <c r="G15" s="20">
        <v>0.9</v>
      </c>
      <c r="H15" s="15">
        <f t="shared" si="0"/>
        <v>76500</v>
      </c>
      <c r="P15" s="11">
        <f t="shared" ref="P15:P16" si="5">D15</f>
        <v>85000</v>
      </c>
      <c r="Q15">
        <v>108810</v>
      </c>
    </row>
    <row r="16" spans="1:17" ht="15.75" thickBot="1" x14ac:dyDescent="0.3">
      <c r="A16" s="96">
        <v>3.2</v>
      </c>
      <c r="B16" s="96"/>
      <c r="C16" s="29" t="s">
        <v>19</v>
      </c>
      <c r="D16" s="18">
        <f t="shared" si="4"/>
        <v>45000</v>
      </c>
      <c r="E16" s="19">
        <v>45000</v>
      </c>
      <c r="F16" s="19"/>
      <c r="G16" s="20">
        <v>0.9</v>
      </c>
      <c r="H16" s="15">
        <f t="shared" si="0"/>
        <v>40500</v>
      </c>
      <c r="P16" s="11">
        <f t="shared" si="5"/>
        <v>45000</v>
      </c>
      <c r="Q16">
        <v>145080</v>
      </c>
    </row>
    <row r="17" spans="1:17" ht="15.75" thickBot="1" x14ac:dyDescent="0.3">
      <c r="A17" s="97"/>
      <c r="B17" s="98"/>
      <c r="C17" s="25" t="s">
        <v>38</v>
      </c>
      <c r="D17" s="22">
        <f>D15+D16</f>
        <v>130000</v>
      </c>
      <c r="E17" s="22">
        <f>E15+E16</f>
        <v>130000</v>
      </c>
      <c r="F17" s="22">
        <f t="shared" ref="F17" si="6">F15+F16</f>
        <v>0</v>
      </c>
      <c r="G17" s="23">
        <v>0.9</v>
      </c>
      <c r="H17" s="24">
        <f t="shared" si="0"/>
        <v>117000</v>
      </c>
      <c r="J17" s="32">
        <f>E17/E23</f>
        <v>0.13226167463628039</v>
      </c>
    </row>
    <row r="18" spans="1:17" ht="15.75" thickBot="1" x14ac:dyDescent="0.3">
      <c r="A18" s="17">
        <v>4</v>
      </c>
      <c r="B18" s="94" t="s">
        <v>35</v>
      </c>
      <c r="C18" s="94"/>
      <c r="D18" s="18">
        <f t="shared" ref="D18" si="7">E18+F18</f>
        <v>27900</v>
      </c>
      <c r="E18" s="26">
        <v>27900</v>
      </c>
      <c r="F18" s="26"/>
      <c r="G18" s="27">
        <v>0.9</v>
      </c>
      <c r="H18" s="28">
        <f t="shared" si="0"/>
        <v>25110</v>
      </c>
      <c r="J18" s="32">
        <f>E18/E23</f>
        <v>2.8385390171940177E-2</v>
      </c>
      <c r="P18" s="11">
        <f>D18</f>
        <v>27900</v>
      </c>
      <c r="Q18">
        <v>27900</v>
      </c>
    </row>
    <row r="19" spans="1:17" ht="28.5" customHeight="1" thickBot="1" x14ac:dyDescent="0.3">
      <c r="A19" s="112" t="s">
        <v>10</v>
      </c>
      <c r="B19" s="113"/>
      <c r="C19" s="114"/>
      <c r="D19" s="6">
        <f>D8+D13+D17+D18</f>
        <v>892900</v>
      </c>
      <c r="E19" s="6">
        <f>E8+E13+E17+E18</f>
        <v>892900</v>
      </c>
      <c r="F19" s="6">
        <f>F18+F17+F13+F8</f>
        <v>0</v>
      </c>
      <c r="G19" s="21">
        <v>0.9</v>
      </c>
      <c r="H19" s="15">
        <f t="shared" si="0"/>
        <v>803610</v>
      </c>
    </row>
    <row r="20" spans="1:17" ht="37.9" customHeight="1" thickBot="1" x14ac:dyDescent="0.3">
      <c r="A20" s="102" t="s">
        <v>11</v>
      </c>
      <c r="B20" s="103"/>
      <c r="C20" s="104"/>
      <c r="D20" s="6">
        <f>D19-D16-D15-D7</f>
        <v>616400</v>
      </c>
      <c r="E20" s="6">
        <f>E19-E16-E15-E7</f>
        <v>616400</v>
      </c>
      <c r="F20" s="6">
        <f>F19-F16-F15-F7</f>
        <v>0</v>
      </c>
      <c r="G20" s="21">
        <v>0.9</v>
      </c>
      <c r="H20" s="5">
        <f t="shared" ref="H20" si="8">E20*G20</f>
        <v>554760</v>
      </c>
      <c r="J20" s="32">
        <f>E20/E28</f>
        <v>0.62712381727540956</v>
      </c>
    </row>
    <row r="21" spans="1:17" ht="15.75" customHeight="1" thickBot="1" x14ac:dyDescent="0.3">
      <c r="A21" s="115" t="s">
        <v>12</v>
      </c>
      <c r="B21" s="116"/>
      <c r="C21" s="116"/>
      <c r="D21" s="116"/>
      <c r="E21" s="116"/>
      <c r="F21" s="116"/>
      <c r="G21" s="116"/>
      <c r="H21" s="117"/>
    </row>
    <row r="22" spans="1:17" ht="18" customHeight="1" thickBot="1" x14ac:dyDescent="0.3">
      <c r="A22" s="118">
        <v>5</v>
      </c>
      <c r="B22" s="119"/>
      <c r="C22" s="31" t="s">
        <v>17</v>
      </c>
      <c r="D22" s="5">
        <v>90000</v>
      </c>
      <c r="E22" s="5">
        <f>D22</f>
        <v>90000</v>
      </c>
      <c r="F22" s="5">
        <v>0</v>
      </c>
      <c r="G22" s="21">
        <v>0.9</v>
      </c>
      <c r="H22" s="5">
        <f t="shared" ref="H22:H23" si="9">E22*G22</f>
        <v>81000</v>
      </c>
      <c r="J22" s="32">
        <f>E22/E20</f>
        <v>0.14600908500973395</v>
      </c>
    </row>
    <row r="23" spans="1:17" ht="28.5" customHeight="1" thickBot="1" x14ac:dyDescent="0.3">
      <c r="A23" s="102" t="s">
        <v>13</v>
      </c>
      <c r="B23" s="103"/>
      <c r="C23" s="104"/>
      <c r="D23" s="5">
        <f>D22+D19</f>
        <v>982900</v>
      </c>
      <c r="E23" s="5">
        <f>E22+E19</f>
        <v>982900</v>
      </c>
      <c r="F23" s="5">
        <f t="shared" ref="F23" si="10">F22+F19</f>
        <v>0</v>
      </c>
      <c r="G23" s="21">
        <v>0.9</v>
      </c>
      <c r="H23" s="5">
        <f t="shared" si="9"/>
        <v>884610</v>
      </c>
    </row>
    <row r="24" spans="1:17" ht="15.75" thickBot="1" x14ac:dyDescent="0.3">
      <c r="A24" s="102" t="s">
        <v>14</v>
      </c>
      <c r="B24" s="103"/>
      <c r="C24" s="103"/>
      <c r="D24" s="103"/>
      <c r="E24" s="103"/>
      <c r="F24" s="103"/>
      <c r="G24" s="103"/>
      <c r="H24" s="104"/>
    </row>
    <row r="25" spans="1:17" ht="15.75" thickBot="1" x14ac:dyDescent="0.3">
      <c r="A25" s="1">
        <v>6</v>
      </c>
      <c r="B25" s="125" t="s">
        <v>22</v>
      </c>
      <c r="C25" s="126"/>
      <c r="D25" s="5">
        <v>13000</v>
      </c>
      <c r="E25" s="2"/>
      <c r="F25" s="5">
        <f>D25</f>
        <v>13000</v>
      </c>
      <c r="G25" s="3"/>
      <c r="H25" s="4"/>
    </row>
    <row r="26" spans="1:17" ht="15.75" thickBot="1" x14ac:dyDescent="0.3">
      <c r="A26" s="1">
        <v>7</v>
      </c>
      <c r="B26" s="125" t="s">
        <v>23</v>
      </c>
      <c r="C26" s="126"/>
      <c r="D26" s="5">
        <v>5400</v>
      </c>
      <c r="E26" s="2"/>
      <c r="F26" s="5">
        <f>D26</f>
        <v>5400</v>
      </c>
      <c r="G26" s="3"/>
      <c r="H26" s="4"/>
    </row>
    <row r="27" spans="1:17" ht="28.5" customHeight="1" thickBot="1" x14ac:dyDescent="0.3">
      <c r="A27" s="102" t="s">
        <v>15</v>
      </c>
      <c r="B27" s="103"/>
      <c r="C27" s="104"/>
      <c r="D27" s="5">
        <f>D25+D26</f>
        <v>18400</v>
      </c>
      <c r="E27" s="3"/>
      <c r="F27" s="5">
        <f>F25+F26+F23</f>
        <v>18400</v>
      </c>
      <c r="G27" s="3"/>
      <c r="H27" s="4"/>
    </row>
    <row r="28" spans="1:17" ht="15.75" thickBot="1" x14ac:dyDescent="0.3">
      <c r="A28" s="102" t="s">
        <v>16</v>
      </c>
      <c r="B28" s="103"/>
      <c r="C28" s="104"/>
      <c r="D28" s="5">
        <f>D23+D27</f>
        <v>1001300</v>
      </c>
      <c r="E28" s="5">
        <f>E23</f>
        <v>982900</v>
      </c>
      <c r="F28" s="5">
        <f>F27</f>
        <v>18400</v>
      </c>
      <c r="G28" s="3"/>
      <c r="H28" s="5">
        <f>H23</f>
        <v>884610</v>
      </c>
    </row>
    <row r="30" spans="1:17" x14ac:dyDescent="0.25">
      <c r="H30">
        <f>H28/4.5</f>
        <v>196580</v>
      </c>
    </row>
    <row r="31" spans="1:17" x14ac:dyDescent="0.25">
      <c r="H31">
        <f>H28/4.4</f>
        <v>201047.72727272726</v>
      </c>
    </row>
    <row r="32" spans="1:17" x14ac:dyDescent="0.25">
      <c r="D32" t="s">
        <v>24</v>
      </c>
      <c r="E32" s="9">
        <f>220000*4.5</f>
        <v>990000</v>
      </c>
    </row>
    <row r="33" spans="4:7" x14ac:dyDescent="0.25">
      <c r="D33" t="s">
        <v>25</v>
      </c>
      <c r="E33" s="9">
        <f>E32-E23</f>
        <v>7100</v>
      </c>
    </row>
    <row r="34" spans="4:7" x14ac:dyDescent="0.25">
      <c r="D34" t="s">
        <v>26</v>
      </c>
      <c r="E34" s="10">
        <v>21</v>
      </c>
      <c r="G34">
        <f>E35*E34*E36</f>
        <v>472500</v>
      </c>
    </row>
    <row r="35" spans="4:7" x14ac:dyDescent="0.25">
      <c r="D35" t="s">
        <v>27</v>
      </c>
      <c r="E35">
        <v>1.5</v>
      </c>
    </row>
    <row r="36" spans="4:7" x14ac:dyDescent="0.25">
      <c r="D36" t="s">
        <v>28</v>
      </c>
      <c r="E36" s="11">
        <v>15000</v>
      </c>
    </row>
    <row r="38" spans="4:7" x14ac:dyDescent="0.25">
      <c r="D38" t="s">
        <v>39</v>
      </c>
      <c r="E38">
        <v>0.5</v>
      </c>
      <c r="F38">
        <f>E36*E38</f>
        <v>7500</v>
      </c>
    </row>
    <row r="39" spans="4:7" x14ac:dyDescent="0.25">
      <c r="D39" t="s">
        <v>40</v>
      </c>
      <c r="E39">
        <f>E35-E38</f>
        <v>1</v>
      </c>
      <c r="F39">
        <f>E36*E39</f>
        <v>15000</v>
      </c>
      <c r="G39">
        <f>F39/21</f>
        <v>714.28571428571433</v>
      </c>
    </row>
  </sheetData>
  <mergeCells count="28">
    <mergeCell ref="A24:H24"/>
    <mergeCell ref="B25:C25"/>
    <mergeCell ref="B26:C26"/>
    <mergeCell ref="A27:C27"/>
    <mergeCell ref="A28:C28"/>
    <mergeCell ref="B5:H5"/>
    <mergeCell ref="A23:C23"/>
    <mergeCell ref="A1:A2"/>
    <mergeCell ref="B1:C2"/>
    <mergeCell ref="B3:C3"/>
    <mergeCell ref="A4:H4"/>
    <mergeCell ref="A19:C19"/>
    <mergeCell ref="A20:C20"/>
    <mergeCell ref="A21:H21"/>
    <mergeCell ref="A22:B22"/>
    <mergeCell ref="A6:B6"/>
    <mergeCell ref="A12:B12"/>
    <mergeCell ref="A8:B8"/>
    <mergeCell ref="A13:B13"/>
    <mergeCell ref="B9:H9"/>
    <mergeCell ref="B14:H14"/>
    <mergeCell ref="B18:C18"/>
    <mergeCell ref="A7:B7"/>
    <mergeCell ref="A10:B10"/>
    <mergeCell ref="A11:B11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G28"/>
  <sheetViews>
    <sheetView topLeftCell="A10" workbookViewId="0">
      <selection activeCell="E28" activeCellId="3" sqref="E7 E14 E25 E28"/>
    </sheetView>
  </sheetViews>
  <sheetFormatPr defaultColWidth="8.7109375" defaultRowHeight="15" x14ac:dyDescent="0.25"/>
  <cols>
    <col min="2" max="2" width="37.28515625" bestFit="1" customWidth="1"/>
    <col min="3" max="3" width="13.140625" style="34" bestFit="1" customWidth="1"/>
    <col min="4" max="4" width="12.28515625" style="34" customWidth="1"/>
    <col min="5" max="5" width="10.140625" style="34" bestFit="1" customWidth="1"/>
    <col min="6" max="6" width="8.7109375" style="34"/>
    <col min="7" max="7" width="9.140625" style="34" bestFit="1" customWidth="1"/>
  </cols>
  <sheetData>
    <row r="2" spans="2:7" x14ac:dyDescent="0.25">
      <c r="B2" s="44" t="s">
        <v>41</v>
      </c>
      <c r="C2" s="45" t="s">
        <v>42</v>
      </c>
      <c r="D2" s="45" t="s">
        <v>52</v>
      </c>
      <c r="E2" s="45" t="s">
        <v>47</v>
      </c>
      <c r="G2" s="33" t="s">
        <v>51</v>
      </c>
    </row>
    <row r="3" spans="2:7" x14ac:dyDescent="0.25">
      <c r="B3" s="42" t="s">
        <v>53</v>
      </c>
      <c r="C3" s="46">
        <v>3</v>
      </c>
      <c r="D3" s="46">
        <v>6000</v>
      </c>
      <c r="E3" s="46">
        <f>C3*D3</f>
        <v>18000</v>
      </c>
    </row>
    <row r="4" spans="2:7" x14ac:dyDescent="0.25">
      <c r="B4" s="42" t="s">
        <v>43</v>
      </c>
      <c r="C4" s="46">
        <v>1</v>
      </c>
      <c r="D4" s="46">
        <v>19000</v>
      </c>
      <c r="E4" s="46">
        <f t="shared" ref="E4:E6" si="0">C4*D4</f>
        <v>19000</v>
      </c>
    </row>
    <row r="5" spans="2:7" x14ac:dyDescent="0.25">
      <c r="B5" s="42" t="s">
        <v>44</v>
      </c>
      <c r="C5" s="46">
        <v>1</v>
      </c>
      <c r="D5" s="46">
        <v>14500</v>
      </c>
      <c r="E5" s="46">
        <f t="shared" si="0"/>
        <v>14500</v>
      </c>
    </row>
    <row r="6" spans="2:7" x14ac:dyDescent="0.25">
      <c r="B6" s="42" t="s">
        <v>45</v>
      </c>
      <c r="C6" s="46">
        <v>1</v>
      </c>
      <c r="D6" s="46">
        <v>14500</v>
      </c>
      <c r="E6" s="46">
        <f t="shared" si="0"/>
        <v>14500</v>
      </c>
    </row>
    <row r="7" spans="2:7" x14ac:dyDescent="0.25">
      <c r="E7" s="34">
        <f>SUM(E3:E6)</f>
        <v>66000</v>
      </c>
      <c r="G7" s="34">
        <f>Sheet1!E12</f>
        <v>66000</v>
      </c>
    </row>
    <row r="9" spans="2:7" x14ac:dyDescent="0.25">
      <c r="B9" s="44" t="s">
        <v>48</v>
      </c>
      <c r="C9" s="45" t="s">
        <v>42</v>
      </c>
      <c r="D9" s="45" t="s">
        <v>46</v>
      </c>
      <c r="E9" s="45" t="s">
        <v>47</v>
      </c>
    </row>
    <row r="10" spans="2:7" x14ac:dyDescent="0.25">
      <c r="B10" s="47" t="s">
        <v>63</v>
      </c>
      <c r="C10" s="46">
        <v>3</v>
      </c>
      <c r="D10" s="46">
        <v>2200</v>
      </c>
      <c r="E10" s="46">
        <f>C10*D10</f>
        <v>6600</v>
      </c>
    </row>
    <row r="11" spans="2:7" x14ac:dyDescent="0.25">
      <c r="B11" s="42" t="s">
        <v>49</v>
      </c>
      <c r="C11" s="46">
        <v>1</v>
      </c>
      <c r="D11" s="46">
        <v>20000</v>
      </c>
      <c r="E11" s="46">
        <f t="shared" ref="E11:E13" si="1">C11*D11</f>
        <v>20000</v>
      </c>
    </row>
    <row r="12" spans="2:7" x14ac:dyDescent="0.25">
      <c r="B12" s="42" t="s">
        <v>50</v>
      </c>
      <c r="C12" s="46">
        <v>3</v>
      </c>
      <c r="D12" s="46">
        <v>4500</v>
      </c>
      <c r="E12" s="46">
        <f t="shared" si="1"/>
        <v>13500</v>
      </c>
    </row>
    <row r="13" spans="2:7" x14ac:dyDescent="0.25">
      <c r="B13" s="42" t="s">
        <v>62</v>
      </c>
      <c r="C13" s="46">
        <v>3</v>
      </c>
      <c r="D13" s="46">
        <v>3300</v>
      </c>
      <c r="E13" s="46">
        <f t="shared" si="1"/>
        <v>9900</v>
      </c>
    </row>
    <row r="14" spans="2:7" x14ac:dyDescent="0.25">
      <c r="E14" s="34">
        <f>SUM(E10:E13)</f>
        <v>50000</v>
      </c>
      <c r="G14" s="34">
        <f>Sheet1!E11</f>
        <v>50000</v>
      </c>
    </row>
    <row r="17" spans="2:7" x14ac:dyDescent="0.25">
      <c r="B17" s="38" t="s">
        <v>65</v>
      </c>
      <c r="C17" s="39" t="s">
        <v>54</v>
      </c>
      <c r="D17" s="39" t="s">
        <v>61</v>
      </c>
      <c r="E17" s="39" t="s">
        <v>47</v>
      </c>
      <c r="F17" s="35"/>
      <c r="G17" s="35"/>
    </row>
    <row r="18" spans="2:7" x14ac:dyDescent="0.25">
      <c r="B18" s="40" t="s">
        <v>59</v>
      </c>
      <c r="C18" s="41">
        <f>E18/D18</f>
        <v>661.76470588235293</v>
      </c>
      <c r="D18" s="41">
        <v>714</v>
      </c>
      <c r="E18" s="41">
        <f>Sheet1!E6+Sheet1!E10</f>
        <v>472500</v>
      </c>
      <c r="F18" s="36"/>
      <c r="G18" s="36"/>
    </row>
    <row r="19" spans="2:7" x14ac:dyDescent="0.25">
      <c r="B19" s="42" t="s">
        <v>58</v>
      </c>
      <c r="C19" s="43">
        <f>E19/D19</f>
        <v>154.21052631578948</v>
      </c>
      <c r="D19" s="43">
        <v>950</v>
      </c>
      <c r="E19" s="43">
        <f>Sheet1!E7</f>
        <v>146500</v>
      </c>
      <c r="F19" s="37"/>
      <c r="G19" s="37"/>
    </row>
    <row r="20" spans="2:7" x14ac:dyDescent="0.25">
      <c r="B20" s="42" t="s">
        <v>60</v>
      </c>
      <c r="C20" s="43">
        <f t="shared" ref="C20:C23" si="2">E20/D20</f>
        <v>100</v>
      </c>
      <c r="D20" s="43">
        <v>850</v>
      </c>
      <c r="E20" s="43">
        <f>Sheet1!E15</f>
        <v>85000</v>
      </c>
      <c r="F20" s="37"/>
      <c r="G20" s="37"/>
    </row>
    <row r="21" spans="2:7" x14ac:dyDescent="0.25">
      <c r="B21" s="42" t="s">
        <v>55</v>
      </c>
      <c r="C21" s="43">
        <f t="shared" si="2"/>
        <v>56.25</v>
      </c>
      <c r="D21" s="43">
        <v>800</v>
      </c>
      <c r="E21" s="43">
        <f>Sheet1!E16</f>
        <v>45000</v>
      </c>
      <c r="F21" s="37"/>
      <c r="G21" s="37"/>
    </row>
    <row r="22" spans="2:7" x14ac:dyDescent="0.25">
      <c r="B22" s="42" t="s">
        <v>56</v>
      </c>
      <c r="C22" s="43">
        <f t="shared" si="2"/>
        <v>15.294117647058824</v>
      </c>
      <c r="D22" s="43">
        <v>850</v>
      </c>
      <c r="E22" s="43">
        <f>Sheet1!D25</f>
        <v>13000</v>
      </c>
      <c r="F22" s="37"/>
      <c r="G22" s="37"/>
    </row>
    <row r="23" spans="2:7" x14ac:dyDescent="0.25">
      <c r="B23" s="42" t="s">
        <v>57</v>
      </c>
      <c r="C23" s="43">
        <f t="shared" si="2"/>
        <v>6.75</v>
      </c>
      <c r="D23" s="43">
        <v>800</v>
      </c>
      <c r="E23" s="43">
        <f>Sheet1!D26</f>
        <v>5400</v>
      </c>
      <c r="F23" s="37"/>
      <c r="G23" s="37"/>
    </row>
    <row r="24" spans="2:7" x14ac:dyDescent="0.25">
      <c r="B24" s="51" t="s">
        <v>64</v>
      </c>
      <c r="E24" s="34">
        <f>Sheet1!E18</f>
        <v>27900</v>
      </c>
    </row>
    <row r="25" spans="2:7" x14ac:dyDescent="0.25">
      <c r="E25" s="34">
        <f>SUM(E18:E24)</f>
        <v>795300</v>
      </c>
    </row>
    <row r="27" spans="2:7" x14ac:dyDescent="0.25">
      <c r="B27" t="s">
        <v>66</v>
      </c>
      <c r="C27" s="34" t="s">
        <v>68</v>
      </c>
      <c r="D27" s="34" t="s">
        <v>69</v>
      </c>
      <c r="E27" s="34" t="s">
        <v>47</v>
      </c>
    </row>
    <row r="28" spans="2:7" x14ac:dyDescent="0.25">
      <c r="B28" t="s">
        <v>67</v>
      </c>
      <c r="C28" s="34">
        <v>21</v>
      </c>
      <c r="D28" s="34">
        <f>E28/C28</f>
        <v>4285.7142857142853</v>
      </c>
      <c r="E28" s="34">
        <v>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4"/>
  <sheetViews>
    <sheetView tabSelected="1" topLeftCell="D1" zoomScale="80" zoomScaleNormal="80" workbookViewId="0">
      <selection activeCell="D11" sqref="D11"/>
    </sheetView>
  </sheetViews>
  <sheetFormatPr defaultRowHeight="15" x14ac:dyDescent="0.25"/>
  <cols>
    <col min="2" max="2" width="4.85546875" bestFit="1" customWidth="1"/>
    <col min="3" max="3" width="93" style="62" customWidth="1"/>
    <col min="4" max="4" width="9" style="11" bestFit="1" customWidth="1"/>
    <col min="5" max="5" width="8.28515625" style="11" bestFit="1" customWidth="1"/>
    <col min="6" max="6" width="9" bestFit="1" customWidth="1"/>
    <col min="7" max="7" width="10.28515625" bestFit="1" customWidth="1"/>
    <col min="8" max="8" width="10.140625" style="11" bestFit="1" customWidth="1"/>
    <col min="13" max="13" width="10.28515625" bestFit="1" customWidth="1"/>
    <col min="14" max="14" width="15.28515625" bestFit="1" customWidth="1"/>
    <col min="16" max="16" width="16" bestFit="1" customWidth="1"/>
    <col min="17" max="17" width="21" bestFit="1" customWidth="1"/>
    <col min="18" max="18" width="12.28515625" bestFit="1" customWidth="1"/>
  </cols>
  <sheetData>
    <row r="1" spans="2:23" ht="15.75" thickBot="1" x14ac:dyDescent="0.3"/>
    <row r="2" spans="2:23" ht="86.25" thickBot="1" x14ac:dyDescent="0.3">
      <c r="B2" s="52" t="s">
        <v>0</v>
      </c>
      <c r="C2" s="53" t="s">
        <v>1</v>
      </c>
      <c r="D2" s="71" t="s">
        <v>70</v>
      </c>
      <c r="E2" s="71" t="s">
        <v>71</v>
      </c>
      <c r="F2" s="53" t="s">
        <v>72</v>
      </c>
      <c r="G2" s="53" t="s">
        <v>73</v>
      </c>
      <c r="H2" s="71" t="s">
        <v>74</v>
      </c>
      <c r="K2" t="s">
        <v>120</v>
      </c>
      <c r="M2" t="s">
        <v>115</v>
      </c>
      <c r="N2" t="s">
        <v>116</v>
      </c>
      <c r="O2" t="s">
        <v>119</v>
      </c>
      <c r="P2" t="s">
        <v>117</v>
      </c>
      <c r="Q2" t="s">
        <v>118</v>
      </c>
      <c r="R2" t="s">
        <v>121</v>
      </c>
    </row>
    <row r="3" spans="2:23" ht="15.75" thickBot="1" x14ac:dyDescent="0.3">
      <c r="B3" s="54">
        <v>1</v>
      </c>
      <c r="C3" s="55">
        <v>2</v>
      </c>
      <c r="D3" s="72" t="s">
        <v>75</v>
      </c>
      <c r="E3" s="72">
        <v>4</v>
      </c>
      <c r="F3" s="55">
        <v>5</v>
      </c>
      <c r="G3" s="55">
        <v>6</v>
      </c>
      <c r="H3" s="83" t="s">
        <v>76</v>
      </c>
      <c r="J3" s="11">
        <f>840000-H42</f>
        <v>26940</v>
      </c>
      <c r="K3" s="11">
        <f>(M3+N3)*20</f>
        <v>420</v>
      </c>
      <c r="L3" t="s">
        <v>112</v>
      </c>
      <c r="M3">
        <v>7</v>
      </c>
      <c r="N3">
        <v>14</v>
      </c>
      <c r="O3">
        <v>9000</v>
      </c>
      <c r="P3">
        <f>M3*O3</f>
        <v>63000</v>
      </c>
      <c r="Q3">
        <f>N3*O3</f>
        <v>126000</v>
      </c>
      <c r="R3">
        <v>1650</v>
      </c>
    </row>
    <row r="4" spans="2:23" ht="15.75" thickBot="1" x14ac:dyDescent="0.3">
      <c r="B4" s="102" t="s">
        <v>9</v>
      </c>
      <c r="C4" s="103"/>
      <c r="D4" s="103"/>
      <c r="E4" s="103"/>
      <c r="F4" s="103"/>
      <c r="G4" s="103"/>
      <c r="H4" s="104"/>
      <c r="K4" s="11">
        <f t="shared" ref="K4:K5" si="0">(M4+N4)*20</f>
        <v>240</v>
      </c>
      <c r="L4" t="s">
        <v>113</v>
      </c>
      <c r="M4">
        <v>0</v>
      </c>
      <c r="N4">
        <v>12</v>
      </c>
      <c r="O4">
        <v>6500</v>
      </c>
      <c r="P4">
        <f t="shared" ref="P4:P5" si="1">M4*O4</f>
        <v>0</v>
      </c>
      <c r="Q4">
        <f t="shared" ref="Q4:Q5" si="2">N4*O4</f>
        <v>78000</v>
      </c>
      <c r="R4">
        <v>1200</v>
      </c>
    </row>
    <row r="5" spans="2:23" ht="15.75" thickBot="1" x14ac:dyDescent="0.3">
      <c r="B5" s="127" t="s">
        <v>77</v>
      </c>
      <c r="C5" s="128"/>
      <c r="D5" s="5"/>
      <c r="E5" s="6"/>
      <c r="F5" s="56"/>
      <c r="G5" s="56"/>
      <c r="H5" s="5"/>
      <c r="K5" s="11">
        <f t="shared" si="0"/>
        <v>280</v>
      </c>
      <c r="L5" t="s">
        <v>114</v>
      </c>
      <c r="M5">
        <v>7</v>
      </c>
      <c r="N5">
        <v>7</v>
      </c>
      <c r="O5">
        <v>9000</v>
      </c>
      <c r="P5">
        <f t="shared" si="1"/>
        <v>63000</v>
      </c>
      <c r="Q5">
        <f t="shared" si="2"/>
        <v>63000</v>
      </c>
      <c r="R5">
        <v>1650</v>
      </c>
    </row>
    <row r="6" spans="2:23" ht="30.75" thickBot="1" x14ac:dyDescent="0.3">
      <c r="B6" s="58">
        <v>1.1000000000000001</v>
      </c>
      <c r="C6" s="57" t="s">
        <v>78</v>
      </c>
      <c r="D6" s="73">
        <f>E6</f>
        <v>126000</v>
      </c>
      <c r="E6" s="76">
        <f>P6</f>
        <v>126000</v>
      </c>
      <c r="F6" s="63">
        <v>0</v>
      </c>
      <c r="G6" s="69">
        <v>0.9</v>
      </c>
      <c r="H6" s="73">
        <f>E6*G6</f>
        <v>113400</v>
      </c>
      <c r="P6">
        <f>SUM(P3:P5)</f>
        <v>126000</v>
      </c>
      <c r="Q6">
        <f>SUM(Q3:Q5)</f>
        <v>267000</v>
      </c>
    </row>
    <row r="7" spans="2:23" ht="30.75" thickBot="1" x14ac:dyDescent="0.3">
      <c r="B7" s="58">
        <v>1.2</v>
      </c>
      <c r="C7" s="57" t="s">
        <v>79</v>
      </c>
      <c r="D7" s="73">
        <f>E7</f>
        <v>146500</v>
      </c>
      <c r="E7" s="76">
        <v>146500</v>
      </c>
      <c r="F7" s="63">
        <v>0</v>
      </c>
      <c r="G7" s="69">
        <v>0.9</v>
      </c>
      <c r="H7" s="73">
        <f>E7*G7</f>
        <v>131850</v>
      </c>
    </row>
    <row r="8" spans="2:23" ht="30.75" thickBot="1" x14ac:dyDescent="0.3">
      <c r="B8" s="66">
        <v>1.3</v>
      </c>
      <c r="C8" s="66" t="s">
        <v>80</v>
      </c>
      <c r="D8" s="74"/>
      <c r="E8" s="78"/>
      <c r="F8" s="66"/>
      <c r="G8" s="67"/>
      <c r="H8" s="74"/>
    </row>
    <row r="9" spans="2:23" ht="15.75" thickBot="1" x14ac:dyDescent="0.3">
      <c r="B9" s="49"/>
      <c r="C9" s="92" t="s">
        <v>36</v>
      </c>
      <c r="D9" s="86">
        <f>D6+D7</f>
        <v>272500</v>
      </c>
      <c r="E9" s="86">
        <f>E6+E7</f>
        <v>272500</v>
      </c>
      <c r="F9" s="86">
        <f>F6+F7</f>
        <v>0</v>
      </c>
      <c r="G9" s="87">
        <v>0.9</v>
      </c>
      <c r="H9" s="86">
        <f>E9*G9</f>
        <v>245250</v>
      </c>
      <c r="I9">
        <f>E9/E42</f>
        <v>0.3016382554793004</v>
      </c>
    </row>
    <row r="10" spans="2:23" ht="15.75" thickBot="1" x14ac:dyDescent="0.3">
      <c r="B10" s="118" t="s">
        <v>81</v>
      </c>
      <c r="C10" s="119"/>
      <c r="D10" s="75"/>
      <c r="E10" s="79"/>
      <c r="F10" s="50"/>
      <c r="G10" s="50"/>
      <c r="H10" s="84"/>
    </row>
    <row r="11" spans="2:23" ht="30.75" thickBot="1" x14ac:dyDescent="0.3">
      <c r="B11" s="1">
        <v>2.1</v>
      </c>
      <c r="C11" s="57" t="s">
        <v>82</v>
      </c>
      <c r="D11" s="73">
        <f>E11</f>
        <v>267000</v>
      </c>
      <c r="E11" s="76">
        <f>Q6</f>
        <v>267000</v>
      </c>
      <c r="F11" s="64">
        <v>0</v>
      </c>
      <c r="G11" s="70">
        <v>0.9</v>
      </c>
      <c r="H11" s="73">
        <f>E11*G11</f>
        <v>240300</v>
      </c>
      <c r="M11" t="s">
        <v>115</v>
      </c>
      <c r="N11" t="s">
        <v>116</v>
      </c>
      <c r="O11" t="s">
        <v>119</v>
      </c>
      <c r="P11" t="s">
        <v>117</v>
      </c>
      <c r="Q11" t="s">
        <v>118</v>
      </c>
      <c r="T11" t="s">
        <v>123</v>
      </c>
      <c r="U11" t="s">
        <v>124</v>
      </c>
    </row>
    <row r="12" spans="2:23" ht="30.75" thickBot="1" x14ac:dyDescent="0.3">
      <c r="B12" s="1">
        <v>2.2000000000000002</v>
      </c>
      <c r="C12" s="57" t="s">
        <v>83</v>
      </c>
      <c r="D12" s="73">
        <f>E12</f>
        <v>66000</v>
      </c>
      <c r="E12" s="76">
        <v>66000</v>
      </c>
      <c r="F12" s="64">
        <v>0</v>
      </c>
      <c r="G12" s="70">
        <v>0.9</v>
      </c>
      <c r="H12" s="73">
        <f>E12*G12</f>
        <v>59400</v>
      </c>
      <c r="L12" t="s">
        <v>112</v>
      </c>
      <c r="M12">
        <v>6</v>
      </c>
      <c r="N12">
        <v>12</v>
      </c>
      <c r="O12">
        <v>15991</v>
      </c>
      <c r="P12">
        <f>M12*O12</f>
        <v>95946</v>
      </c>
      <c r="Q12">
        <f>N12*O12</f>
        <v>191892</v>
      </c>
      <c r="T12">
        <v>13000</v>
      </c>
      <c r="U12">
        <v>10855</v>
      </c>
      <c r="V12">
        <f>T12/U12</f>
        <v>1.1976047904191616</v>
      </c>
      <c r="W12">
        <f>O12/U12</f>
        <v>1.4731460156609857</v>
      </c>
    </row>
    <row r="13" spans="2:23" ht="30.75" thickBot="1" x14ac:dyDescent="0.3">
      <c r="B13" s="1">
        <v>2.2999999999999998</v>
      </c>
      <c r="C13" s="60" t="s">
        <v>84</v>
      </c>
      <c r="D13" s="6"/>
      <c r="E13" s="6"/>
      <c r="F13" s="57"/>
      <c r="G13" s="68"/>
      <c r="H13" s="5"/>
      <c r="L13" t="s">
        <v>122</v>
      </c>
      <c r="M13">
        <v>7</v>
      </c>
      <c r="N13">
        <v>11</v>
      </c>
      <c r="O13">
        <v>3691</v>
      </c>
      <c r="P13">
        <f t="shared" ref="P13:P14" si="3">M13*O13</f>
        <v>25837</v>
      </c>
      <c r="Q13">
        <f t="shared" ref="Q13:Q14" si="4">N13*O13</f>
        <v>40601</v>
      </c>
      <c r="T13">
        <v>3000</v>
      </c>
      <c r="U13">
        <v>2505</v>
      </c>
      <c r="V13">
        <f>T13/U13</f>
        <v>1.1976047904191616</v>
      </c>
      <c r="W13">
        <f>O13/U13</f>
        <v>1.4734530938123753</v>
      </c>
    </row>
    <row r="14" spans="2:23" ht="30.75" thickBot="1" x14ac:dyDescent="0.3">
      <c r="B14" s="1">
        <v>2.4</v>
      </c>
      <c r="C14" s="57" t="s">
        <v>85</v>
      </c>
      <c r="D14" s="6"/>
      <c r="E14" s="6"/>
      <c r="F14" s="57"/>
      <c r="G14" s="57"/>
      <c r="H14" s="5"/>
      <c r="L14" t="s">
        <v>114</v>
      </c>
      <c r="M14">
        <v>0</v>
      </c>
      <c r="N14">
        <v>0</v>
      </c>
      <c r="O14">
        <v>3000</v>
      </c>
      <c r="P14">
        <f t="shared" si="3"/>
        <v>0</v>
      </c>
      <c r="Q14">
        <f t="shared" si="4"/>
        <v>0</v>
      </c>
    </row>
    <row r="15" spans="2:23" ht="15.75" thickBot="1" x14ac:dyDescent="0.3">
      <c r="B15" s="1"/>
      <c r="C15" s="57" t="s">
        <v>86</v>
      </c>
      <c r="D15" s="73"/>
      <c r="E15" s="6"/>
      <c r="F15" s="57"/>
      <c r="G15" s="68"/>
      <c r="H15" s="73"/>
      <c r="P15">
        <f>SUM(P12:P14)</f>
        <v>121783</v>
      </c>
      <c r="Q15">
        <f>SUM(Q12:Q14)</f>
        <v>232493</v>
      </c>
    </row>
    <row r="16" spans="2:23" ht="15.75" thickBot="1" x14ac:dyDescent="0.3">
      <c r="B16" s="1"/>
      <c r="C16" s="31" t="s">
        <v>87</v>
      </c>
      <c r="D16" s="73">
        <f>E16</f>
        <v>50000</v>
      </c>
      <c r="E16" s="76">
        <v>50000</v>
      </c>
      <c r="F16" s="64">
        <v>0</v>
      </c>
      <c r="G16" s="70">
        <v>0.9</v>
      </c>
      <c r="H16" s="73">
        <f>E16*G16</f>
        <v>45000</v>
      </c>
    </row>
    <row r="17" spans="2:17" ht="15.75" thickBot="1" x14ac:dyDescent="0.3">
      <c r="B17" s="59"/>
      <c r="C17" s="92" t="s">
        <v>37</v>
      </c>
      <c r="D17" s="88">
        <f>D11+D12+D16</f>
        <v>383000</v>
      </c>
      <c r="E17" s="88">
        <f t="shared" ref="E17:F17" si="5">E11+E12+E16</f>
        <v>383000</v>
      </c>
      <c r="F17" s="88">
        <f t="shared" si="5"/>
        <v>0</v>
      </c>
      <c r="G17" s="89">
        <v>0.9</v>
      </c>
      <c r="H17" s="88">
        <f>E17*G17</f>
        <v>344700</v>
      </c>
      <c r="I17">
        <f>E17/E42</f>
        <v>0.42395395173787914</v>
      </c>
      <c r="P17">
        <f>P15-P6</f>
        <v>-4217</v>
      </c>
      <c r="Q17">
        <f>Q15-Q6</f>
        <v>-34507</v>
      </c>
    </row>
    <row r="18" spans="2:17" ht="15.75" thickBot="1" x14ac:dyDescent="0.3">
      <c r="B18" s="118" t="s">
        <v>88</v>
      </c>
      <c r="C18" s="119"/>
      <c r="D18" s="6"/>
      <c r="E18" s="6"/>
      <c r="F18" s="57"/>
      <c r="G18" s="57"/>
      <c r="H18" s="5"/>
    </row>
    <row r="19" spans="2:17" ht="15.75" thickBot="1" x14ac:dyDescent="0.3">
      <c r="B19" s="1">
        <v>3.1</v>
      </c>
      <c r="C19" s="57" t="s">
        <v>89</v>
      </c>
      <c r="D19" s="6"/>
      <c r="E19" s="6"/>
      <c r="F19" s="57"/>
      <c r="G19" s="57"/>
      <c r="H19" s="5"/>
    </row>
    <row r="20" spans="2:17" ht="15.75" thickBot="1" x14ac:dyDescent="0.3">
      <c r="B20" s="1"/>
      <c r="C20" s="31" t="s">
        <v>90</v>
      </c>
      <c r="D20" s="73"/>
      <c r="E20" s="6"/>
      <c r="F20" s="57"/>
      <c r="G20" s="68"/>
      <c r="H20" s="73"/>
    </row>
    <row r="21" spans="2:17" ht="15.75" thickBot="1" x14ac:dyDescent="0.3">
      <c r="B21" s="1"/>
      <c r="C21" s="31" t="s">
        <v>91</v>
      </c>
      <c r="D21" s="73"/>
      <c r="E21" s="6"/>
      <c r="F21" s="57"/>
      <c r="G21" s="68"/>
      <c r="H21" s="73"/>
    </row>
    <row r="22" spans="2:17" ht="30.75" thickBot="1" x14ac:dyDescent="0.3">
      <c r="B22" s="1"/>
      <c r="C22" s="31" t="s">
        <v>92</v>
      </c>
      <c r="D22" s="73">
        <f>E22</f>
        <v>85000</v>
      </c>
      <c r="E22" s="76">
        <v>85000</v>
      </c>
      <c r="F22" s="64">
        <v>0</v>
      </c>
      <c r="G22" s="70">
        <v>0.9</v>
      </c>
      <c r="H22" s="73">
        <f>E22*G22</f>
        <v>76500</v>
      </c>
    </row>
    <row r="23" spans="2:17" ht="15.75" thickBot="1" x14ac:dyDescent="0.3">
      <c r="B23" s="1"/>
      <c r="C23" s="31" t="s">
        <v>93</v>
      </c>
      <c r="D23" s="73"/>
      <c r="E23" s="6"/>
      <c r="F23" s="57"/>
      <c r="G23" s="68"/>
      <c r="H23" s="73"/>
    </row>
    <row r="24" spans="2:17" ht="15.75" thickBot="1" x14ac:dyDescent="0.3">
      <c r="B24" s="1">
        <v>3.2</v>
      </c>
      <c r="C24" s="48" t="s">
        <v>109</v>
      </c>
      <c r="D24" s="6"/>
      <c r="E24" s="6"/>
      <c r="F24" s="57"/>
      <c r="G24" s="57"/>
      <c r="H24" s="5"/>
    </row>
    <row r="25" spans="2:17" ht="15.75" thickBot="1" x14ac:dyDescent="0.3">
      <c r="B25" s="1"/>
      <c r="C25" s="31" t="s">
        <v>94</v>
      </c>
      <c r="D25" s="73">
        <f>E25</f>
        <v>45000</v>
      </c>
      <c r="E25" s="76">
        <v>45000</v>
      </c>
      <c r="F25" s="64">
        <v>0</v>
      </c>
      <c r="G25" s="70">
        <v>0.9</v>
      </c>
      <c r="H25" s="73">
        <f>E25*G25</f>
        <v>40500</v>
      </c>
    </row>
    <row r="26" spans="2:17" ht="15.75" thickBot="1" x14ac:dyDescent="0.3">
      <c r="B26" s="1"/>
      <c r="C26" s="31" t="s">
        <v>95</v>
      </c>
      <c r="D26" s="73"/>
      <c r="E26" s="6"/>
      <c r="F26" s="57"/>
      <c r="G26" s="68"/>
      <c r="H26" s="73"/>
    </row>
    <row r="27" spans="2:17" ht="30.75" thickBot="1" x14ac:dyDescent="0.3">
      <c r="B27" s="1"/>
      <c r="C27" s="31" t="s">
        <v>96</v>
      </c>
      <c r="D27" s="73"/>
      <c r="E27" s="6"/>
      <c r="F27" s="57"/>
      <c r="G27" s="68"/>
      <c r="H27" s="73"/>
    </row>
    <row r="28" spans="2:17" ht="29.25" thickBot="1" x14ac:dyDescent="0.3">
      <c r="B28" s="59"/>
      <c r="C28" s="93" t="s">
        <v>111</v>
      </c>
      <c r="D28" s="88">
        <f>D22+D25</f>
        <v>130000</v>
      </c>
      <c r="E28" s="88">
        <f t="shared" ref="E28:F28" si="6">E22+E25</f>
        <v>130000</v>
      </c>
      <c r="F28" s="88">
        <f t="shared" si="6"/>
        <v>0</v>
      </c>
      <c r="G28" s="90">
        <v>0.9</v>
      </c>
      <c r="H28" s="88">
        <f>E28*G28</f>
        <v>117000</v>
      </c>
    </row>
    <row r="29" spans="2:17" ht="15.75" thickBot="1" x14ac:dyDescent="0.3">
      <c r="B29" s="118" t="s">
        <v>97</v>
      </c>
      <c r="C29" s="119"/>
      <c r="D29" s="76">
        <f>E29</f>
        <v>27900</v>
      </c>
      <c r="E29" s="76">
        <v>27900</v>
      </c>
      <c r="F29" s="64">
        <v>0</v>
      </c>
      <c r="G29" s="70">
        <v>0.9</v>
      </c>
      <c r="H29" s="73">
        <f>E29*G29</f>
        <v>25110</v>
      </c>
    </row>
    <row r="30" spans="2:17" ht="15.75" thickBot="1" x14ac:dyDescent="0.3">
      <c r="B30" s="102" t="s">
        <v>110</v>
      </c>
      <c r="C30" s="104"/>
      <c r="D30" s="6"/>
      <c r="E30" s="6"/>
      <c r="F30" s="57"/>
      <c r="G30" s="57"/>
      <c r="H30" s="5"/>
    </row>
    <row r="31" spans="2:17" ht="15.75" thickBot="1" x14ac:dyDescent="0.3">
      <c r="B31" s="102" t="s">
        <v>98</v>
      </c>
      <c r="C31" s="104"/>
      <c r="D31" s="76">
        <f>D9+D17+D28+D29</f>
        <v>813400</v>
      </c>
      <c r="E31" s="76">
        <f>E9+E17+E28+E29</f>
        <v>813400</v>
      </c>
      <c r="F31" s="76">
        <f>F9+F17+F28+F29</f>
        <v>0</v>
      </c>
      <c r="G31" s="91">
        <v>0.9</v>
      </c>
      <c r="H31" s="73">
        <f>E31*G31</f>
        <v>732060</v>
      </c>
    </row>
    <row r="32" spans="2:17" ht="15.75" thickBot="1" x14ac:dyDescent="0.3">
      <c r="B32" s="102" t="s">
        <v>99</v>
      </c>
      <c r="C32" s="104"/>
      <c r="D32" s="76">
        <f>D31-D25-D22-D7</f>
        <v>536900</v>
      </c>
      <c r="E32" s="76">
        <f>E31-E25-E22-E7</f>
        <v>536900</v>
      </c>
      <c r="F32" s="76">
        <f>F31-F25-F22-F7</f>
        <v>0</v>
      </c>
      <c r="G32" s="91">
        <v>0.9</v>
      </c>
      <c r="H32" s="73">
        <f>E32*G32</f>
        <v>483210</v>
      </c>
    </row>
    <row r="33" spans="2:8" ht="15.75" thickBot="1" x14ac:dyDescent="0.3">
      <c r="B33" s="102" t="s">
        <v>100</v>
      </c>
      <c r="C33" s="104"/>
      <c r="D33" s="6"/>
      <c r="E33" s="6"/>
      <c r="F33" s="57"/>
      <c r="G33" s="3"/>
      <c r="H33" s="5"/>
    </row>
    <row r="34" spans="2:8" ht="15.75" thickBot="1" x14ac:dyDescent="0.3">
      <c r="B34" s="131" t="s">
        <v>101</v>
      </c>
      <c r="C34" s="132"/>
      <c r="D34" s="76">
        <f>E34</f>
        <v>90000</v>
      </c>
      <c r="E34" s="76">
        <v>90000</v>
      </c>
      <c r="F34" s="64">
        <v>0</v>
      </c>
      <c r="G34" s="91">
        <v>0.9</v>
      </c>
      <c r="H34" s="73">
        <f>E34*G34</f>
        <v>81000</v>
      </c>
    </row>
    <row r="35" spans="2:8" ht="15.75" thickBot="1" x14ac:dyDescent="0.3">
      <c r="B35" s="115" t="s">
        <v>102</v>
      </c>
      <c r="C35" s="117"/>
      <c r="D35" s="76">
        <f>D31+D34</f>
        <v>903400</v>
      </c>
      <c r="E35" s="76">
        <f>E31+E34</f>
        <v>903400</v>
      </c>
      <c r="F35" s="64">
        <v>0</v>
      </c>
      <c r="G35" s="91">
        <v>0.9</v>
      </c>
      <c r="H35" s="73">
        <f>E35*G35</f>
        <v>813060</v>
      </c>
    </row>
    <row r="36" spans="2:8" ht="15.75" thickBot="1" x14ac:dyDescent="0.3">
      <c r="B36" s="102" t="s">
        <v>14</v>
      </c>
      <c r="C36" s="103"/>
      <c r="D36" s="103"/>
      <c r="E36" s="103"/>
      <c r="F36" s="103"/>
      <c r="G36" s="103"/>
      <c r="H36" s="104"/>
    </row>
    <row r="37" spans="2:8" ht="15.75" thickBot="1" x14ac:dyDescent="0.3">
      <c r="B37" s="1">
        <v>1</v>
      </c>
      <c r="C37" s="57" t="s">
        <v>103</v>
      </c>
      <c r="D37" s="6"/>
      <c r="E37" s="80"/>
      <c r="F37" s="61"/>
      <c r="G37" s="3"/>
      <c r="H37" s="85"/>
    </row>
    <row r="38" spans="2:8" ht="15.75" thickBot="1" x14ac:dyDescent="0.3">
      <c r="B38" s="1">
        <v>2</v>
      </c>
      <c r="C38" s="57" t="s">
        <v>104</v>
      </c>
      <c r="D38" s="6">
        <v>13000</v>
      </c>
      <c r="E38" s="81"/>
      <c r="F38" s="6">
        <f>D38</f>
        <v>13000</v>
      </c>
      <c r="G38" s="3"/>
      <c r="H38" s="85"/>
    </row>
    <row r="39" spans="2:8" ht="15.75" thickBot="1" x14ac:dyDescent="0.3">
      <c r="B39" s="1">
        <v>3</v>
      </c>
      <c r="C39" s="57" t="s">
        <v>105</v>
      </c>
      <c r="D39" s="6">
        <v>5400</v>
      </c>
      <c r="E39" s="81"/>
      <c r="F39" s="6">
        <f>D39</f>
        <v>5400</v>
      </c>
      <c r="G39" s="3"/>
      <c r="H39" s="85"/>
    </row>
    <row r="40" spans="2:8" ht="15.75" thickBot="1" x14ac:dyDescent="0.3">
      <c r="B40" s="1" t="s">
        <v>106</v>
      </c>
      <c r="C40" s="57" t="s">
        <v>107</v>
      </c>
      <c r="D40" s="6"/>
      <c r="E40" s="81"/>
      <c r="F40" s="57"/>
      <c r="G40" s="3"/>
      <c r="H40" s="85"/>
    </row>
    <row r="41" spans="2:8" ht="15.75" thickBot="1" x14ac:dyDescent="0.3">
      <c r="B41" s="102" t="s">
        <v>15</v>
      </c>
      <c r="C41" s="104"/>
      <c r="D41" s="77">
        <f>D38+D39</f>
        <v>18400</v>
      </c>
      <c r="E41" s="82"/>
      <c r="F41" s="77">
        <f>F38+F39</f>
        <v>18400</v>
      </c>
      <c r="G41" s="3"/>
      <c r="H41" s="85"/>
    </row>
    <row r="42" spans="2:8" ht="15.75" thickBot="1" x14ac:dyDescent="0.3">
      <c r="B42" s="129" t="s">
        <v>108</v>
      </c>
      <c r="C42" s="130"/>
      <c r="D42" s="76">
        <f>D35+D41</f>
        <v>921800</v>
      </c>
      <c r="E42" s="76">
        <f>E35</f>
        <v>903400</v>
      </c>
      <c r="F42" s="76">
        <f>F41</f>
        <v>18400</v>
      </c>
      <c r="G42" s="65"/>
      <c r="H42" s="76">
        <f>H35</f>
        <v>813060</v>
      </c>
    </row>
    <row r="47" spans="2:8" x14ac:dyDescent="0.25">
      <c r="D47" t="s">
        <v>24</v>
      </c>
      <c r="E47" s="9">
        <f>220000*4.5</f>
        <v>990000</v>
      </c>
    </row>
    <row r="48" spans="2:8" x14ac:dyDescent="0.25">
      <c r="D48" t="s">
        <v>25</v>
      </c>
      <c r="E48" s="9">
        <f>E47-E38</f>
        <v>990000</v>
      </c>
    </row>
    <row r="49" spans="4:5" x14ac:dyDescent="0.25">
      <c r="D49" t="s">
        <v>26</v>
      </c>
      <c r="E49" s="10">
        <v>21</v>
      </c>
    </row>
    <row r="50" spans="4:5" x14ac:dyDescent="0.25">
      <c r="D50" t="s">
        <v>27</v>
      </c>
      <c r="E50">
        <v>1.5</v>
      </c>
    </row>
    <row r="51" spans="4:5" x14ac:dyDescent="0.25">
      <c r="D51" t="s">
        <v>28</v>
      </c>
      <c r="E51" s="11">
        <v>15000</v>
      </c>
    </row>
    <row r="52" spans="4:5" x14ac:dyDescent="0.25">
      <c r="D52"/>
      <c r="E52"/>
    </row>
    <row r="53" spans="4:5" x14ac:dyDescent="0.25">
      <c r="D53" t="s">
        <v>39</v>
      </c>
      <c r="E53">
        <v>0.5</v>
      </c>
    </row>
    <row r="54" spans="4:5" x14ac:dyDescent="0.25">
      <c r="D54" t="s">
        <v>40</v>
      </c>
      <c r="E54">
        <f>E50-E53</f>
        <v>1</v>
      </c>
    </row>
  </sheetData>
  <mergeCells count="14">
    <mergeCell ref="B4:H4"/>
    <mergeCell ref="B5:C5"/>
    <mergeCell ref="B42:C42"/>
    <mergeCell ref="B10:C10"/>
    <mergeCell ref="B18:C18"/>
    <mergeCell ref="B29:C29"/>
    <mergeCell ref="B30:C30"/>
    <mergeCell ref="B31:C31"/>
    <mergeCell ref="B32:C32"/>
    <mergeCell ref="B33:C33"/>
    <mergeCell ref="B34:C34"/>
    <mergeCell ref="B35:C35"/>
    <mergeCell ref="B36:H36"/>
    <mergeCell ref="B41:C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Echipamente</vt:lpstr>
      <vt:lpstr>Buget Structura Noua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</dc:creator>
  <cp:lastModifiedBy>Ionut Damian</cp:lastModifiedBy>
  <cp:lastPrinted>2015-06-23T08:15:35Z</cp:lastPrinted>
  <dcterms:created xsi:type="dcterms:W3CDTF">2015-03-17T11:13:33Z</dcterms:created>
  <dcterms:modified xsi:type="dcterms:W3CDTF">2016-09-27T15:31:16Z</dcterms:modified>
</cp:coreProperties>
</file>