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Z:\---Cmjstealth Archive--\Hobbies\Inventing\_Projects\Subsurface-Current-Sensor\"/>
    </mc:Choice>
  </mc:AlternateContent>
  <xr:revisionPtr revIDLastSave="0" documentId="13_ncr:1_{75D61E15-1809-45E1-928E-F6CE602D59AA}" xr6:coauthVersionLast="47" xr6:coauthVersionMax="47" xr10:uidLastSave="{00000000-0000-0000-0000-000000000000}"/>
  <bookViews>
    <workbookView xWindow="-28920" yWindow="9210" windowWidth="29040" windowHeight="15840" xr2:uid="{898BB856-4853-4B09-ABD4-09F5205D797B}"/>
  </bookViews>
  <sheets>
    <sheet name="Materials" sheetId="1" r:id="rId1"/>
    <sheet name="Boyancy" sheetId="2" r:id="rId2"/>
    <sheet name="Time Log" sheetId="3" state="hidden"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 i="3" l="1"/>
  <c r="E9" i="3"/>
  <c r="E4" i="3"/>
  <c r="E5" i="3"/>
  <c r="E6" i="3"/>
  <c r="E7" i="3"/>
  <c r="E8" i="3"/>
  <c r="E10" i="3"/>
  <c r="E11" i="3"/>
  <c r="E12" i="3"/>
  <c r="E13" i="3"/>
  <c r="E14" i="3"/>
  <c r="E15" i="3"/>
  <c r="E16" i="3"/>
  <c r="E17" i="3"/>
  <c r="E18" i="3"/>
  <c r="E19" i="3"/>
  <c r="E20" i="3"/>
  <c r="C13" i="1"/>
  <c r="C11" i="1"/>
  <c r="C18" i="1"/>
  <c r="C16" i="1"/>
  <c r="C27" i="1"/>
  <c r="B20" i="2"/>
  <c r="B19" i="2"/>
  <c r="B5" i="2"/>
  <c r="B4" i="2"/>
  <c r="B17" i="2"/>
  <c r="B16" i="2"/>
  <c r="B3" i="2"/>
  <c r="C17" i="1"/>
  <c r="B21" i="2" l="1"/>
  <c r="B6" i="2"/>
  <c r="B8" i="2"/>
  <c r="B7" i="2"/>
  <c r="D40" i="1"/>
  <c r="C9" i="1"/>
  <c r="C8" i="1"/>
  <c r="C31" i="1"/>
  <c r="C40" i="1"/>
  <c r="B22" i="2" l="1"/>
  <c r="C22" i="1"/>
  <c r="C23" i="1" s="1"/>
</calcChain>
</file>

<file path=xl/sharedStrings.xml><?xml version="1.0" encoding="utf-8"?>
<sst xmlns="http://schemas.openxmlformats.org/spreadsheetml/2006/main" count="133" uniqueCount="123">
  <si>
    <t>Micro SD Storage module</t>
  </si>
  <si>
    <t>Price</t>
  </si>
  <si>
    <t>GY-273 HMC5883L Triple Axis Compass Magnetometer Sensor Module</t>
  </si>
  <si>
    <t>Component</t>
  </si>
  <si>
    <t>DC-DC Buck Step-down Voltage regulator</t>
  </si>
  <si>
    <t>https://www.ebay.com/itm/113831704809</t>
  </si>
  <si>
    <t>https://www.ebay.com/itm/195942487206</t>
  </si>
  <si>
    <t>https://www.ebay.com/itm/285436222391</t>
  </si>
  <si>
    <t>Example link</t>
  </si>
  <si>
    <t>PCF8563T IIC Real Time Clock Module</t>
  </si>
  <si>
    <t>https://www.ebay.com/itm/334893472046</t>
  </si>
  <si>
    <t>TS-300B Turbidity Sensor</t>
  </si>
  <si>
    <t>https://www.ebay.com/itm/315042911124</t>
  </si>
  <si>
    <t>SIM800L GPRS GSM Phone Module</t>
  </si>
  <si>
    <t>https://www.ebay.com/itm/312693114822</t>
  </si>
  <si>
    <t>Notes</t>
  </si>
  <si>
    <t>Low power processor</t>
  </si>
  <si>
    <t>Needed to save data to a sd card</t>
  </si>
  <si>
    <t>Might need to experiment to find a voltage regulator that has a low power draw for standby operation</t>
  </si>
  <si>
    <t>https://www.ebay.com/itm/324736594273</t>
  </si>
  <si>
    <t>Single sided copper pcb board</t>
  </si>
  <si>
    <t>https://www.ebay.com/itm/166452012477</t>
  </si>
  <si>
    <t>Est cost each… would likely CNC multiple boards at once from a single large sheet</t>
  </si>
  <si>
    <t>Just a ballpark cost estimate for now</t>
  </si>
  <si>
    <t>DC-DC boost converter (for charging SLA)</t>
  </si>
  <si>
    <t>Small DC motor for water flow sensing and battery charging</t>
  </si>
  <si>
    <t>https://www.ebay.com/itm/324283294821</t>
  </si>
  <si>
    <t>Total</t>
  </si>
  <si>
    <t>Tax</t>
  </si>
  <si>
    <t>https://www.amazon.com/Replacement-Battery-Compatible-SLA0905-SLA090-4/dp/B0757MDCN2</t>
  </si>
  <si>
    <t>Magnets and bearings for building a magnetically coupled shaft</t>
  </si>
  <si>
    <t>?</t>
  </si>
  <si>
    <t>If mounted on a surface buoy would allow real time transmission of data and monitoring of hardware issues</t>
  </si>
  <si>
    <t>Would need anti-biofouling device. Not sure if useful proxy for photosynthetically active light levels?</t>
  </si>
  <si>
    <t>If charging from tidal current driven motor</t>
  </si>
  <si>
    <t>https://www.ebay.com/itm/266531052031</t>
  </si>
  <si>
    <t>DS18B20 Digital Temperature Sensor</t>
  </si>
  <si>
    <t>Accurate within 0.5 degree C. Low power. Pre-calibrated.</t>
  </si>
  <si>
    <t>ADXL362 3-Axis Digital Accelerometer Sensor</t>
  </si>
  <si>
    <t>https://www.ebay.com/itm/354987332435</t>
  </si>
  <si>
    <t>Components for alternate deisgns</t>
  </si>
  <si>
    <t>To determine magnetic direction of tidal current</t>
  </si>
  <si>
    <t>Stainless electrode, transistor, and step up boost converter for measuring conductivity??? (salinity)</t>
  </si>
  <si>
    <t>The microprocessor can easily measure voltage drop across known distance of water. Is this accurate enough to detect typical seawater salinity changes? Curious how long before the electrodes foul from ion buildup</t>
  </si>
  <si>
    <t>Ph Sensor</t>
  </si>
  <si>
    <t>Every cheap sensor I've tried falls out of calibration almost immediately</t>
  </si>
  <si>
    <t>DIY Laser-induced floresence spectroscopy sensor?</t>
  </si>
  <si>
    <t>Maybe a fantasy, but cheap DIY approaches for this technique exist that could be done with higher power microprocessors and cheap camera sensors and uv diode lasers. Wonder if technique could be adapted to estimate chlorophyll or detect certain pollutants</t>
  </si>
  <si>
    <t>O ring options</t>
  </si>
  <si>
    <t>5 PCS Nitrile Rubber O-Rings Black 100mm OD 3.1mm Width</t>
  </si>
  <si>
    <t>Nitrile Rubber O-Rings 110mm OD 102mm ID 4mm Widthpack of 10</t>
  </si>
  <si>
    <t>Nitrile Rubber O-Rings 100mm OD 92mm ID 4mm Width (5 pack)</t>
  </si>
  <si>
    <t>UB645 6V 4aH Sealed lead acid rechargable battery</t>
  </si>
  <si>
    <t>Small 16GB Micro SD Card</t>
  </si>
  <si>
    <t>for tilt sensor design</t>
  </si>
  <si>
    <t>GL5516 Photoresistor for ballpark light level estimation?</t>
  </si>
  <si>
    <t>MCP9808 high Accuracy I2C Temperature Sensor</t>
  </si>
  <si>
    <t>±0.25°C/0.0625°C</t>
  </si>
  <si>
    <t>Untested idea. Unclear how quickly it would foul</t>
  </si>
  <si>
    <t>Electrodes &amp; simple circut for conductivity measurement (salinity estimation)</t>
  </si>
  <si>
    <t>Designed for washing machines but curious if it could be adapated to measure light attenuation in salt water</t>
  </si>
  <si>
    <t>https://www.ebay.com/itm/276240809847 or https://www.aliexpress.us/item/3256805752894500.html</t>
  </si>
  <si>
    <t>https://www.aliexpress.us/item/3256801512027885.html</t>
  </si>
  <si>
    <t>TDS Sensor Water Conductivity Sensor for Arduino</t>
  </si>
  <si>
    <t>3.3~5.5V. Excitation source is an AC signal, effectively preventing probe polarization. Working current: 3~6mA</t>
  </si>
  <si>
    <t>Don't need much space but I've had trouble with generic brand cards.Microdrive brand availible on aliexpress</t>
  </si>
  <si>
    <t>PVC Pipe</t>
  </si>
  <si>
    <t>PVC body</t>
  </si>
  <si>
    <t>PVC body - cyclinder 150mm tall and 114mm dia</t>
  </si>
  <si>
    <t>volume(cm^3)</t>
  </si>
  <si>
    <t>Displacement</t>
  </si>
  <si>
    <t>Mass fresh water g</t>
  </si>
  <si>
    <t>Mass salt water g</t>
  </si>
  <si>
    <t>Mass in G</t>
  </si>
  <si>
    <t>End cap</t>
  </si>
  <si>
    <t>4 D Batteries</t>
  </si>
  <si>
    <t>PCB</t>
  </si>
  <si>
    <t>Internal structure carrige</t>
  </si>
  <si>
    <t>Additional trim weight needed (saltwater)</t>
  </si>
  <si>
    <t>Concrete end cap weight 83mm dia half sphere with 20mm dia hole</t>
  </si>
  <si>
    <t>End cap - sphere 111mm dia</t>
  </si>
  <si>
    <t>3x D Alkaline batteries</t>
  </si>
  <si>
    <t>3x D Battery holders</t>
  </si>
  <si>
    <t>3d printing liquid resin</t>
  </si>
  <si>
    <t>3d printing filiment</t>
  </si>
  <si>
    <t>Microprocessor: ATMEGA328P DIP-28 (chip only)</t>
  </si>
  <si>
    <t>DIP-28 wide pin socket</t>
  </si>
  <si>
    <t>To ease assembly and so the processor can be removed from pcb for programming bootloader</t>
  </si>
  <si>
    <t>4x O rings 100mm OD 4mm dia</t>
  </si>
  <si>
    <t>https://www.aliexpress.com/item/3256806747371164.html</t>
  </si>
  <si>
    <t>https://www.aliexpress.com/item/3256806152938344.html</t>
  </si>
  <si>
    <t>https://www.aliexpress.com/item/3256806302793924.html</t>
  </si>
  <si>
    <t>Assorted stainless screws, stainless swivels, zip ties, mounting hardware,etc</t>
  </si>
  <si>
    <t>microoprocessor doesn't have any persistant way of knowing the date/time to log with observations.</t>
  </si>
  <si>
    <t>LM1117 3.3v voltage regulator</t>
  </si>
  <si>
    <t>Draws 5mA when not in use so will need to be powered down when not in use</t>
  </si>
  <si>
    <t>https://www.aliexpress.us/item/2255800903886922.html</t>
  </si>
  <si>
    <t>2N3904 and 2N3906 transistors</t>
  </si>
  <si>
    <t>for switching on/off sensors, buzzers, etc</t>
  </si>
  <si>
    <t>5v Buzzer</t>
  </si>
  <si>
    <t>https://www.aliexpress.us/item/3256806022762450.html</t>
  </si>
  <si>
    <t>To give indication of sucessful power on</t>
  </si>
  <si>
    <t>2x Magnetic reed switches</t>
  </si>
  <si>
    <t>Other assorted electrical components (resistors, diodes, solder, etc)</t>
  </si>
  <si>
    <t>https://www.aliexpress.us/item/3256805857131628.html</t>
  </si>
  <si>
    <t>Start DateTime</t>
  </si>
  <si>
    <t>End DateTime</t>
  </si>
  <si>
    <t>CAD of housing</t>
  </si>
  <si>
    <t>Hours</t>
  </si>
  <si>
    <t xml:space="preserve">CAD Housing design </t>
  </si>
  <si>
    <t>Possible site evaluation using secondary sources</t>
  </si>
  <si>
    <t>Housing cad design work, cutting pvc, preping led printer</t>
  </si>
  <si>
    <t>Researching published research on salmon mortality rates by segment of their migration path.</t>
  </si>
  <si>
    <t>Researching resin settings, starting next PVC housing cap print, manually repairing flanged housing design, researching low power stratagies for the ATMEGA328p</t>
  </si>
  <si>
    <t>Cleaning and finishing PVC pipe cap V0.2 which printed overnight. Procuring additional 0-rings. Weighing all components so far and calculating displacement to calculate trim weight needs and checking if current design provides enough space. Testing various voltage regulators to determine standby power consumption.</t>
  </si>
  <si>
    <t>Assignment #1. Research related to connections between salmon survival, nearshore marine habitats, and interconnections between various bottomfish species</t>
  </si>
  <si>
    <t>Development of V0.3 of the end cap model. Creation of 3d print layout w/ manual placement of all support structures. Prep and initiation of print</t>
  </si>
  <si>
    <t>Cleanup and finalization of new print for end cap V0.3 model</t>
  </si>
  <si>
    <t>Programed ArduinoISP, burned 8Mhz bootloader, troubleshooted why I2C devices were no longer working (breadboad pin issue)</t>
  </si>
  <si>
    <t>Built dip28 adapter for breadboard, successfully implemented 8mhz atmega328p chip w/ sensors, tested various resistor configurations with transistors so sensors can be powered down with minimal current draw when not in use.</t>
  </si>
  <si>
    <t>With Rob's help (from eastside urbanism) launched my skiff from Alki's constellation park, motored ~0.6mi offshore, successfully pressure tested both housing candidates down to 200ft for 10min</t>
  </si>
  <si>
    <t>Total hours</t>
  </si>
  <si>
    <t>Discussion with Rhoda Green of friends of saltwater state park, reef.org, and washington scuba alliance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</si>
</sst>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 #,##0.0_);_(* \(#,##0.0\);_(* &quot;-&quot;??_);_(@_)"/>
    <numFmt numFmtId="165" formatCode="_(* #,##0_);_(* \(#,##0\);_(* &quot;-&quot;??_);_(@_)"/>
    <numFmt numFmtId="166" formatCode="[$-409]m/d/yy\ h:mm\ AM/PM;@"/>
    <numFmt numFmtId="167" formatCode="h:mm;@"/>
  </numFmts>
  <fonts count="6" x14ac:knownFonts="1">
    <font>
      <sz val="11"/>
      <color theme="1"/>
      <name val="Aptos Narrow"/>
      <family val="2"/>
      <scheme val="minor"/>
    </font>
    <font>
      <sz val="11"/>
      <color theme="1"/>
      <name val="Aptos Narrow"/>
      <family val="2"/>
      <scheme val="minor"/>
    </font>
    <font>
      <b/>
      <sz val="11"/>
      <color theme="1"/>
      <name val="Aptos Narrow"/>
      <family val="2"/>
      <scheme val="minor"/>
    </font>
    <font>
      <u/>
      <sz val="11"/>
      <color theme="10"/>
      <name val="Aptos Narrow"/>
      <family val="2"/>
      <scheme val="minor"/>
    </font>
    <font>
      <sz val="10"/>
      <color theme="1"/>
      <name val="Aptos Narrow"/>
      <family val="2"/>
      <scheme val="minor"/>
    </font>
    <font>
      <sz val="11"/>
      <color theme="1"/>
      <name val="Calibri"/>
      <family val="2"/>
    </font>
  </fonts>
  <fills count="4">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s>
  <borders count="3">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diagonal/>
    </border>
  </borders>
  <cellStyleXfs count="4">
    <xf numFmtId="0" fontId="0" fillId="0" borderId="0"/>
    <xf numFmtId="44" fontId="1" fillId="0" borderId="0" applyFont="0" applyFill="0" applyBorder="0" applyAlignment="0" applyProtection="0"/>
    <xf numFmtId="0" fontId="3" fillId="0" borderId="0" applyNumberFormat="0" applyFill="0" applyBorder="0" applyAlignment="0" applyProtection="0"/>
    <xf numFmtId="43" fontId="1" fillId="0" borderId="0" applyFont="0" applyFill="0" applyBorder="0" applyAlignment="0" applyProtection="0"/>
  </cellStyleXfs>
  <cellXfs count="24">
    <xf numFmtId="0" fontId="0" fillId="0" borderId="0" xfId="0"/>
    <xf numFmtId="0" fontId="3" fillId="0" borderId="0" xfId="2"/>
    <xf numFmtId="0" fontId="2" fillId="0" borderId="0" xfId="0" applyFont="1"/>
    <xf numFmtId="44" fontId="0" fillId="0" borderId="0" xfId="1" applyFont="1"/>
    <xf numFmtId="0" fontId="2" fillId="0" borderId="0" xfId="0" applyFont="1" applyAlignment="1">
      <alignment horizontal="right"/>
    </xf>
    <xf numFmtId="44" fontId="2" fillId="0" borderId="0" xfId="1" applyFont="1"/>
    <xf numFmtId="0" fontId="2" fillId="2" borderId="1" xfId="0" applyFont="1" applyFill="1" applyBorder="1"/>
    <xf numFmtId="44" fontId="2" fillId="2" borderId="1" xfId="1" applyFont="1" applyFill="1" applyBorder="1"/>
    <xf numFmtId="0" fontId="0" fillId="0" borderId="1" xfId="0" applyBorder="1"/>
    <xf numFmtId="44" fontId="0" fillId="0" borderId="1" xfId="1" applyFont="1" applyBorder="1"/>
    <xf numFmtId="0" fontId="3" fillId="0" borderId="1" xfId="2" applyBorder="1"/>
    <xf numFmtId="0" fontId="0" fillId="0" borderId="2" xfId="0" applyBorder="1"/>
    <xf numFmtId="0" fontId="4" fillId="0" borderId="1" xfId="0" applyFont="1" applyBorder="1" applyAlignment="1">
      <alignment wrapText="1"/>
    </xf>
    <xf numFmtId="0" fontId="0" fillId="0" borderId="0" xfId="0" applyAlignment="1">
      <alignment wrapText="1"/>
    </xf>
    <xf numFmtId="43" fontId="0" fillId="0" borderId="0" xfId="3" applyFont="1"/>
    <xf numFmtId="0" fontId="0" fillId="0" borderId="0" xfId="0" applyAlignment="1">
      <alignment horizontal="right"/>
    </xf>
    <xf numFmtId="43" fontId="2" fillId="0" borderId="0" xfId="0" applyNumberFormat="1" applyFont="1"/>
    <xf numFmtId="165" fontId="0" fillId="0" borderId="0" xfId="0" applyNumberFormat="1"/>
    <xf numFmtId="0" fontId="2" fillId="3" borderId="0" xfId="0" applyFont="1" applyFill="1"/>
    <xf numFmtId="164" fontId="0" fillId="0" borderId="0" xfId="3" applyNumberFormat="1" applyFont="1"/>
    <xf numFmtId="0" fontId="4" fillId="0" borderId="1" xfId="0" applyFont="1" applyBorder="1"/>
    <xf numFmtId="166" fontId="0" fillId="0" borderId="0" xfId="0" applyNumberFormat="1"/>
    <xf numFmtId="0" fontId="5" fillId="0" borderId="0" xfId="0" applyFont="1" applyAlignment="1">
      <alignment horizontal="left" vertical="center" wrapText="1"/>
    </xf>
    <xf numFmtId="167" fontId="0" fillId="0" borderId="0" xfId="0" applyNumberFormat="1"/>
  </cellXfs>
  <cellStyles count="4">
    <cellStyle name="Comma" xfId="3" builtinId="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46</xdr:row>
      <xdr:rowOff>0</xdr:rowOff>
    </xdr:from>
    <xdr:to>
      <xdr:col>3</xdr:col>
      <xdr:colOff>238125</xdr:colOff>
      <xdr:row>83</xdr:row>
      <xdr:rowOff>38100</xdr:rowOff>
    </xdr:to>
    <xdr:pic>
      <xdr:nvPicPr>
        <xdr:cNvPr id="2" name="Picture 1" descr="Metric O-Ring Size Chart Page 3">
          <a:extLst>
            <a:ext uri="{FF2B5EF4-FFF2-40B4-BE49-F238E27FC236}">
              <a16:creationId xmlns:a16="http://schemas.microsoft.com/office/drawing/2014/main" id="{82795D1B-8911-945B-3F15-CCE0BDBF35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7029450"/>
          <a:ext cx="5457825" cy="7258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704850</xdr:colOff>
      <xdr:row>46</xdr:row>
      <xdr:rowOff>66675</xdr:rowOff>
    </xdr:from>
    <xdr:to>
      <xdr:col>3</xdr:col>
      <xdr:colOff>6000750</xdr:colOff>
      <xdr:row>83</xdr:row>
      <xdr:rowOff>76200</xdr:rowOff>
    </xdr:to>
    <xdr:pic>
      <xdr:nvPicPr>
        <xdr:cNvPr id="3" name="Picture 2" descr="Metric O-Ring Size Chart Page 2">
          <a:extLst>
            <a:ext uri="{FF2B5EF4-FFF2-40B4-BE49-F238E27FC236}">
              <a16:creationId xmlns:a16="http://schemas.microsoft.com/office/drawing/2014/main" id="{DFE1580C-E3C4-0DDB-F39B-4B9A2392845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62700" y="7096125"/>
          <a:ext cx="5295900" cy="7229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ebay.com/itm/166452012477" TargetMode="External"/><Relationship Id="rId13" Type="http://schemas.openxmlformats.org/officeDocument/2006/relationships/hyperlink" Target="https://www.aliexpress.us/item/3256801512027885.html" TargetMode="External"/><Relationship Id="rId18" Type="http://schemas.openxmlformats.org/officeDocument/2006/relationships/hyperlink" Target="https://www.aliexpress.us/item/3256805857131628.html" TargetMode="External"/><Relationship Id="rId3" Type="http://schemas.openxmlformats.org/officeDocument/2006/relationships/hyperlink" Target="https://www.ebay.com/itm/195942487206" TargetMode="External"/><Relationship Id="rId7" Type="http://schemas.openxmlformats.org/officeDocument/2006/relationships/hyperlink" Target="https://www.ebay.com/itm/324736594273" TargetMode="External"/><Relationship Id="rId12" Type="http://schemas.openxmlformats.org/officeDocument/2006/relationships/hyperlink" Target="https://www.ebay.com/itm/354987332435" TargetMode="External"/><Relationship Id="rId17" Type="http://schemas.openxmlformats.org/officeDocument/2006/relationships/hyperlink" Target="https://www.aliexpress.us/item/2255800903886922.html" TargetMode="External"/><Relationship Id="rId2" Type="http://schemas.openxmlformats.org/officeDocument/2006/relationships/hyperlink" Target="https://www.ebay.com/itm/113831704809" TargetMode="External"/><Relationship Id="rId16" Type="http://schemas.openxmlformats.org/officeDocument/2006/relationships/hyperlink" Target="https://www.aliexpress.com/item/3256806302793924.html" TargetMode="External"/><Relationship Id="rId1" Type="http://schemas.openxmlformats.org/officeDocument/2006/relationships/hyperlink" Target="https://www.ebay.com/itm/285436222391" TargetMode="External"/><Relationship Id="rId6" Type="http://schemas.openxmlformats.org/officeDocument/2006/relationships/hyperlink" Target="https://www.ebay.com/itm/312693114822" TargetMode="External"/><Relationship Id="rId11" Type="http://schemas.openxmlformats.org/officeDocument/2006/relationships/hyperlink" Target="https://www.ebay.com/itm/266531052031" TargetMode="External"/><Relationship Id="rId5" Type="http://schemas.openxmlformats.org/officeDocument/2006/relationships/hyperlink" Target="https://www.ebay.com/itm/315042911124" TargetMode="External"/><Relationship Id="rId15" Type="http://schemas.openxmlformats.org/officeDocument/2006/relationships/hyperlink" Target="https://www.aliexpress.com/item/3256806152938344.html" TargetMode="External"/><Relationship Id="rId10" Type="http://schemas.openxmlformats.org/officeDocument/2006/relationships/hyperlink" Target="https://www.ebay.com/itm/324283294821" TargetMode="External"/><Relationship Id="rId19" Type="http://schemas.openxmlformats.org/officeDocument/2006/relationships/drawing" Target="../drawings/drawing1.xml"/><Relationship Id="rId4" Type="http://schemas.openxmlformats.org/officeDocument/2006/relationships/hyperlink" Target="https://www.ebay.com/itm/334893472046" TargetMode="External"/><Relationship Id="rId9" Type="http://schemas.openxmlformats.org/officeDocument/2006/relationships/hyperlink" Target="https://www.amazon.com/Replacement-Battery-Compatible-SLA0905-SLA090-4/dp/B0757MDCN2" TargetMode="External"/><Relationship Id="rId14" Type="http://schemas.openxmlformats.org/officeDocument/2006/relationships/hyperlink" Target="https://www.aliexpress.com/item/3256806747371164.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FC544-551D-4C0D-97B2-B7ED15A82452}">
  <dimension ref="B1:E48"/>
  <sheetViews>
    <sheetView showGridLines="0" tabSelected="1" workbookViewId="0">
      <selection activeCell="E14" sqref="E14"/>
    </sheetView>
  </sheetViews>
  <sheetFormatPr defaultRowHeight="15" x14ac:dyDescent="0.25"/>
  <cols>
    <col min="1" max="1" width="4.140625" customWidth="1"/>
    <col min="2" max="2" width="69.140625" customWidth="1"/>
    <col min="3" max="3" width="9.140625" style="3"/>
    <col min="4" max="4" width="97.140625" customWidth="1"/>
    <col min="5" max="5" width="53.5703125" customWidth="1"/>
  </cols>
  <sheetData>
    <row r="1" spans="2:5" x14ac:dyDescent="0.25">
      <c r="B1" s="6" t="s">
        <v>3</v>
      </c>
      <c r="C1" s="7" t="s">
        <v>1</v>
      </c>
      <c r="D1" s="6" t="s">
        <v>15</v>
      </c>
      <c r="E1" s="6" t="s">
        <v>8</v>
      </c>
    </row>
    <row r="2" spans="2:5" x14ac:dyDescent="0.25">
      <c r="B2" s="8" t="s">
        <v>85</v>
      </c>
      <c r="C2" s="9">
        <v>2.16</v>
      </c>
      <c r="D2" s="12" t="s">
        <v>16</v>
      </c>
      <c r="E2" s="10" t="s">
        <v>90</v>
      </c>
    </row>
    <row r="3" spans="2:5" x14ac:dyDescent="0.25">
      <c r="B3" s="8" t="s">
        <v>86</v>
      </c>
      <c r="C3" s="9">
        <v>0.78</v>
      </c>
      <c r="D3" s="12" t="s">
        <v>87</v>
      </c>
      <c r="E3" s="10"/>
    </row>
    <row r="4" spans="2:5" x14ac:dyDescent="0.25">
      <c r="B4" s="8" t="s">
        <v>0</v>
      </c>
      <c r="C4" s="9">
        <v>0.73</v>
      </c>
      <c r="D4" s="12" t="s">
        <v>17</v>
      </c>
      <c r="E4" s="10" t="s">
        <v>7</v>
      </c>
    </row>
    <row r="5" spans="2:5" x14ac:dyDescent="0.25">
      <c r="B5" s="8" t="s">
        <v>53</v>
      </c>
      <c r="C5" s="9">
        <v>2.2000000000000002</v>
      </c>
      <c r="D5" s="12" t="s">
        <v>65</v>
      </c>
      <c r="E5" s="10" t="s">
        <v>19</v>
      </c>
    </row>
    <row r="6" spans="2:5" x14ac:dyDescent="0.25">
      <c r="B6" s="8" t="s">
        <v>2</v>
      </c>
      <c r="C6" s="9">
        <v>2.16</v>
      </c>
      <c r="D6" s="12" t="s">
        <v>41</v>
      </c>
      <c r="E6" s="10" t="s">
        <v>6</v>
      </c>
    </row>
    <row r="7" spans="2:5" x14ac:dyDescent="0.25">
      <c r="B7" s="8" t="s">
        <v>9</v>
      </c>
      <c r="C7" s="9">
        <v>1.1100000000000001</v>
      </c>
      <c r="D7" s="12" t="s">
        <v>93</v>
      </c>
      <c r="E7" s="10" t="s">
        <v>10</v>
      </c>
    </row>
    <row r="8" spans="2:5" x14ac:dyDescent="0.25">
      <c r="B8" s="8" t="s">
        <v>36</v>
      </c>
      <c r="C8" s="9">
        <f>6.88/10</f>
        <v>0.68799999999999994</v>
      </c>
      <c r="D8" s="12" t="s">
        <v>37</v>
      </c>
      <c r="E8" s="10" t="s">
        <v>35</v>
      </c>
    </row>
    <row r="9" spans="2:5" x14ac:dyDescent="0.25">
      <c r="B9" s="8" t="s">
        <v>38</v>
      </c>
      <c r="C9" s="9">
        <f>2.87</f>
        <v>2.87</v>
      </c>
      <c r="D9" s="8" t="s">
        <v>54</v>
      </c>
      <c r="E9" s="10" t="s">
        <v>39</v>
      </c>
    </row>
    <row r="10" spans="2:5" x14ac:dyDescent="0.25">
      <c r="B10" s="8" t="s">
        <v>94</v>
      </c>
      <c r="C10" s="9">
        <v>0.43</v>
      </c>
      <c r="D10" s="20" t="s">
        <v>95</v>
      </c>
      <c r="E10" s="10" t="s">
        <v>96</v>
      </c>
    </row>
    <row r="11" spans="2:5" x14ac:dyDescent="0.25">
      <c r="B11" s="8" t="s">
        <v>97</v>
      </c>
      <c r="C11" s="9">
        <f>5*0.08</f>
        <v>0.4</v>
      </c>
      <c r="D11" s="20" t="s">
        <v>98</v>
      </c>
      <c r="E11" s="10"/>
    </row>
    <row r="12" spans="2:5" x14ac:dyDescent="0.25">
      <c r="B12" s="8" t="s">
        <v>99</v>
      </c>
      <c r="C12" s="9">
        <v>0.37</v>
      </c>
      <c r="D12" s="20" t="s">
        <v>101</v>
      </c>
      <c r="E12" s="10" t="s">
        <v>100</v>
      </c>
    </row>
    <row r="13" spans="2:5" x14ac:dyDescent="0.25">
      <c r="B13" s="8" t="s">
        <v>102</v>
      </c>
      <c r="C13" s="9">
        <f>0.15*2</f>
        <v>0.3</v>
      </c>
      <c r="D13" s="20"/>
      <c r="E13" s="10" t="s">
        <v>104</v>
      </c>
    </row>
    <row r="14" spans="2:5" x14ac:dyDescent="0.25">
      <c r="B14" s="8" t="s">
        <v>20</v>
      </c>
      <c r="C14" s="9">
        <v>1</v>
      </c>
      <c r="D14" s="12" t="s">
        <v>22</v>
      </c>
      <c r="E14" s="10" t="s">
        <v>21</v>
      </c>
    </row>
    <row r="15" spans="2:5" x14ac:dyDescent="0.25">
      <c r="B15" s="8" t="s">
        <v>103</v>
      </c>
      <c r="C15" s="9">
        <v>2</v>
      </c>
      <c r="D15" s="12" t="s">
        <v>23</v>
      </c>
      <c r="E15" s="10"/>
    </row>
    <row r="16" spans="2:5" x14ac:dyDescent="0.25">
      <c r="B16" s="8" t="s">
        <v>82</v>
      </c>
      <c r="C16" s="9">
        <f>0.97*3</f>
        <v>2.91</v>
      </c>
      <c r="D16" s="8"/>
      <c r="E16" s="10" t="s">
        <v>91</v>
      </c>
    </row>
    <row r="17" spans="2:5" x14ac:dyDescent="0.25">
      <c r="B17" s="8" t="s">
        <v>66</v>
      </c>
      <c r="C17" s="9">
        <f>50/10</f>
        <v>5</v>
      </c>
      <c r="D17" s="8"/>
      <c r="E17" s="10"/>
    </row>
    <row r="18" spans="2:5" x14ac:dyDescent="0.25">
      <c r="B18" s="8" t="s">
        <v>88</v>
      </c>
      <c r="C18" s="9">
        <f>0.68*4</f>
        <v>2.72</v>
      </c>
      <c r="D18" s="8"/>
      <c r="E18" s="10" t="s">
        <v>89</v>
      </c>
    </row>
    <row r="19" spans="2:5" x14ac:dyDescent="0.25">
      <c r="B19" s="8" t="s">
        <v>92</v>
      </c>
      <c r="C19" s="9">
        <v>5</v>
      </c>
      <c r="D19" s="8"/>
      <c r="E19" s="10"/>
    </row>
    <row r="20" spans="2:5" x14ac:dyDescent="0.25">
      <c r="B20" s="8" t="s">
        <v>83</v>
      </c>
      <c r="C20" s="9">
        <v>9</v>
      </c>
      <c r="D20" s="8"/>
      <c r="E20" s="10"/>
    </row>
    <row r="21" spans="2:5" x14ac:dyDescent="0.25">
      <c r="B21" s="8" t="s">
        <v>84</v>
      </c>
      <c r="C21" s="9">
        <v>3</v>
      </c>
      <c r="D21" s="8"/>
      <c r="E21" s="10"/>
    </row>
    <row r="22" spans="2:5" x14ac:dyDescent="0.25">
      <c r="B22" s="4" t="s">
        <v>28</v>
      </c>
      <c r="C22" s="5">
        <f>SUM(C2:C19)*0.1</f>
        <v>3.2828000000000004</v>
      </c>
      <c r="E22" s="1"/>
    </row>
    <row r="23" spans="2:5" x14ac:dyDescent="0.25">
      <c r="B23" s="4" t="s">
        <v>27</v>
      </c>
      <c r="C23" s="5">
        <f>SUM(C2:C22)</f>
        <v>48.110800000000005</v>
      </c>
      <c r="E23" s="1"/>
    </row>
    <row r="24" spans="2:5" x14ac:dyDescent="0.25">
      <c r="E24" s="1"/>
    </row>
    <row r="25" spans="2:5" x14ac:dyDescent="0.25">
      <c r="B25" s="2" t="s">
        <v>40</v>
      </c>
      <c r="E25" s="1"/>
    </row>
    <row r="26" spans="2:5" x14ac:dyDescent="0.25">
      <c r="B26" s="8" t="s">
        <v>56</v>
      </c>
      <c r="C26" s="9">
        <v>3.45</v>
      </c>
      <c r="D26" s="8" t="s">
        <v>57</v>
      </c>
      <c r="E26" s="10" t="s">
        <v>61</v>
      </c>
    </row>
    <row r="27" spans="2:5" x14ac:dyDescent="0.25">
      <c r="B27" s="8" t="s">
        <v>81</v>
      </c>
      <c r="C27" s="9">
        <f>1.63*3</f>
        <v>4.8899999999999997</v>
      </c>
      <c r="D27" s="8"/>
      <c r="E27" s="10"/>
    </row>
    <row r="28" spans="2:5" x14ac:dyDescent="0.25">
      <c r="B28" s="8" t="s">
        <v>4</v>
      </c>
      <c r="C28" s="9">
        <v>0.99</v>
      </c>
      <c r="D28" s="12" t="s">
        <v>18</v>
      </c>
      <c r="E28" s="10" t="s">
        <v>5</v>
      </c>
    </row>
    <row r="29" spans="2:5" x14ac:dyDescent="0.25">
      <c r="B29" s="8" t="s">
        <v>11</v>
      </c>
      <c r="C29" s="9">
        <v>6.71</v>
      </c>
      <c r="D29" s="8" t="s">
        <v>60</v>
      </c>
      <c r="E29" s="10" t="s">
        <v>12</v>
      </c>
    </row>
    <row r="30" spans="2:5" x14ac:dyDescent="0.25">
      <c r="B30" s="8" t="s">
        <v>13</v>
      </c>
      <c r="C30" s="9">
        <v>5.44</v>
      </c>
      <c r="D30" s="8" t="s">
        <v>32</v>
      </c>
      <c r="E30" s="10" t="s">
        <v>14</v>
      </c>
    </row>
    <row r="31" spans="2:5" x14ac:dyDescent="0.25">
      <c r="B31" s="8" t="s">
        <v>55</v>
      </c>
      <c r="C31" s="9">
        <f>1.39/30</f>
        <v>4.6333333333333331E-2</v>
      </c>
      <c r="D31" s="8" t="s">
        <v>33</v>
      </c>
      <c r="E31" s="10"/>
    </row>
    <row r="32" spans="2:5" x14ac:dyDescent="0.25">
      <c r="B32" s="8" t="s">
        <v>59</v>
      </c>
      <c r="C32" s="9">
        <v>4</v>
      </c>
      <c r="D32" s="8" t="s">
        <v>58</v>
      </c>
      <c r="E32" s="10"/>
    </row>
    <row r="33" spans="2:5" x14ac:dyDescent="0.25">
      <c r="B33" s="8" t="s">
        <v>63</v>
      </c>
      <c r="C33" s="9">
        <v>3.14</v>
      </c>
      <c r="D33" s="8" t="s">
        <v>64</v>
      </c>
      <c r="E33" s="10" t="s">
        <v>62</v>
      </c>
    </row>
    <row r="34" spans="2:5" x14ac:dyDescent="0.25">
      <c r="B34" s="8" t="s">
        <v>30</v>
      </c>
      <c r="C34" s="9" t="s">
        <v>31</v>
      </c>
      <c r="D34" s="8"/>
      <c r="E34" s="8"/>
    </row>
    <row r="35" spans="2:5" x14ac:dyDescent="0.25">
      <c r="B35" s="11" t="s">
        <v>44</v>
      </c>
      <c r="C35" s="3" t="s">
        <v>31</v>
      </c>
      <c r="D35" s="11" t="s">
        <v>45</v>
      </c>
    </row>
    <row r="36" spans="2:5" x14ac:dyDescent="0.25">
      <c r="B36" s="8" t="s">
        <v>46</v>
      </c>
      <c r="C36" s="9" t="s">
        <v>31</v>
      </c>
      <c r="D36" s="8" t="s">
        <v>47</v>
      </c>
      <c r="E36" s="8"/>
    </row>
    <row r="37" spans="2:5" x14ac:dyDescent="0.25">
      <c r="B37" s="8" t="s">
        <v>42</v>
      </c>
      <c r="C37" s="9">
        <v>4</v>
      </c>
      <c r="D37" s="8" t="s">
        <v>43</v>
      </c>
      <c r="E37" s="10"/>
    </row>
    <row r="38" spans="2:5" x14ac:dyDescent="0.25">
      <c r="B38" s="8" t="s">
        <v>25</v>
      </c>
      <c r="C38" s="9">
        <v>3</v>
      </c>
      <c r="D38" s="12"/>
      <c r="E38" s="10" t="s">
        <v>26</v>
      </c>
    </row>
    <row r="39" spans="2:5" x14ac:dyDescent="0.25">
      <c r="B39" s="8" t="s">
        <v>24</v>
      </c>
      <c r="C39" s="9">
        <v>3.8</v>
      </c>
      <c r="D39" s="12" t="s">
        <v>34</v>
      </c>
      <c r="E39" s="10"/>
    </row>
    <row r="40" spans="2:5" x14ac:dyDescent="0.25">
      <c r="B40" s="8" t="s">
        <v>52</v>
      </c>
      <c r="C40" s="9">
        <f>34.99*1.1/4</f>
        <v>9.6222500000000011</v>
      </c>
      <c r="D40" s="12" t="str">
        <f>"SLA batteries are crude but cheap and support continuous topping charges. (H) 3.98 x (L) 2.76 (W) 1.85 diag " &amp; ROUND(SQRT(2.76^2+1.85^2),2)</f>
        <v>SLA batteries are crude but cheap and support continuous topping charges. (H) 3.98 x (L) 2.76 (W) 1.85 diag 3.32</v>
      </c>
      <c r="E40" s="10" t="s">
        <v>29</v>
      </c>
    </row>
    <row r="42" spans="2:5" x14ac:dyDescent="0.25">
      <c r="B42" t="s">
        <v>48</v>
      </c>
    </row>
    <row r="43" spans="2:5" x14ac:dyDescent="0.25">
      <c r="B43" s="13" t="s">
        <v>51</v>
      </c>
      <c r="C43" s="3">
        <v>5.49</v>
      </c>
    </row>
    <row r="44" spans="2:5" x14ac:dyDescent="0.25">
      <c r="B44" s="13" t="s">
        <v>49</v>
      </c>
      <c r="C44" s="3">
        <v>4.84</v>
      </c>
    </row>
    <row r="45" spans="2:5" x14ac:dyDescent="0.25">
      <c r="B45" s="13" t="s">
        <v>50</v>
      </c>
      <c r="C45" s="3">
        <v>7.69</v>
      </c>
    </row>
    <row r="48" spans="2:5" ht="28.5" customHeight="1" x14ac:dyDescent="0.25"/>
  </sheetData>
  <hyperlinks>
    <hyperlink ref="E4" r:id="rId1" xr:uid="{E143B46E-5879-4EA2-838D-2C157CDD45E9}"/>
    <hyperlink ref="E28" r:id="rId2" xr:uid="{778D9233-56B8-4BC3-891C-A695BA9B1714}"/>
    <hyperlink ref="E6" r:id="rId3" xr:uid="{E0F8EB58-6181-4EF1-BDAA-66BECB9C5E15}"/>
    <hyperlink ref="E7" r:id="rId4" xr:uid="{1A7E9527-9117-449D-B75E-F1DAE1C7DD6C}"/>
    <hyperlink ref="E29" r:id="rId5" xr:uid="{ECEC73D3-D62F-45A2-97D1-6E158E04B5DA}"/>
    <hyperlink ref="E30" r:id="rId6" xr:uid="{FF9594BE-7E73-4973-9285-121667C90902}"/>
    <hyperlink ref="E5" r:id="rId7" xr:uid="{79AFE255-C939-4EC0-ACF6-5A7095801625}"/>
    <hyperlink ref="E14" r:id="rId8" xr:uid="{C09857FA-2BA8-4E1A-A4E8-A8DD38E1F635}"/>
    <hyperlink ref="E40" r:id="rId9" xr:uid="{A8B565DB-B656-44A7-96E2-CE4C536A8180}"/>
    <hyperlink ref="E38" r:id="rId10" xr:uid="{5AEBD55A-198E-4C21-B94F-5BD3F23E4BDA}"/>
    <hyperlink ref="E8" r:id="rId11" xr:uid="{7E216F56-E0C5-40FC-914F-BE53B7C18140}"/>
    <hyperlink ref="E9" r:id="rId12" xr:uid="{A1DC8772-DCC2-4E6A-9968-C6F60AA25A11}"/>
    <hyperlink ref="E33" r:id="rId13" xr:uid="{8CAF74ED-7627-4CB2-918F-499243E9B6B4}"/>
    <hyperlink ref="E18" r:id="rId14" xr:uid="{E1412193-6A77-4A31-9EB0-0948E0751655}"/>
    <hyperlink ref="E2" r:id="rId15" xr:uid="{2B77F151-B02C-4C18-8ADE-267657A7F9A9}"/>
    <hyperlink ref="E16" r:id="rId16" xr:uid="{6D599AD8-65F2-475D-8236-8466CB7C3470}"/>
    <hyperlink ref="E10" r:id="rId17" xr:uid="{BF88DA38-68D7-4AB2-A7C5-A70FDE5052CD}"/>
    <hyperlink ref="E13" r:id="rId18" xr:uid="{94569392-B676-4538-B93F-95F6AEE7B613}"/>
  </hyperlinks>
  <pageMargins left="0.7" right="0.7" top="0.75" bottom="0.75" header="0.3" footer="0.3"/>
  <drawing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DFA70-E18A-4072-98F8-3ABEB57FB199}">
  <dimension ref="A2:B22"/>
  <sheetViews>
    <sheetView workbookViewId="0">
      <selection activeCell="B23" sqref="B23"/>
    </sheetView>
  </sheetViews>
  <sheetFormatPr defaultRowHeight="15" x14ac:dyDescent="0.25"/>
  <cols>
    <col min="1" max="1" width="61" bestFit="1" customWidth="1"/>
    <col min="2" max="2" width="14.5703125" bestFit="1" customWidth="1"/>
  </cols>
  <sheetData>
    <row r="2" spans="1:2" x14ac:dyDescent="0.25">
      <c r="A2" s="18" t="s">
        <v>70</v>
      </c>
      <c r="B2" s="18" t="s">
        <v>69</v>
      </c>
    </row>
    <row r="3" spans="1:2" x14ac:dyDescent="0.25">
      <c r="A3" t="s">
        <v>68</v>
      </c>
      <c r="B3" s="14">
        <f>3.14159*(11.4/2)^2* 15</f>
        <v>1531.0538865000001</v>
      </c>
    </row>
    <row r="4" spans="1:2" x14ac:dyDescent="0.25">
      <c r="A4" t="s">
        <v>80</v>
      </c>
      <c r="B4" s="14">
        <f>0.5*(4/3)*3.14159*(11.1/2)^3</f>
        <v>358.04465610749992</v>
      </c>
    </row>
    <row r="5" spans="1:2" x14ac:dyDescent="0.25">
      <c r="A5" t="s">
        <v>80</v>
      </c>
      <c r="B5" s="14">
        <f>0.5*(4/3)*3.14159*(11.1/2)^3</f>
        <v>358.04465610749992</v>
      </c>
    </row>
    <row r="6" spans="1:2" x14ac:dyDescent="0.25">
      <c r="A6" s="4" t="s">
        <v>27</v>
      </c>
      <c r="B6" s="16">
        <f>SUM(B3:B4)</f>
        <v>1889.0985426074999</v>
      </c>
    </row>
    <row r="7" spans="1:2" x14ac:dyDescent="0.25">
      <c r="A7" s="15" t="s">
        <v>71</v>
      </c>
      <c r="B7" s="17">
        <f>B6*1</f>
        <v>1889.0985426074999</v>
      </c>
    </row>
    <row r="8" spans="1:2" x14ac:dyDescent="0.25">
      <c r="A8" s="15" t="s">
        <v>72</v>
      </c>
      <c r="B8" s="17">
        <f>B6*1.02</f>
        <v>1926.8805134596498</v>
      </c>
    </row>
    <row r="9" spans="1:2" x14ac:dyDescent="0.25">
      <c r="A9" s="15"/>
    </row>
    <row r="10" spans="1:2" x14ac:dyDescent="0.25">
      <c r="A10" s="15"/>
    </row>
    <row r="12" spans="1:2" x14ac:dyDescent="0.25">
      <c r="A12" s="18" t="s">
        <v>3</v>
      </c>
      <c r="B12" s="18" t="s">
        <v>73</v>
      </c>
    </row>
    <row r="13" spans="1:2" x14ac:dyDescent="0.25">
      <c r="A13" t="s">
        <v>74</v>
      </c>
      <c r="B13">
        <v>209</v>
      </c>
    </row>
    <row r="14" spans="1:2" x14ac:dyDescent="0.25">
      <c r="A14" t="s">
        <v>74</v>
      </c>
      <c r="B14">
        <v>209</v>
      </c>
    </row>
    <row r="15" spans="1:2" x14ac:dyDescent="0.25">
      <c r="A15" t="s">
        <v>67</v>
      </c>
      <c r="B15">
        <v>438</v>
      </c>
    </row>
    <row r="16" spans="1:2" x14ac:dyDescent="0.25">
      <c r="A16" t="s">
        <v>75</v>
      </c>
      <c r="B16">
        <f>4*136</f>
        <v>544</v>
      </c>
    </row>
    <row r="17" spans="1:2" x14ac:dyDescent="0.25">
      <c r="A17" t="s">
        <v>76</v>
      </c>
      <c r="B17">
        <f>128-76</f>
        <v>52</v>
      </c>
    </row>
    <row r="18" spans="1:2" x14ac:dyDescent="0.25">
      <c r="A18" t="s">
        <v>77</v>
      </c>
      <c r="B18">
        <v>100</v>
      </c>
    </row>
    <row r="19" spans="1:2" x14ac:dyDescent="0.25">
      <c r="A19" t="s">
        <v>79</v>
      </c>
      <c r="B19" s="19">
        <f>((0.5*(4/3)*3.14159*(8.3/2)^3)-((8.3/2)*3.14159*2^2))*3.15</f>
        <v>307.26034324912507</v>
      </c>
    </row>
    <row r="20" spans="1:2" x14ac:dyDescent="0.25">
      <c r="A20" t="s">
        <v>79</v>
      </c>
      <c r="B20" s="19">
        <f>((0.5*(4/3)*3.14159*(8.3/2)^3)-((8.3/2)*3.14159*2^2))*3.15</f>
        <v>307.26034324912507</v>
      </c>
    </row>
    <row r="21" spans="1:2" x14ac:dyDescent="0.25">
      <c r="A21" s="15" t="s">
        <v>27</v>
      </c>
      <c r="B21">
        <f>SUM(B13:B20)</f>
        <v>2166.5206864982501</v>
      </c>
    </row>
    <row r="22" spans="1:2" x14ac:dyDescent="0.25">
      <c r="A22" s="15" t="s">
        <v>78</v>
      </c>
      <c r="B22" s="17">
        <f>B8-B21</f>
        <v>-239.64017303860032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DB5A8-2D0D-44D9-A3AB-C9A571C35556}">
  <dimension ref="B1:F26"/>
  <sheetViews>
    <sheetView workbookViewId="0">
      <selection activeCell="D4" sqref="D4"/>
    </sheetView>
  </sheetViews>
  <sheetFormatPr defaultRowHeight="15" x14ac:dyDescent="0.25"/>
  <cols>
    <col min="2" max="2" width="17.85546875" customWidth="1"/>
    <col min="3" max="3" width="16.42578125" customWidth="1"/>
    <col min="4" max="4" width="106.140625" customWidth="1"/>
    <col min="5" max="5" width="8.140625" customWidth="1"/>
  </cols>
  <sheetData>
    <row r="1" spans="2:6" x14ac:dyDescent="0.25">
      <c r="D1" s="4" t="s">
        <v>121</v>
      </c>
      <c r="E1" s="14">
        <f>VALUE(SUM(E4:E100))*24</f>
        <v>71.949999999837019</v>
      </c>
    </row>
    <row r="3" spans="2:6" x14ac:dyDescent="0.25">
      <c r="B3" s="18" t="s">
        <v>105</v>
      </c>
      <c r="C3" s="18" t="s">
        <v>106</v>
      </c>
      <c r="D3" s="18" t="s">
        <v>15</v>
      </c>
      <c r="E3" s="18" t="s">
        <v>108</v>
      </c>
    </row>
    <row r="4" spans="2:6" x14ac:dyDescent="0.25">
      <c r="B4" s="21">
        <v>45415.75</v>
      </c>
      <c r="C4" s="21">
        <v>45415.829861111109</v>
      </c>
      <c r="D4" s="13" t="s">
        <v>107</v>
      </c>
      <c r="E4" s="23">
        <f>(C4-B4)</f>
        <v>7.9861111109494232E-2</v>
      </c>
      <c r="F4" s="14"/>
    </row>
    <row r="5" spans="2:6" x14ac:dyDescent="0.25">
      <c r="B5" s="21">
        <v>45415.041666666664</v>
      </c>
      <c r="C5" s="21">
        <v>45415.145833333336</v>
      </c>
      <c r="D5" s="22" t="s">
        <v>107</v>
      </c>
      <c r="E5" s="23">
        <f t="shared" ref="E5:E20" si="0">(C5-B5)</f>
        <v>0.10416666667151731</v>
      </c>
      <c r="F5" s="14"/>
    </row>
    <row r="6" spans="2:6" x14ac:dyDescent="0.25">
      <c r="B6" s="21">
        <v>45420.583333333336</v>
      </c>
      <c r="C6" s="21">
        <v>45420.75</v>
      </c>
      <c r="D6" s="22" t="s">
        <v>109</v>
      </c>
      <c r="E6" s="23">
        <f t="shared" si="0"/>
        <v>0.16666666666424135</v>
      </c>
      <c r="F6" s="14"/>
    </row>
    <row r="7" spans="2:6" x14ac:dyDescent="0.25">
      <c r="B7" s="21">
        <v>45429</v>
      </c>
      <c r="C7" s="21">
        <v>45429.17291666667</v>
      </c>
      <c r="D7" s="22" t="s">
        <v>110</v>
      </c>
      <c r="E7" s="23">
        <f t="shared" si="0"/>
        <v>0.17291666667006211</v>
      </c>
      <c r="F7" s="14"/>
    </row>
    <row r="8" spans="2:6" x14ac:dyDescent="0.25">
      <c r="B8" s="21">
        <v>45429.875</v>
      </c>
      <c r="C8" s="21">
        <v>45429.930555555555</v>
      </c>
      <c r="D8" s="22" t="s">
        <v>111</v>
      </c>
      <c r="E8" s="23">
        <f t="shared" si="0"/>
        <v>5.5555555554747116E-2</v>
      </c>
      <c r="F8" s="14"/>
    </row>
    <row r="9" spans="2:6" x14ac:dyDescent="0.25">
      <c r="B9" s="21">
        <v>45430.75</v>
      </c>
      <c r="C9" s="21">
        <v>45430.82916666667</v>
      </c>
      <c r="D9" s="22" t="s">
        <v>122</v>
      </c>
      <c r="E9" s="23">
        <f t="shared" si="0"/>
        <v>7.9166666670062114E-2</v>
      </c>
      <c r="F9" s="14"/>
    </row>
    <row r="10" spans="2:6" x14ac:dyDescent="0.25">
      <c r="B10" s="21">
        <v>45433.583333333336</v>
      </c>
      <c r="C10" s="21">
        <v>45433.75</v>
      </c>
      <c r="D10" s="22" t="s">
        <v>112</v>
      </c>
      <c r="E10" s="23">
        <f t="shared" si="0"/>
        <v>0.16666666666424135</v>
      </c>
      <c r="F10" s="14"/>
    </row>
    <row r="11" spans="2:6" x14ac:dyDescent="0.25">
      <c r="B11" s="21">
        <v>45434.958333333336</v>
      </c>
      <c r="C11" s="21">
        <v>45435.159722222219</v>
      </c>
      <c r="D11" s="22"/>
      <c r="E11" s="23">
        <f t="shared" si="0"/>
        <v>0.20138888888322981</v>
      </c>
      <c r="F11" s="14"/>
    </row>
    <row r="12" spans="2:6" ht="30" x14ac:dyDescent="0.25">
      <c r="B12" s="21">
        <v>45444.916666666664</v>
      </c>
      <c r="C12" s="21">
        <v>45445.125</v>
      </c>
      <c r="D12" s="22" t="s">
        <v>113</v>
      </c>
      <c r="E12" s="23">
        <f t="shared" si="0"/>
        <v>0.20833333333575865</v>
      </c>
      <c r="F12" s="14"/>
    </row>
    <row r="13" spans="2:6" ht="45" x14ac:dyDescent="0.25">
      <c r="B13" s="21">
        <v>45445.666666666664</v>
      </c>
      <c r="C13" s="21">
        <v>45445.916666666664</v>
      </c>
      <c r="D13" s="22" t="s">
        <v>114</v>
      </c>
      <c r="E13" s="23">
        <f t="shared" si="0"/>
        <v>0.25</v>
      </c>
      <c r="F13" s="14"/>
    </row>
    <row r="14" spans="2:6" ht="30" x14ac:dyDescent="0.25">
      <c r="B14" s="21">
        <v>45446.8125</v>
      </c>
      <c r="C14" s="21">
        <v>45447.15625</v>
      </c>
      <c r="D14" s="22" t="s">
        <v>115</v>
      </c>
      <c r="E14" s="23">
        <f t="shared" si="0"/>
        <v>0.34375</v>
      </c>
      <c r="F14" s="14"/>
    </row>
    <row r="15" spans="2:6" ht="30" x14ac:dyDescent="0.25">
      <c r="B15" s="21">
        <v>45447.791666666664</v>
      </c>
      <c r="C15" s="21">
        <v>45447.999305555553</v>
      </c>
      <c r="D15" s="22" t="s">
        <v>116</v>
      </c>
      <c r="E15" s="23">
        <f t="shared" si="0"/>
        <v>0.20763888888905058</v>
      </c>
      <c r="F15" s="14"/>
    </row>
    <row r="16" spans="2:6" x14ac:dyDescent="0.25">
      <c r="B16" s="21">
        <v>45448.708333333336</v>
      </c>
      <c r="C16" s="21">
        <v>45448.75</v>
      </c>
      <c r="D16" s="22" t="s">
        <v>117</v>
      </c>
      <c r="E16" s="23">
        <f t="shared" si="0"/>
        <v>4.1666666664241347E-2</v>
      </c>
      <c r="F16" s="14"/>
    </row>
    <row r="17" spans="2:6" x14ac:dyDescent="0.25">
      <c r="B17" s="21">
        <v>45448.833333333336</v>
      </c>
      <c r="C17" s="21">
        <v>45449.041666666664</v>
      </c>
      <c r="D17" s="22"/>
      <c r="E17" s="23">
        <f t="shared" si="0"/>
        <v>0.20833333332848269</v>
      </c>
      <c r="F17" s="14"/>
    </row>
    <row r="18" spans="2:6" ht="30" x14ac:dyDescent="0.25">
      <c r="B18" s="21">
        <v>45451.020833333336</v>
      </c>
      <c r="C18" s="21">
        <v>45451.274305555555</v>
      </c>
      <c r="D18" s="22" t="s">
        <v>118</v>
      </c>
      <c r="E18" s="23">
        <f t="shared" si="0"/>
        <v>0.25347222221898846</v>
      </c>
      <c r="F18" s="14"/>
    </row>
    <row r="19" spans="2:6" ht="45" x14ac:dyDescent="0.25">
      <c r="B19" s="21">
        <v>45451.666666666664</v>
      </c>
      <c r="C19" s="21">
        <v>45451.958333333336</v>
      </c>
      <c r="D19" s="22" t="s">
        <v>119</v>
      </c>
      <c r="E19" s="23">
        <f t="shared" si="0"/>
        <v>0.29166666667151731</v>
      </c>
      <c r="F19" s="14"/>
    </row>
    <row r="20" spans="2:6" ht="30" x14ac:dyDescent="0.25">
      <c r="B20" s="21">
        <v>45452.520833333336</v>
      </c>
      <c r="C20" s="21">
        <v>45452.6875</v>
      </c>
      <c r="D20" s="22" t="s">
        <v>120</v>
      </c>
      <c r="E20" s="23">
        <f t="shared" si="0"/>
        <v>0.16666666666424135</v>
      </c>
      <c r="F20" s="14"/>
    </row>
    <row r="21" spans="2:6" x14ac:dyDescent="0.25">
      <c r="B21" s="21"/>
      <c r="C21" s="21"/>
    </row>
    <row r="22" spans="2:6" x14ac:dyDescent="0.25">
      <c r="B22" s="21"/>
      <c r="C22" s="21"/>
    </row>
    <row r="23" spans="2:6" x14ac:dyDescent="0.25">
      <c r="B23" s="21"/>
      <c r="C23" s="21"/>
    </row>
    <row r="24" spans="2:6" x14ac:dyDescent="0.25">
      <c r="B24" s="21"/>
      <c r="C24" s="21"/>
    </row>
    <row r="25" spans="2:6" x14ac:dyDescent="0.25">
      <c r="B25" s="21"/>
      <c r="C25" s="21"/>
    </row>
    <row r="26" spans="2:6" x14ac:dyDescent="0.25">
      <c r="B26" s="21"/>
      <c r="C26" s="2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Materials</vt:lpstr>
      <vt:lpstr>Boyancy</vt:lpstr>
      <vt:lpstr>Time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Curtis Johnson</dc:creator>
  <cp:lastModifiedBy>Curtis Johnson</cp:lastModifiedBy>
  <dcterms:created xsi:type="dcterms:W3CDTF">2024-02-17T02:51:54Z</dcterms:created>
  <dcterms:modified xsi:type="dcterms:W3CDTF">2025-01-13T21:24:12Z</dcterms:modified>
</cp:coreProperties>
</file>