
<file path=[Content_Types].xml><?xml version="1.0" encoding="utf-8"?>
<Types xmlns="http://schemas.openxmlformats.org/package/2006/content-types">
  <Default Extension="png" ContentType="image/png"/>
  <Default Extension="wmf" ContentType="image/x-wmf"/>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tabRatio="787" firstSheet="1" activeTab="1"/>
  </bookViews>
  <sheets>
    <sheet name="ML algo" sheetId="1" r:id="rId1"/>
    <sheet name="papers" sheetId="2" r:id="rId2"/>
    <sheet name="performance" sheetId="3" r:id="rId3"/>
    <sheet name="qlib" sheetId="4" r:id="rId4"/>
    <sheet name="trend_strat" sheetId="5" r:id="rId5"/>
    <sheet name="trade_discipline" sheetId="6" r:id="rId6"/>
    <sheet name="fundamental" sheetId="7" r:id="rId7"/>
    <sheet name="HFT" sheetId="8" r:id="rId8"/>
    <sheet name="watchlist_asset" sheetId="9" r:id="rId9"/>
    <sheet name="watchlist_structure" sheetId="10" r:id="rId10"/>
    <sheet name="watchlist_industry" sheetId="11" r:id="rId11"/>
    <sheet name="demo_strat"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<sst xmlns="http://schemas.openxmlformats.org/spreadsheetml/2006/main" count="1390" uniqueCount="1225">
  <si>
    <t>Algorithm</t>
  </si>
  <si>
    <t>DL Type</t>
  </si>
  <si>
    <t>Key Features</t>
  </si>
  <si>
    <t>Advantages</t>
  </si>
  <si>
    <t>Disadvantages</t>
  </si>
  <si>
    <t>Common Use Cases</t>
  </si>
  <si>
    <t>Linear Regression</t>
  </si>
  <si>
    <t>Supervised Learning</t>
  </si>
  <si>
    <t>Simple linear approach, assumes a linear relationship between input and output</t>
  </si>
  <si>
    <t>Easy to implement and interpret, requires minimal computational resources</t>
  </si>
  <si>
    <t>Assumes linearity, sensitive to outliers, poor performance on non-linear data</t>
  </si>
  <si>
    <t>Predictive analysis, risk management</t>
  </si>
  <si>
    <t>Logistic Regression</t>
  </si>
  <si>
    <t>Classification algorithm, predicts probability of class membership</t>
  </si>
  <si>
    <t>Simple, efficient for binary and multi-class classification, easy to interpret probabilities</t>
  </si>
  <si>
    <t>Sensitive to outliers, handles linear boundaries</t>
  </si>
  <si>
    <t>Credit scoring, medical diagnosis</t>
  </si>
  <si>
    <t>Decision Trees</t>
  </si>
  <si>
    <t>Tree-like model of decisions, can handle both classification and regression tasks</t>
  </si>
  <si>
    <t>Easy to visualize, interpretable, handles both numerical and categorical data</t>
  </si>
  <si>
    <t>Complex trees that do not generalize well</t>
  </si>
  <si>
    <t>Customer segmentation, risk analysis</t>
  </si>
  <si>
    <t>Random Forest</t>
  </si>
  <si>
    <t>Ensemble of decision trees, reduces overfitting by averaging</t>
  </si>
  <si>
    <t>Handles high-dimensional data well, reduces overfitting, robust to outliers</t>
  </si>
  <si>
    <t>Computationally intensive, less interpretable than individual decision trees</t>
  </si>
  <si>
    <t>Fraud detection, feature selection</t>
  </si>
  <si>
    <t>Support Vector Machine</t>
  </si>
  <si>
    <t>Classifies data by finding the best hyperplane that separates classes</t>
  </si>
  <si>
    <t>Effective in high-dimensional spaces, robust to overfitting, works well for small to medium-sized data sets</t>
  </si>
  <si>
    <t>Requires careful tuning of parameters, computationally intensive for large datasets</t>
  </si>
  <si>
    <t>Image classification, text categorization</t>
  </si>
  <si>
    <t>K-Nearest Neighbors</t>
  </si>
  <si>
    <t>Non-parametric, instance-based learning algorithm</t>
  </si>
  <si>
    <t>Simple to implement, no training phase, works well with small datasets</t>
  </si>
  <si>
    <t>Computationally expensive during prediction, sensitive to irrelevant features and the choice of k</t>
  </si>
  <si>
    <t>Recommender systems, anomaly detection</t>
  </si>
  <si>
    <t>Naive Bayes</t>
  </si>
  <si>
    <t>Probabilistic classifier based on Bayes' theorem, assumes independence between features</t>
  </si>
  <si>
    <t>Fast, efficient, works well with high-dimensional data, performs well with small data sets</t>
  </si>
  <si>
    <t>Assumes feature independence (often unrealistic), sensitive to zero probability</t>
  </si>
  <si>
    <t>Spam filtering, document classification</t>
  </si>
  <si>
    <t>Gradient Boosting</t>
  </si>
  <si>
    <t>Sequentially to correct errors of previous models</t>
  </si>
  <si>
    <t>High accuracy, robust to overfitting, works well with a variety of loss functions</t>
  </si>
  <si>
    <t>Computationally expensive, sensitive to noisy data</t>
  </si>
  <si>
    <t>Web search ranking, predictive modeling</t>
  </si>
  <si>
    <t>XGBoost</t>
  </si>
  <si>
    <t>Optimized distributed gradient boosting, regularization to prevent overfitting</t>
  </si>
  <si>
    <t>High performance, scalable, robust to overfitting, handles missing data well</t>
  </si>
  <si>
    <t>Requires careful tuning, can be complex to implement</t>
  </si>
  <si>
    <t>Large-scale data analysis, competition winning</t>
  </si>
  <si>
    <t>Neural Networks</t>
  </si>
  <si>
    <t>Computational models inspired by the human brain, capable of learning complex patterns</t>
  </si>
  <si>
    <t>Highly flexible, can model complex non-linear relationships, state-of-the-art in many domains</t>
  </si>
  <si>
    <t>Requires large amounts of data and computational resources, can be prone to overfitting</t>
  </si>
  <si>
    <t>Image and speech recognition, natural language processing</t>
  </si>
  <si>
    <t>Convolutional Neural Networks (CNNs)</t>
  </si>
  <si>
    <t>Specialized neural networks for grid-like data, especially images</t>
  </si>
  <si>
    <t>Excellent performance on image data, automatically detects important features</t>
  </si>
  <si>
    <t>Requires large labeled datasets, computationally expensive</t>
  </si>
  <si>
    <t>Image classification, object detection</t>
  </si>
  <si>
    <t>Recurrent Neural Networks (RNNs)</t>
  </si>
  <si>
    <t>Neural networks with loops, suitable for sequential data</t>
  </si>
  <si>
    <t>Can handle sequences of varying lengths, remembers previous inputs</t>
  </si>
  <si>
    <t>Prone to vanishing and exploding gradients, difficult to train</t>
  </si>
  <si>
    <t>Time series forecasting, language modeling</t>
  </si>
  <si>
    <t>Long Short-Term Memory (LSTM)</t>
  </si>
  <si>
    <t>Special type of RNN designed to overcome vanishing gradient problem</t>
  </si>
  <si>
    <t>Good at capturing long-term dependencies, effective for sequential data</t>
  </si>
  <si>
    <t>Computationally expensive, requires large datasets</t>
  </si>
  <si>
    <t>Speech recognition, machine translation</t>
  </si>
  <si>
    <t>Reinforcement Learning</t>
  </si>
  <si>
    <t>Learning through interactions with an environment to maximize cumulative reward</t>
  </si>
  <si>
    <t>Capable of learning complex behaviors, adapts to changing environments</t>
  </si>
  <si>
    <t>Requires large amounts of data, can be unstable and difficult to design</t>
  </si>
  <si>
    <t>Robotics, game playing</t>
  </si>
  <si>
    <t>K-Means Clustering</t>
  </si>
  <si>
    <t>Unsupervised Learning</t>
  </si>
  <si>
    <t>Partition-based clustering algorithm, groups data into k clusters</t>
  </si>
  <si>
    <t>Simple to implement, efficient, works well with large datasets</t>
  </si>
  <si>
    <t>Requires pre-specifying the number of clusters, sensitive to initial cluster centers</t>
  </si>
  <si>
    <t>Market segmentation, image compression</t>
  </si>
  <si>
    <t>DBSCAN</t>
  </si>
  <si>
    <t>Density-based clustering, identifies clusters based on density of data points</t>
  </si>
  <si>
    <t>Does not require specifying the number of clusters</t>
  </si>
  <si>
    <t>Sensitive to choice of parameters, can struggle with varying densities</t>
  </si>
  <si>
    <t>Geospatial analysis, anomaly detection</t>
  </si>
  <si>
    <t>Principal Component Analysis (PCA)</t>
  </si>
  <si>
    <t>Dimensionality reduction technique, transforms data to new feature space with reduced dimensions</t>
  </si>
  <si>
    <t>Reduces dimensionality, improves computational efficiency, helps in visualizing high-dimensional data</t>
  </si>
  <si>
    <t>Loss of interpretability, can discard useful information</t>
  </si>
  <si>
    <t>Data compression, noise reduction</t>
  </si>
  <si>
    <t>Paper</t>
  </si>
  <si>
    <t>GBDT (XGBoost)</t>
  </si>
  <si>
    <t>Tianqi Chen et al., KDD 2016</t>
  </si>
  <si>
    <t>Gradient boosting framework that uses tree boosting</t>
  </si>
  <si>
    <t>High performance, flexible, handles missing data well</t>
  </si>
  <si>
    <t>Computationally expensive, requires careful parameter tuning</t>
  </si>
  <si>
    <t>Predictive modeling, classification, regression</t>
  </si>
  <si>
    <t>GBDT (LightGBM)</t>
  </si>
  <si>
    <t>Guolin Ke et al., NIPS 2017</t>
  </si>
  <si>
    <t>Optimized for speed and efficiency, supports parallel learning</t>
  </si>
  <si>
    <t>Fast, efficient on large datasets, lower memory usage</t>
  </si>
  <si>
    <t>Sensitive to overfitting, requires proper parameter tuning</t>
  </si>
  <si>
    <t>Large-scale data analysis, ranking problems</t>
  </si>
  <si>
    <t>GBDT (CatBoost)</t>
  </si>
  <si>
    <t>Liudmila Prokhorenkova et al., NIPS 2018</t>
  </si>
  <si>
    <t>Handles categorical features automatically, symmetric tree structure</t>
  </si>
  <si>
    <t>Handles categorical data well, robust to overfitting</t>
  </si>
  <si>
    <t>Complex implementation, slower training times</t>
  </si>
  <si>
    <t>Tabular data with categorical features, classification</t>
  </si>
  <si>
    <t>MLP (PyTorch)</t>
  </si>
  <si>
    <t>-</t>
  </si>
  <si>
    <t>Feedforward neural network with multiple layers</t>
  </si>
  <si>
    <t>Flexible, can model complex relationships</t>
  </si>
  <si>
    <t>Prone to overfitting, requires large datasets</t>
  </si>
  <si>
    <t>Image recognition, financial forecasting</t>
  </si>
  <si>
    <t>LSTM (PyTorch)</t>
  </si>
  <si>
    <t>Sepp Hochreiter et al., Neural Computation 1997</t>
  </si>
  <si>
    <t>Recurrent neural network designed to handle long-term dependencies</t>
  </si>
  <si>
    <t>Captures long-term dependencies well, effective for sequential data</t>
  </si>
  <si>
    <t>Computationally expensive, sensitive to hyperparameters</t>
  </si>
  <si>
    <t>Time series prediction, speech recognition</t>
  </si>
  <si>
    <t>GRU (PyTorch)</t>
  </si>
  <si>
    <t>Kyunghyun Cho et al., 2014</t>
  </si>
  <si>
    <t>Simplified version of LSTM with fewer parameters</t>
  </si>
  <si>
    <t>Faster training, performs well on sequential data</t>
  </si>
  <si>
    <t>May not capture dependencies as well as LSTM</t>
  </si>
  <si>
    <t>Sequential data modeling, language modeling</t>
  </si>
  <si>
    <t>ALSTM (PyTorch)</t>
  </si>
  <si>
    <t>Yao Qin et al., IJCAI 2017</t>
  </si>
  <si>
    <t>Attention-based LSTM, focuses on relevant parts of input sequence</t>
  </si>
  <si>
    <t>Improved performance on long sequences, interpretable</t>
  </si>
  <si>
    <t>Computationally intensive</t>
  </si>
  <si>
    <t>Financial forecasting, sequence modeling</t>
  </si>
  <si>
    <t>GATs (PyTorch)</t>
  </si>
  <si>
    <t>Petar Velickovic et al., 2017</t>
  </si>
  <si>
    <t>Graph Attention Networks, apply attention mechanism to graph-structured data</t>
  </si>
  <si>
    <t>Captures complex relationships in graph data, scalable</t>
  </si>
  <si>
    <t>Complex implementation, requires large datasets</t>
  </si>
  <si>
    <t>Social network analysis, recommender systems</t>
  </si>
  <si>
    <t>SFM (PyTorch)</t>
  </si>
  <si>
    <t>Liheng Zhang et al., KDD 2017</t>
  </si>
  <si>
    <t>Sequential-based Factorization Machines, capture long-term dependencies in sequential data</t>
  </si>
  <si>
    <t>Handles large-scale sparse data well, interpretable</t>
  </si>
  <si>
    <t>Sensitive to hyperparameters, computationally expensive</t>
  </si>
  <si>
    <t>Recommender systems, click prediction</t>
  </si>
  <si>
    <t>TFT (TensorFlow)</t>
  </si>
  <si>
    <t>Bryan Lim et al., International Journal of Forecasting 2019</t>
  </si>
  <si>
    <t>Temporal Fusion Transformers, designed for multi-horizon forecasting</t>
  </si>
  <si>
    <t>Handles temporal patterns well, interpretable</t>
  </si>
  <si>
    <t>Time series forecasting, demand forecasting</t>
  </si>
  <si>
    <t>TabNet (PyTorch)</t>
  </si>
  <si>
    <t>Sercan O. Arik et al., AAAI 2019</t>
  </si>
  <si>
    <t>Uses attention mechanism for interpretability and performance</t>
  </si>
  <si>
    <t>Interpretable, handles tabular data well</t>
  </si>
  <si>
    <t>Requires large datasets, computationally intensive</t>
  </si>
  <si>
    <t>Tabular data classification, regression</t>
  </si>
  <si>
    <t>DoubleEnsemble (LightGBM)</t>
  </si>
  <si>
    <t>Chuheng Zhang et al., ICDM 2020</t>
  </si>
  <si>
    <t>Combines multiple models to improve performance and robustness</t>
  </si>
  <si>
    <t>Reduces overfitting, improves model stability</t>
  </si>
  <si>
    <t>Computationally expensive, complex implementation</t>
  </si>
  <si>
    <t>Predictive modeling, financial forecasting</t>
  </si>
  <si>
    <t>TCTS (PyTorch)</t>
  </si>
  <si>
    <t>Xueqing Wu et al., ICML 2021</t>
  </si>
  <si>
    <t>Time-series Cross-domain Transfer, transfers knowledge between domains</t>
  </si>
  <si>
    <t>Improves performance on small datasets, generalizable</t>
  </si>
  <si>
    <t>Complex implementation, requires careful tuning</t>
  </si>
  <si>
    <t>Cross-domain time series forecasting</t>
  </si>
  <si>
    <t>Transformer (PyTorch)</t>
  </si>
  <si>
    <t>Ashish Vaswani et al., NeurIPS 2017</t>
  </si>
  <si>
    <t>Self-attention mechanism, handles sequential data well</t>
  </si>
  <si>
    <t>Efficient, captures long-range dependencies</t>
  </si>
  <si>
    <t>Requires large datasets, computationally expensive</t>
  </si>
  <si>
    <t>Natural language processing, time series prediction</t>
  </si>
  <si>
    <t>Localformer (PyTorch)</t>
  </si>
  <si>
    <t>Juyong Jiang et al., -</t>
  </si>
  <si>
    <t>Local attention mechanism, focuses on local patterns in data</t>
  </si>
  <si>
    <t>Efficient, captures local dependencies</t>
  </si>
  <si>
    <t>Relatively new, less mature</t>
  </si>
  <si>
    <t>Sequential data analysis, financial forecasting</t>
  </si>
  <si>
    <t>TRA (PyTorch)</t>
  </si>
  <si>
    <t>Hengxu Dong et al., KDD 2021</t>
  </si>
  <si>
    <t>Transformer-based Relational Attention, captures relational dependencies</t>
  </si>
  <si>
    <t>Handles relational data well, interpretable</t>
  </si>
  <si>
    <t>Recommender systems, relational data analysis</t>
  </si>
  <si>
    <t>TCN (PyTorch)</t>
  </si>
  <si>
    <t>Shaojie Bai et al., 2018</t>
  </si>
  <si>
    <t>Temporal Convolutional Networks, convolutional approach to sequence modeling</t>
  </si>
  <si>
    <t>Captures long-term dependencies, parallelizable</t>
  </si>
  <si>
    <t>Sequential data analysis, time series forecasting</t>
  </si>
  <si>
    <t>ADARNN (PyTorch)</t>
  </si>
  <si>
    <t>YunTao Du et al., 2021</t>
  </si>
  <si>
    <t>Adaptive Recurrent Neural Networks, dynamically adapts to different time steps</t>
  </si>
  <si>
    <t>Flexible, captures dynamic patterns</t>
  </si>
  <si>
    <t>Time series forecasting, sequential data modeling</t>
  </si>
  <si>
    <t>ADD (PyTorch)</t>
  </si>
  <si>
    <t>Hongshun Tang et al., 2020</t>
  </si>
  <si>
    <t>Attention-based Dynamic Decomposition, captures dynamic patterns in data</t>
  </si>
  <si>
    <t>Flexible, interpretable</t>
  </si>
  <si>
    <t>Complex implementation, computationally expensive</t>
  </si>
  <si>
    <t>Time series forecasting, anomaly detection</t>
  </si>
  <si>
    <t>IGMTF (PyTorch)</t>
  </si>
  <si>
    <t>Wentao Xu et al., 2021</t>
  </si>
  <si>
    <t>Integrated Graph and Multi-task Fusion, combines graph and multi-task learning</t>
  </si>
  <si>
    <t>Captures complex relationships, generalizable</t>
  </si>
  <si>
    <t>Cross-domain analysis, multi-task learning</t>
  </si>
  <si>
    <t>HIST (PyTorch)</t>
  </si>
  <si>
    <t>Hierarchical Interaction Transformer, models hierarchical relationships</t>
  </si>
  <si>
    <t>Captures hierarchical patterns, interpretable</t>
  </si>
  <si>
    <t>Hierarchical data analysis, time series forecasting</t>
  </si>
  <si>
    <t>KRNN (PyTorch)</t>
  </si>
  <si>
    <t>Kernel-based Recurrent Neural Networks, integrates kernel methods with RNNs</t>
  </si>
  <si>
    <t>Flexible, captures complex dependencies</t>
  </si>
  <si>
    <t>Sequential data modeling, financial forecasting</t>
  </si>
  <si>
    <t>Sandwich (PyTorch)</t>
  </si>
  <si>
    <t>Stacks multiple models in a sandwich structure for improved performance</t>
  </si>
  <si>
    <t>Reduces overfitting, improves robustness</t>
  </si>
  <si>
    <t>CSI300</t>
  </si>
  <si>
    <t>Model Name</t>
  </si>
  <si>
    <t>Dataset</t>
  </si>
  <si>
    <t>IC</t>
  </si>
  <si>
    <t>ICIR</t>
  </si>
  <si>
    <t>Rank IC</t>
  </si>
  <si>
    <t>Rank ICIR</t>
  </si>
  <si>
    <t>Annualized Return</t>
  </si>
  <si>
    <t>Information Ratio</t>
  </si>
  <si>
    <t>Max Drawdown</t>
  </si>
  <si>
    <t>DoubleEnsemble(Chuheng Zhang, et al.)</t>
  </si>
  <si>
    <t>Alpha158</t>
  </si>
  <si>
    <t>0.0521±0.00</t>
  </si>
  <si>
    <t>0.4223±0.01</t>
  </si>
  <si>
    <t>0.0502±0.00</t>
  </si>
  <si>
    <t>0.4117±0.01</t>
  </si>
  <si>
    <t>0.1158±0.01</t>
  </si>
  <si>
    <t>1.3432±0.11</t>
  </si>
  <si>
    <t>-0.0920±0.01</t>
  </si>
  <si>
    <t>XGBoost(Tianqi Chen, et al.)</t>
  </si>
  <si>
    <t>0.0498±0.00</t>
  </si>
  <si>
    <t>0.3779±0.00</t>
  </si>
  <si>
    <t>0.0505±0.00</t>
  </si>
  <si>
    <t>0.4131±0.00</t>
  </si>
  <si>
    <t>0.0780±0.00</t>
  </si>
  <si>
    <t>0.9070±0.00</t>
  </si>
  <si>
    <t>-0.1168±0.00</t>
  </si>
  <si>
    <t>CatBoost(Liudmila Prokhorenkova, et al.)</t>
  </si>
  <si>
    <t>0.0481±0.00</t>
  </si>
  <si>
    <t>0.3366±0.00</t>
  </si>
  <si>
    <t>0.0454±0.00</t>
  </si>
  <si>
    <t>0.3311±0.00</t>
  </si>
  <si>
    <t>0.0765±0.00</t>
  </si>
  <si>
    <t>0.8032±0.01</t>
  </si>
  <si>
    <t>-0.1092±0.00</t>
  </si>
  <si>
    <t>LightGBM(Guolin Ke, et al.)</t>
  </si>
  <si>
    <t>0.0448±0.00</t>
  </si>
  <si>
    <t>0.3660±0.00</t>
  </si>
  <si>
    <t>0.0469±0.00</t>
  </si>
  <si>
    <t>0.3877±0.00</t>
  </si>
  <si>
    <t>0.0901±0.00</t>
  </si>
  <si>
    <t>1.0164±0.00</t>
  </si>
  <si>
    <t>-0.1038±0.00</t>
  </si>
  <si>
    <t>TRA(Hengxu Lin, et al.)</t>
  </si>
  <si>
    <t>0.0440±0.00</t>
  </si>
  <si>
    <t>0.3535±0.05</t>
  </si>
  <si>
    <t>0.0540±0.00</t>
  </si>
  <si>
    <t>0.4451±0.03</t>
  </si>
  <si>
    <t>0.0718±0.02</t>
  </si>
  <si>
    <t>1.0835±0.35</t>
  </si>
  <si>
    <t>-0.0760±0.02</t>
  </si>
  <si>
    <t>Alpha158(with selected 20 features)</t>
  </si>
  <si>
    <t>0.0404±0.00</t>
  </si>
  <si>
    <t>0.3197±0.05</t>
  </si>
  <si>
    <t>0.0490±0.00</t>
  </si>
  <si>
    <t>0.4047±0.04</t>
  </si>
  <si>
    <t>0.0649±0.02</t>
  </si>
  <si>
    <t>1.0091±0.30</t>
  </si>
  <si>
    <t>-0.0860±0.02</t>
  </si>
  <si>
    <t>Linear</t>
  </si>
  <si>
    <t>0.0397±0.00</t>
  </si>
  <si>
    <t>0.3000±0.00</t>
  </si>
  <si>
    <t>0.0472±0.00</t>
  </si>
  <si>
    <t>0.3531±0.00</t>
  </si>
  <si>
    <t>0.0692±0.00</t>
  </si>
  <si>
    <t>0.9209±0.00</t>
  </si>
  <si>
    <t>-0.1509±0.00</t>
  </si>
  <si>
    <t>SFM(Liheng Zhang, et al.)</t>
  </si>
  <si>
    <t>0.0379±0.00</t>
  </si>
  <si>
    <t>0.2959±0.04</t>
  </si>
  <si>
    <t>0.0464±0.00</t>
  </si>
  <si>
    <t>0.3825±0.04</t>
  </si>
  <si>
    <t>0.0465±0.02</t>
  </si>
  <si>
    <t>0.5672±0.29</t>
  </si>
  <si>
    <t>-0.1282±0.03</t>
  </si>
  <si>
    <t>MLP</t>
  </si>
  <si>
    <t>0.0376±0.00</t>
  </si>
  <si>
    <t>0.2846±0.02</t>
  </si>
  <si>
    <t>0.0429±0.00</t>
  </si>
  <si>
    <t>0.3220±0.01</t>
  </si>
  <si>
    <t>0.0895±0.02</t>
  </si>
  <si>
    <t>1.1408±0.23</t>
  </si>
  <si>
    <t>-0.1103±0.02</t>
  </si>
  <si>
    <t>ALSTM (Yao Qin, et al.)</t>
  </si>
  <si>
    <t>0.0362±0.01</t>
  </si>
  <si>
    <t>0.2789±0.06</t>
  </si>
  <si>
    <t>0.0463±0.01</t>
  </si>
  <si>
    <t>0.3661±0.05</t>
  </si>
  <si>
    <t>0.0470±0.03</t>
  </si>
  <si>
    <t>0.6992±0.47</t>
  </si>
  <si>
    <t>-0.1072±0.03</t>
  </si>
  <si>
    <t>TFT (Bryan Lim, et al.)</t>
  </si>
  <si>
    <t>0.0358±0.00</t>
  </si>
  <si>
    <t>0.2160±0.03</t>
  </si>
  <si>
    <t>0.0116±0.01</t>
  </si>
  <si>
    <t>0.0720±0.03</t>
  </si>
  <si>
    <t>0.0847±0.02</t>
  </si>
  <si>
    <t>0.8131±0.19</t>
  </si>
  <si>
    <t>-0.1824±0.03</t>
  </si>
  <si>
    <t>Localformer(Juyong Jiang, et al.)</t>
  </si>
  <si>
    <t>0.0356±0.00</t>
  </si>
  <si>
    <t>0.2756±0.03</t>
  </si>
  <si>
    <t>0.0468±0.00</t>
  </si>
  <si>
    <t>0.3784±0.03</t>
  </si>
  <si>
    <t>0.0438±0.02</t>
  </si>
  <si>
    <t>0.6600±0.33</t>
  </si>
  <si>
    <t>-0.0952±0.02</t>
  </si>
  <si>
    <t>GATs (Petar Velickovic, et al.)</t>
  </si>
  <si>
    <t>0.0349±0.00</t>
  </si>
  <si>
    <t>0.2511±0.01</t>
  </si>
  <si>
    <t>0.0462±0.00</t>
  </si>
  <si>
    <t>0.3564±0.01</t>
  </si>
  <si>
    <t>0.0497±0.01</t>
  </si>
  <si>
    <t>0.7338±0.19</t>
  </si>
  <si>
    <t>-0.0777±0.02</t>
  </si>
  <si>
    <t>LSTM(Sepp Hochreiter, et al.)</t>
  </si>
  <si>
    <t>0.0318±0.00</t>
  </si>
  <si>
    <t>0.2367±0.04</t>
  </si>
  <si>
    <t>0.0435±0.00</t>
  </si>
  <si>
    <t>0.3389±0.03</t>
  </si>
  <si>
    <t>0.0381±0.03</t>
  </si>
  <si>
    <t>0.5561±0.46</t>
  </si>
  <si>
    <t>-0.1207±0.04</t>
  </si>
  <si>
    <t>GRU(Kyunghyun Cho, et al.)</t>
  </si>
  <si>
    <t>0.0315±0.00</t>
  </si>
  <si>
    <t>0.2450±0.04</t>
  </si>
  <si>
    <t>0.0428±0.00</t>
  </si>
  <si>
    <t>0.3440±0.03</t>
  </si>
  <si>
    <t>0.0344±0.02</t>
  </si>
  <si>
    <t>0.5160±0.25</t>
  </si>
  <si>
    <t>-0.1017±0.02</t>
  </si>
  <si>
    <t>TCN(Shaojie Bai, et al.)</t>
  </si>
  <si>
    <t>0.0279±0.00</t>
  </si>
  <si>
    <t>0.2181±0.01</t>
  </si>
  <si>
    <t>0.0421±0.00</t>
  </si>
  <si>
    <t>0.3429±0.01</t>
  </si>
  <si>
    <t>0.0262±0.02</t>
  </si>
  <si>
    <t>0.4133±0.25</t>
  </si>
  <si>
    <t>-0.1090±0.03</t>
  </si>
  <si>
    <t>Transformer(Ashish Vaswani, et al.)</t>
  </si>
  <si>
    <t>0.0264±0.00</t>
  </si>
  <si>
    <t>0.2053±0.02</t>
  </si>
  <si>
    <t>0.0407±0.00</t>
  </si>
  <si>
    <t>0.3273±0.02</t>
  </si>
  <si>
    <t>0.0273±0.02</t>
  </si>
  <si>
    <t>0.3970±0.26</t>
  </si>
  <si>
    <t>-0.1101±0.02</t>
  </si>
  <si>
    <t>TabNet(Sercan O. Arik, et al.)</t>
  </si>
  <si>
    <t>0.0204±0.01</t>
  </si>
  <si>
    <t>0.1554±0.07</t>
  </si>
  <si>
    <t>0.0333±0.00</t>
  </si>
  <si>
    <t>0.2552±0.05</t>
  </si>
  <si>
    <t>0.0227±0.04</t>
  </si>
  <si>
    <t>0.3676±0.54</t>
  </si>
  <si>
    <t>-0.1089±0.08</t>
  </si>
  <si>
    <t>Alpha360</t>
  </si>
  <si>
    <t>0.0114±0.00</t>
  </si>
  <si>
    <t>0.0716±0.03</t>
  </si>
  <si>
    <t>0.0327±0.00</t>
  </si>
  <si>
    <t>0.2248±0.02</t>
  </si>
  <si>
    <t>-0.0270±0.03</t>
  </si>
  <si>
    <t>-0.3378±0.37</t>
  </si>
  <si>
    <t>-0.1653±0.05</t>
  </si>
  <si>
    <t>0.0099±0.00</t>
  </si>
  <si>
    <t>0.0593±0.00</t>
  </si>
  <si>
    <t>0.0290±0.00</t>
  </si>
  <si>
    <t>0.1887±0.00</t>
  </si>
  <si>
    <t>-0.0369±0.00</t>
  </si>
  <si>
    <t>-0.3892±0.00</t>
  </si>
  <si>
    <t>-0.2145±0.00</t>
  </si>
  <si>
    <t>0.0273±0.00</t>
  </si>
  <si>
    <t>0.1870±0.02</t>
  </si>
  <si>
    <t>0.0396±0.00</t>
  </si>
  <si>
    <t>0.2910±0.02</t>
  </si>
  <si>
    <t>0.0029±0.02</t>
  </si>
  <si>
    <t>0.0274±0.23</t>
  </si>
  <si>
    <t>-0.1385±0.03</t>
  </si>
  <si>
    <t>0.2932±0.04</t>
  </si>
  <si>
    <t>0.0542±0.00</t>
  </si>
  <si>
    <t>0.4110±0.03</t>
  </si>
  <si>
    <t>0.0246±0.02</t>
  </si>
  <si>
    <t>0.3211±0.21</t>
  </si>
  <si>
    <t>-0.1095±0.02</t>
  </si>
  <si>
    <t>CatBoost((Liudmila Prokhorenkova, et al.)</t>
  </si>
  <si>
    <t>0.0378±0.00</t>
  </si>
  <si>
    <t>0.2714±0.00</t>
  </si>
  <si>
    <t>0.0467±0.00</t>
  </si>
  <si>
    <t>0.3659±0.00</t>
  </si>
  <si>
    <t>0.0292±0.00</t>
  </si>
  <si>
    <t>0.3781±0.00</t>
  </si>
  <si>
    <t>-0.0862±0.00</t>
  </si>
  <si>
    <t>0.0394±0.00</t>
  </si>
  <si>
    <t>0.2909±0.00</t>
  </si>
  <si>
    <t>0.3679±0.00</t>
  </si>
  <si>
    <t>0.0344±0.00</t>
  </si>
  <si>
    <t>0.4527±0.02</t>
  </si>
  <si>
    <t>-0.1004±0.00</t>
  </si>
  <si>
    <t>0.0390±0.00</t>
  </si>
  <si>
    <t>0.2946±0.01</t>
  </si>
  <si>
    <t>0.0486±0.00</t>
  </si>
  <si>
    <t>0.3836±0.01</t>
  </si>
  <si>
    <t>0.0462±0.01</t>
  </si>
  <si>
    <t>0.6151±0.18</t>
  </si>
  <si>
    <t>-0.0915±0.01</t>
  </si>
  <si>
    <t>0.0400±0.00</t>
  </si>
  <si>
    <t>0.3037±0.00</t>
  </si>
  <si>
    <t>0.0499±0.00</t>
  </si>
  <si>
    <t>0.4042±0.00</t>
  </si>
  <si>
    <t>0.0558±0.00</t>
  </si>
  <si>
    <t>0.7632±0.00</t>
  </si>
  <si>
    <t>-0.0659±0.00</t>
  </si>
  <si>
    <t>0.0441±0.00</t>
  </si>
  <si>
    <t>0.3301±0.02</t>
  </si>
  <si>
    <t>0.0519±0.00</t>
  </si>
  <si>
    <t>0.4130±0.01</t>
  </si>
  <si>
    <t>0.0604±0.02</t>
  </si>
  <si>
    <t>0.8295±0.34</t>
  </si>
  <si>
    <t>-0.1018±0.03</t>
  </si>
  <si>
    <t>0.0497±0.00</t>
  </si>
  <si>
    <t>0.3829±0.04</t>
  </si>
  <si>
    <t>0.0599±0.00</t>
  </si>
  <si>
    <t>0.4736±0.03</t>
  </si>
  <si>
    <t>0.0626±0.02</t>
  </si>
  <si>
    <t>0.8651±0.31</t>
  </si>
  <si>
    <t>-0.0994±0.03</t>
  </si>
  <si>
    <t>0.3474±0.04</t>
  </si>
  <si>
    <t>0.0549±0.00</t>
  </si>
  <si>
    <t>0.4366±0.03</t>
  </si>
  <si>
    <t>0.0647±0.03</t>
  </si>
  <si>
    <t>0.8963±0.39</t>
  </si>
  <si>
    <t>-0.0875±0.02</t>
  </si>
  <si>
    <t>ADD</t>
  </si>
  <si>
    <t>0.0430±0.00</t>
  </si>
  <si>
    <t>0.3188±0.04</t>
  </si>
  <si>
    <t>0.0559±0.00</t>
  </si>
  <si>
    <t>0.4301±0.03</t>
  </si>
  <si>
    <t>0.0667±0.02</t>
  </si>
  <si>
    <t>0.8992±0.34</t>
  </si>
  <si>
    <t>-0.0855±0.02</t>
  </si>
  <si>
    <t>0.0493±0.00</t>
  </si>
  <si>
    <t>0.3772±0.04</t>
  </si>
  <si>
    <t>0.0584±0.00</t>
  </si>
  <si>
    <t>0.4638±0.03</t>
  </si>
  <si>
    <t>0.0720±0.02</t>
  </si>
  <si>
    <t>0.9730±0.33</t>
  </si>
  <si>
    <t>-0.0821±0.02</t>
  </si>
  <si>
    <t>AdaRNN(Yuntao Du, et al.)</t>
  </si>
  <si>
    <t>0.0464±0.01</t>
  </si>
  <si>
    <t>0.3619±0.08</t>
  </si>
  <si>
    <t>0.0539±0.01</t>
  </si>
  <si>
    <t>0.4287±0.06</t>
  </si>
  <si>
    <t>0.0753±0.03</t>
  </si>
  <si>
    <t>1.0200±0.40</t>
  </si>
  <si>
    <t>-0.0936±0.03</t>
  </si>
  <si>
    <t>0.0476±0.00</t>
  </si>
  <si>
    <t>0.3508±0.02</t>
  </si>
  <si>
    <t>0.0598±0.00</t>
  </si>
  <si>
    <t>0.4604±0.01</t>
  </si>
  <si>
    <t>0.0824±0.02</t>
  </si>
  <si>
    <t>1.1079±0.26</t>
  </si>
  <si>
    <t>-0.0894±0.03</t>
  </si>
  <si>
    <t>TCTS(Xueqing Wu, et al.)</t>
  </si>
  <si>
    <t>0.0508±0.00</t>
  </si>
  <si>
    <t>0.3931±0.04</t>
  </si>
  <si>
    <t>0.4756±0.03</t>
  </si>
  <si>
    <t>0.0893±0.03</t>
  </si>
  <si>
    <t>1.2256±0.36</t>
  </si>
  <si>
    <t>-0.0857±0.02</t>
  </si>
  <si>
    <t>0.0485±0.00</t>
  </si>
  <si>
    <t>0.3787±0.03</t>
  </si>
  <si>
    <t>0.0587±0.00</t>
  </si>
  <si>
    <t>0.0920±0.03</t>
  </si>
  <si>
    <t>1.2789±0.42</t>
  </si>
  <si>
    <t>-0.0834±0.02</t>
  </si>
  <si>
    <t>IGMTF(Wentao Xu, et al.)</t>
  </si>
  <si>
    <t>0.0480±0.00</t>
  </si>
  <si>
    <t>0.3589±0.02</t>
  </si>
  <si>
    <t>0.0606±0.00</t>
  </si>
  <si>
    <t>0.4773±0.01</t>
  </si>
  <si>
    <t>0.0946±0.02</t>
  </si>
  <si>
    <t>1.3509±0.25</t>
  </si>
  <si>
    <t>-0.0716±0.02</t>
  </si>
  <si>
    <t>HIST(Wentao Xu, et al.)</t>
  </si>
  <si>
    <t>0.0522±0.00</t>
  </si>
  <si>
    <t>0.3530±0.01</t>
  </si>
  <si>
    <t>0.0667±0.00</t>
  </si>
  <si>
    <t>0.4576±0.01</t>
  </si>
  <si>
    <t>0.0987±0.02</t>
  </si>
  <si>
    <t>1.3726±0.27</t>
  </si>
  <si>
    <t>-0.0681±0.01</t>
  </si>
  <si>
    <t>KRNN</t>
  </si>
  <si>
    <t>0.0173±0.01</t>
  </si>
  <si>
    <t>0.1210±0.06</t>
  </si>
  <si>
    <t>0.0270±0.01</t>
  </si>
  <si>
    <t>0.2018±0.04</t>
  </si>
  <si>
    <t>-0.0465±0.05</t>
  </si>
  <si>
    <t>-0.5415±0.62</t>
  </si>
  <si>
    <t>-0.2919±0.13</t>
  </si>
  <si>
    <t>Sandwich</t>
  </si>
  <si>
    <t>0.0258±0.00</t>
  </si>
  <si>
    <t>0.1924±0.04</t>
  </si>
  <si>
    <t>0.0337±0.00</t>
  </si>
  <si>
    <t>0.2624±0.03</t>
  </si>
  <si>
    <t>0.0005±0.03</t>
  </si>
  <si>
    <t>0.0001±0.33</t>
  </si>
  <si>
    <t>-0.1752±0.05</t>
  </si>
  <si>
    <t>CSI500</t>
  </si>
  <si>
    <t>0.0332±0.00</t>
  </si>
  <si>
    <t>0.3044±0.00</t>
  </si>
  <si>
    <t>0.4326±0.00</t>
  </si>
  <si>
    <t>0.0382±0.00</t>
  </si>
  <si>
    <t>0.1723±0.00</t>
  </si>
  <si>
    <t>-0.4876±0.00</t>
  </si>
  <si>
    <t>0.0229±0.01</t>
  </si>
  <si>
    <t>0.2181±0.05</t>
  </si>
  <si>
    <t>0.0360±0.00</t>
  </si>
  <si>
    <t>0.3409±0.02</t>
  </si>
  <si>
    <t>0.0043±0.02</t>
  </si>
  <si>
    <t>0.0602±0.27</t>
  </si>
  <si>
    <t>-0.2184±0.04</t>
  </si>
  <si>
    <t>LightGBM</t>
  </si>
  <si>
    <t>0.0399±0.00</t>
  </si>
  <si>
    <t>0.4065±0.00</t>
  </si>
  <si>
    <t>0.0482±0.00</t>
  </si>
  <si>
    <t>0.5101±0.00</t>
  </si>
  <si>
    <t>0.1284±0.00</t>
  </si>
  <si>
    <t>1.5650±0.00</t>
  </si>
  <si>
    <t>-0.0635±0.00</t>
  </si>
  <si>
    <t>CatBoost</t>
  </si>
  <si>
    <t>0.0345±0.00</t>
  </si>
  <si>
    <t>0.2855±0.00</t>
  </si>
  <si>
    <t>0.0417±0.00</t>
  </si>
  <si>
    <t>0.3740±0.00</t>
  </si>
  <si>
    <t>0.0496±0.00</t>
  </si>
  <si>
    <t>0.5977±0.00</t>
  </si>
  <si>
    <t>-0.1496±0.00</t>
  </si>
  <si>
    <t>DoubleEnsemble</t>
  </si>
  <si>
    <t>0.0380±0.00</t>
  </si>
  <si>
    <t>0.0442±0.00</t>
  </si>
  <si>
    <t>0.4324±0.00</t>
  </si>
  <si>
    <t>0.2021±0.02</t>
  </si>
  <si>
    <t>0.0426±0.00</t>
  </si>
  <si>
    <t>0.3840±0.02</t>
  </si>
  <si>
    <t>0.0022±0.02</t>
  </si>
  <si>
    <t>0.0301±0.26</t>
  </si>
  <si>
    <t>-0.2064±0.02</t>
  </si>
  <si>
    <t>0.3605±0.00</t>
  </si>
  <si>
    <t>0.0536±0.00</t>
  </si>
  <si>
    <t>0.5431±0.00</t>
  </si>
  <si>
    <t>0.7658±0.02</t>
  </si>
  <si>
    <t>-0.1880±0.00</t>
  </si>
  <si>
    <t>0.3229±0.00</t>
  </si>
  <si>
    <t>0.0489±0.00</t>
  </si>
  <si>
    <t>0.4649±0.00</t>
  </si>
  <si>
    <t>0.0297±0.00</t>
  </si>
  <si>
    <t>0.4227±0.02</t>
  </si>
  <si>
    <t>-0.1499±0.01</t>
  </si>
  <si>
    <t>0.0361±0.00</t>
  </si>
  <si>
    <t>0.3092±0.00</t>
  </si>
  <si>
    <t>0.4793±0.00</t>
  </si>
  <si>
    <t>0.1723±0.02</t>
  </si>
  <si>
    <t>The selected 20 features are based on the feature importance of a lightgbm-based model.</t>
  </si>
  <si>
    <t>The base model of DoubleEnsemble is LGBM.</t>
  </si>
  <si>
    <t>The base model of TCTS is GRU.</t>
  </si>
  <si>
    <t>About the datasets</t>
  </si>
  <si>
    <t>Alpha158 is a tabular dataset. There are less spatial relationships between different features. Each feature are carefully designed by human (a.k.a feature engineering)</t>
  </si>
  <si>
    <t>Alpha360 contains raw price and volue data without much feature engineering. There are strong strong spatial relationships between the features in the time dimension.</t>
  </si>
  <si>
    <t>The metrics can be categorized into two</t>
  </si>
  <si>
    <t>Signal-based evaluation: IC, ICIR, Rank IC, Rank ICIR</t>
  </si>
  <si>
    <t>Portfolio-based metrics: Annualized Return, Information Ratio, Max Drawdown</t>
  </si>
  <si>
    <r>
      <t>交易系统构建：</t>
    </r>
    <r>
      <rPr>
        <u/>
        <sz val="24"/>
        <color rgb="FF800080"/>
        <rFont val="宋体"/>
        <charset val="0"/>
        <scheme val="minor"/>
      </rPr>
      <t>https://www.youtube.com/watch?v=K2OiWFYyP7Y</t>
    </r>
  </si>
  <si>
    <t>Level 1</t>
  </si>
  <si>
    <t>Level 2</t>
  </si>
  <si>
    <t>Level 3</t>
  </si>
  <si>
    <t>Level 4</t>
  </si>
  <si>
    <t>1. Trading Philosophy</t>
  </si>
  <si>
    <t>1.1. Core Belief</t>
  </si>
  <si>
    <t>Follow trends to earn the easiest money</t>
  </si>
  <si>
    <t>Trends are the most important aspect of trading</t>
  </si>
  <si>
    <t>2. Types of Trends</t>
  </si>
  <si>
    <t>2.1. Clock Direction Method</t>
  </si>
  <si>
    <t>Trends categorized into five types based on clock direction</t>
  </si>
  <si>
    <t>1. 1:00-12:00 - Accelerating upward slope</t>
  </si>
  <si>
    <t>2. 2:30-1:00 - Stable upward trend</t>
  </si>
  <si>
    <t>3. 2:30-3:30 - Horizontal consolidation</t>
  </si>
  <si>
    <t>4. 3:30-5:00 - Stable downward trend</t>
  </si>
  <si>
    <t>5. 5:00-6:00 - Accelerating downward slope</t>
  </si>
  <si>
    <t>3. Observing Trend Slopes</t>
  </si>
  <si>
    <t>3.1. Importance of Slope (斜率)</t>
  </si>
  <si>
    <t>Slope equals height divided by length</t>
  </si>
  <si>
    <t>The larger the price change in a given time, the steeper the slope</t>
  </si>
  <si>
    <t>3.2. Standard Time Length</t>
  </si>
  <si>
    <t>Observing with a consistent time length</t>
  </si>
  <si>
    <t>Compare slopes using 5-year length for long-term trends and 1-year length for short-term trends</t>
  </si>
  <si>
    <t>3.3. Use of Logarithmic Scale</t>
  </si>
  <si>
    <t>Logarithmic scale expresses ratio concepts</t>
  </si>
  <si>
    <t>Relative price increases are shown equally regardless of the starting price</t>
  </si>
  <si>
    <t>4. Horizontal Consolidation Trend</t>
  </si>
  <si>
    <t>4.1. Characteristics</t>
  </si>
  <si>
    <t>Also known as "密集成交区" (Intensive Trading Zone)</t>
  </si>
  <si>
    <t>Price fluctuates within a range with a clear ceiling and floor</t>
  </si>
  <si>
    <t>4.2. Trading Strategy</t>
  </si>
  <si>
    <t>Observe when the consolidation might end</t>
  </si>
  <si>
    <t>1. Consolidation lasts at least 6 months</t>
  </si>
  <si>
    <t>2. Market costs unify, shown by closely packed moving averages (MAs)</t>
  </si>
  <si>
    <t>4.3. Key Indicators</t>
  </si>
  <si>
    <t>MA crossover and grouping as indicators of consolidation phase end</t>
  </si>
  <si>
    <t>1. MA distance between the highest and lowest should be less than 2%</t>
  </si>
  <si>
    <t>2. Use MA20/EMA20 for 20-day trend, MA60/EMA60 for 60-day, and MA120/EMA120 for 120-day trend</t>
  </si>
  <si>
    <t>4.4. Breakout Signals</t>
  </si>
  <si>
    <t>MA alignment and breakout as trade entry signals</t>
  </si>
  <si>
    <t>1. Enter long if MA forms a bullish alignment (多头排列) during an upward breakout</t>
  </si>
  <si>
    <t>2. Enter short if MA forms a bearish alignment (空头排列) during a downward breakout</t>
  </si>
  <si>
    <t>5. Accelerating Slope Trends</t>
  </si>
  <si>
    <t>5.1. Characteristics</t>
  </si>
  <si>
    <t>Occurs at the start or end of a trend</t>
  </si>
  <si>
    <t>Examples include post-consolidation breakouts or market tops/bottoms</t>
  </si>
  <si>
    <t>5.2. Market Implications</t>
  </si>
  <si>
    <t>High deviation from market cost, leading to correction needs</t>
  </si>
  <si>
    <t>Correction occurs via price drop or time-based consolidation (prices moving sideways)</t>
  </si>
  <si>
    <t>5.3. Trading Strategy</t>
  </si>
  <si>
    <t>Do not chase accelerating trends</t>
  </si>
  <si>
    <t>1. Exit only if a "top formation" (顶部构造) is observed</t>
  </si>
  <si>
    <t>2. Reassess if MA suggests a trend reversal</t>
  </si>
  <si>
    <t>6. Stable Slope Trends</t>
  </si>
  <si>
    <t>6.1. Characteristics</t>
  </si>
  <si>
    <t>Slopes between 30°-60° (2:30-1:00 or 3:30-5:00)</t>
  </si>
  <si>
    <t>Indicates a stable, long-lasting trend</t>
  </si>
  <si>
    <t>6.2. Market Implications</t>
  </si>
  <si>
    <t>Market costs align in a bullish/bearish formation</t>
  </si>
  <si>
    <t>1. Short-term MA above medium-term, which is above long-term in bullish trends</t>
  </si>
  <si>
    <t>2. MAs move almost parallel, indicating a strong trend</t>
  </si>
  <si>
    <t>6.3. Trading Strategy</t>
  </si>
  <si>
    <t>Enter trades during pullbacks in stable trends</t>
  </si>
  <si>
    <t>1. Look for price pullbacks to medium or long-term MA</t>
  </si>
  <si>
    <t>2. Assess the possibility of a trend change using the "抵扣价" (MA offset price)</t>
  </si>
  <si>
    <t>7. Trend Reversal and Expansion</t>
  </si>
  <si>
    <t>7.1. Key Concepts</t>
  </si>
  <si>
    <t>Small trends expand into larger ones</t>
  </si>
  <si>
    <t>1. Watch for bottom formation (底部构造) and bullish trend in smaller time frames</t>
  </si>
  <si>
    <t>2. Trends spread from smaller to larger timeframes, not the other way around</t>
  </si>
  <si>
    <t>8. Using Moving Averages (MA)</t>
  </si>
  <si>
    <t>8.1. Basic Understanding</t>
  </si>
  <si>
    <t>MAs represent average price over a specified period</t>
  </si>
  <si>
    <t>Common MAs: MA5, MA10, MA20, MA60, MA120, MA250</t>
  </si>
  <si>
    <t>8.2. Moving Average Crossover</t>
  </si>
  <si>
    <t>Bullish crossover: Short-term MA crosses above long-term MA</t>
  </si>
  <si>
    <t>Indicates potential upward trend</t>
  </si>
  <si>
    <t>Bearish crossover: Short-term MA crosses below long-term MA</t>
  </si>
  <si>
    <t>Indicates potential downward trend</t>
  </si>
  <si>
    <t>9. Volume Analysis</t>
  </si>
  <si>
    <t>9.1. Importance of Volume (成交量)</t>
  </si>
  <si>
    <t>Volume is a key indicator of market participation</t>
  </si>
  <si>
    <t>High volume confirms trends, low volume signals lack of interest</t>
  </si>
  <si>
    <t>9.2. Volume in Different Trends</t>
  </si>
  <si>
    <t>Volume should increase with trend continuation</t>
  </si>
  <si>
    <t>Declining volume might indicate trend exhaustion or reversal</t>
  </si>
  <si>
    <t>9.3. Volume-Price Relationship</t>
  </si>
  <si>
    <t>Volume rising with price indicates strength</t>
  </si>
  <si>
    <t>Volume declining with price indicates weakness</t>
  </si>
  <si>
    <t>10. Support and Resistance Levels</t>
  </si>
  <si>
    <t>10.1. Identifying Levels</t>
  </si>
  <si>
    <t>Support: Price level where buying interest is strong</t>
  </si>
  <si>
    <t>Resistance: Price level where selling interest is strong</t>
  </si>
  <si>
    <t>10.2. Breakouts and Failures</t>
  </si>
  <si>
    <t>Breakout: Price moves through support or resistance level</t>
  </si>
  <si>
    <t>False breakout: Price fails to hold above/below the level</t>
  </si>
  <si>
    <t>10.3. Trading Strategies</t>
  </si>
  <si>
    <t>Buy near support, sell near resistance</t>
  </si>
  <si>
    <t>Confirm breakouts with volume or wait for pullback to re-enter</t>
  </si>
  <si>
    <t>11. Psychological Aspects of Trading</t>
  </si>
  <si>
    <t>11.1. Trader's Mindset</t>
  </si>
  <si>
    <t>Stay objective and avoid emotional decisions</t>
  </si>
  <si>
    <t>Discipline and patience are crucial for successful trading</t>
  </si>
  <si>
    <t>11.2. Common Pitfalls</t>
  </si>
  <si>
    <t>Fear of missing out (FOMO), overtrading, and holding onto losses</t>
  </si>
  <si>
    <t>Awareness of these pitfalls helps in maintaining discipline</t>
  </si>
  <si>
    <t>12. Risk Management</t>
  </si>
  <si>
    <t>12.1. Importance of Risk Management</t>
  </si>
  <si>
    <t>Protect capital and ensure long-term survival in trading</t>
  </si>
  <si>
    <t>Risk no more than a small percentage of the trading account on a single trade</t>
  </si>
  <si>
    <t>12.2. Setting Stop-Loss Orders</t>
  </si>
  <si>
    <t>Place stop-loss orders to limit potential losses</t>
  </si>
  <si>
    <t>Adjust stop-loss levels based on market conditions and volatility</t>
  </si>
  <si>
    <t>12.3. Position Sizing</t>
  </si>
  <si>
    <t>Determine position size based on risk tolerance</t>
  </si>
  <si>
    <t>Larger positions for higher confidence trades, smaller for riskier trades</t>
  </si>
  <si>
    <t>13. Pattern Recognition</t>
  </si>
  <si>
    <t>13.1. Recognizing Patterns</t>
  </si>
  <si>
    <t>Common patterns: Head and Shoulders, Double Tops/Bottoms, Triangles</t>
  </si>
  <si>
    <t>Patterns help in identifying potential reversals or continuations</t>
  </si>
  <si>
    <t>13.2. Trading Patterns</t>
  </si>
  <si>
    <t>Enter trades based on pattern breakouts or confirmations</t>
  </si>
  <si>
    <t>Use volume and other indicators to validate pattern strength</t>
  </si>
  <si>
    <t>14. Timeframes and Trends</t>
  </si>
  <si>
    <t>14.1. Multiple Timeframe Analysis</t>
  </si>
  <si>
    <t>Analyze trends across different timeframes</t>
  </si>
  <si>
    <t>Align trades with the dominant trend in higher timeframes</t>
  </si>
  <si>
    <t>14.2. Timeframe Interactions</t>
  </si>
  <si>
    <t>Small trends often lead to large trend formations</t>
  </si>
  <si>
    <t>A trend in a lower timeframe may lead to a reversal or continuation in a higher timeframe</t>
  </si>
  <si>
    <t>15. Using Technical Indicators</t>
  </si>
  <si>
    <t>15.1. Common Indicators</t>
  </si>
  <si>
    <t>RSI, MACD, Bollinger Bands, Stochastic Oscillator</t>
  </si>
  <si>
    <t>Indicators provide additional confirmation for trends and reversals</t>
  </si>
  <si>
    <t>15.2. Indicator Combinations</t>
  </si>
  <si>
    <t>Use combinations like RSI and MACD for more reliable signals</t>
  </si>
  <si>
    <t>Avoid relying on a single indicator; combine with volume and price action</t>
  </si>
  <si>
    <t>16. Market Phases</t>
  </si>
  <si>
    <t>16.1. Accumulation Phase</t>
  </si>
  <si>
    <t>Market is bottoming, smart money starts accumulating</t>
  </si>
  <si>
    <t>Price often consolidates, volume may be low</t>
  </si>
  <si>
    <t>16.2. Markup Phase</t>
  </si>
  <si>
    <t>Price breaks out, trends upwards</t>
  </si>
  <si>
    <t>Volume increases as more participants join the trend</t>
  </si>
  <si>
    <t>16.3. Distribution Phase</t>
  </si>
  <si>
    <t>Smart money starts selling, trend may begin to reverse</t>
  </si>
  <si>
    <t>Price often shows signs of exhaustion, volume remains high or increases</t>
  </si>
  <si>
    <t>16.4. Markdown Phase</t>
  </si>
  <si>
    <t>Price trends downwards, market participants sell</t>
  </si>
  <si>
    <t>Volume might decrease as panic selling subsides</t>
  </si>
  <si>
    <t>Category</t>
  </si>
  <si>
    <t>Details</t>
  </si>
  <si>
    <t>Concept of Trends</t>
  </si>
  <si>
    <t>Trends are derived from observable data, mainly price and volume. These are the most crucial data points to observe.</t>
  </si>
  <si>
    <t>Trend Formation</t>
  </si>
  <si>
    <r>
      <t xml:space="preserve">- </t>
    </r>
    <r>
      <rPr>
        <b/>
        <sz val="10"/>
        <rFont val="Arial"/>
        <charset val="1"/>
      </rPr>
      <t>Price and Volume</t>
    </r>
    <r>
      <rPr>
        <sz val="10"/>
        <rFont val="Arial"/>
        <charset val="1"/>
      </rPr>
      <t>: Essential for observing trends; they change over time, creating trends.</t>
    </r>
  </si>
  <si>
    <r>
      <t xml:space="preserve">- </t>
    </r>
    <r>
      <rPr>
        <b/>
        <sz val="10"/>
        <rFont val="Arial"/>
        <charset val="1"/>
      </rPr>
      <t>K-Line Chart</t>
    </r>
    <r>
      <rPr>
        <sz val="10"/>
        <rFont val="Arial"/>
        <charset val="1"/>
      </rPr>
      <t>: Displays price fluctuations over time, showing uptrends and downtrends.</t>
    </r>
  </si>
  <si>
    <r>
      <t xml:space="preserve">- </t>
    </r>
    <r>
      <rPr>
        <b/>
        <sz val="10"/>
        <rFont val="Arial"/>
        <charset val="1"/>
      </rPr>
      <t>Time and Space</t>
    </r>
    <r>
      <rPr>
        <sz val="10"/>
        <rFont val="Arial"/>
        <charset val="1"/>
      </rPr>
      <t>: Trends exhibit both temporal and spatial changes.</t>
    </r>
  </si>
  <si>
    <t>Trend Characteristics</t>
  </si>
  <si>
    <r>
      <t xml:space="preserve">- </t>
    </r>
    <r>
      <rPr>
        <b/>
        <sz val="10"/>
        <rFont val="Arial"/>
        <charset val="1"/>
      </rPr>
      <t>Phases</t>
    </r>
    <r>
      <rPr>
        <sz val="10"/>
        <rFont val="Arial"/>
        <charset val="1"/>
      </rPr>
      <t xml:space="preserve">: Trends generally go through phases: </t>
    </r>
    <r>
      <rPr>
        <b/>
        <sz val="10"/>
        <rFont val="Arial"/>
        <charset val="1"/>
      </rPr>
      <t>Turn</t>
    </r>
    <r>
      <rPr>
        <sz val="10"/>
        <rFont val="Arial"/>
        <charset val="1"/>
      </rPr>
      <t xml:space="preserve"> → </t>
    </r>
    <r>
      <rPr>
        <b/>
        <sz val="10"/>
        <rFont val="Arial"/>
        <charset val="1"/>
      </rPr>
      <t>Start</t>
    </r>
    <r>
      <rPr>
        <sz val="10"/>
        <rFont val="Arial"/>
        <charset val="1"/>
      </rPr>
      <t xml:space="preserve"> → </t>
    </r>
    <r>
      <rPr>
        <b/>
        <sz val="10"/>
        <rFont val="Arial"/>
        <charset val="1"/>
      </rPr>
      <t>Development</t>
    </r>
    <r>
      <rPr>
        <sz val="10"/>
        <rFont val="Arial"/>
        <charset val="1"/>
      </rPr>
      <t xml:space="preserve"> → </t>
    </r>
    <r>
      <rPr>
        <b/>
        <sz val="10"/>
        <rFont val="Arial"/>
        <charset val="1"/>
      </rPr>
      <t>Extreme</t>
    </r>
    <r>
      <rPr>
        <sz val="10"/>
        <rFont val="Arial"/>
        <charset val="1"/>
      </rPr>
      <t xml:space="preserve"> → </t>
    </r>
    <r>
      <rPr>
        <b/>
        <sz val="10"/>
        <rFont val="Arial"/>
        <charset val="1"/>
      </rPr>
      <t>Turn</t>
    </r>
    <r>
      <rPr>
        <sz val="10"/>
        <rFont val="Arial"/>
        <charset val="1"/>
      </rPr>
      <t>.</t>
    </r>
  </si>
  <si>
    <r>
      <t xml:space="preserve">- </t>
    </r>
    <r>
      <rPr>
        <b/>
        <sz val="10"/>
        <rFont val="Arial"/>
        <charset val="1"/>
      </rPr>
      <t>Slope Change</t>
    </r>
    <r>
      <rPr>
        <sz val="10"/>
        <rFont val="Arial"/>
        <charset val="1"/>
      </rPr>
      <t>: The rate of change (slope) varies through these phases.</t>
    </r>
  </si>
  <si>
    <r>
      <t xml:space="preserve">- </t>
    </r>
    <r>
      <rPr>
        <b/>
        <sz val="10"/>
        <rFont val="Arial"/>
        <charset val="1"/>
      </rPr>
      <t>Trend Intensity</t>
    </r>
    <r>
      <rPr>
        <sz val="10"/>
        <rFont val="Arial"/>
        <charset val="1"/>
      </rPr>
      <t>: Changes in slope reflect the strength of the trend.</t>
    </r>
  </si>
  <si>
    <t>Graph Analysis</t>
  </si>
  <si>
    <r>
      <t xml:space="preserve">- </t>
    </r>
    <r>
      <rPr>
        <b/>
        <sz val="10"/>
        <rFont val="Arial"/>
        <charset val="1"/>
      </rPr>
      <t>Price Action</t>
    </r>
    <r>
      <rPr>
        <sz val="10"/>
        <rFont val="Arial"/>
        <charset val="1"/>
      </rPr>
      <t>: Visualized in K-Line charts, showing up and down movements.</t>
    </r>
  </si>
  <si>
    <r>
      <t xml:space="preserve">- </t>
    </r>
    <r>
      <rPr>
        <b/>
        <sz val="10"/>
        <rFont val="Arial"/>
        <charset val="1"/>
      </rPr>
      <t>Slope Changes</t>
    </r>
    <r>
      <rPr>
        <sz val="10"/>
        <rFont val="Arial"/>
        <charset val="1"/>
      </rPr>
      <t>: Analyzing the slope helps understand trend strength and its phases.</t>
    </r>
  </si>
  <si>
    <t>Moving Averages</t>
  </si>
  <si>
    <r>
      <t xml:space="preserve">- </t>
    </r>
    <r>
      <rPr>
        <b/>
        <sz val="10"/>
        <rFont val="Arial"/>
        <charset val="1"/>
      </rPr>
      <t>Concept</t>
    </r>
    <r>
      <rPr>
        <sz val="10"/>
        <rFont val="Arial"/>
        <charset val="1"/>
      </rPr>
      <t>: Smoothens price data to identify trends.</t>
    </r>
  </si>
  <si>
    <r>
      <t xml:space="preserve">- </t>
    </r>
    <r>
      <rPr>
        <b/>
        <sz val="10"/>
        <rFont val="Arial"/>
        <charset val="1"/>
      </rPr>
      <t>Application</t>
    </r>
    <r>
      <rPr>
        <sz val="10"/>
        <rFont val="Arial"/>
        <charset val="1"/>
      </rPr>
      <t>: Moving averages (e.g., 60-day MA) show trend direction and strength.</t>
    </r>
  </si>
  <si>
    <r>
      <t xml:space="preserve">- </t>
    </r>
    <r>
      <rPr>
        <b/>
        <sz val="10"/>
        <rFont val="Arial"/>
        <charset val="1"/>
      </rPr>
      <t>Resistance and Support</t>
    </r>
    <r>
      <rPr>
        <sz val="10"/>
        <rFont val="Arial"/>
        <charset val="1"/>
      </rPr>
      <t>: Moving averages can act as dynamic support or resistance levels.</t>
    </r>
  </si>
  <si>
    <t>Average Cost Principle</t>
  </si>
  <si>
    <r>
      <t xml:space="preserve">- </t>
    </r>
    <r>
      <rPr>
        <b/>
        <sz val="10"/>
        <rFont val="Arial"/>
        <charset val="1"/>
      </rPr>
      <t>Calculation</t>
    </r>
    <r>
      <rPr>
        <sz val="10"/>
        <rFont val="Arial"/>
        <charset val="1"/>
      </rPr>
      <t>: Average cost (e.g., 5-day MA) is computed as the average of the closing prices over a specified period.</t>
    </r>
  </si>
  <si>
    <r>
      <t xml:space="preserve">- </t>
    </r>
    <r>
      <rPr>
        <b/>
        <sz val="10"/>
        <rFont val="Arial"/>
        <charset val="1"/>
      </rPr>
      <t>Discount Principle</t>
    </r>
    <r>
      <rPr>
        <sz val="10"/>
        <rFont val="Arial"/>
        <charset val="1"/>
      </rPr>
      <t>: To determine if the average cost will rise, today's closing price needs to be higher than the closing price from a few days ago.</t>
    </r>
  </si>
  <si>
    <t>Nature of Trends</t>
  </si>
  <si>
    <r>
      <t xml:space="preserve">- </t>
    </r>
    <r>
      <rPr>
        <b/>
        <sz val="10"/>
        <rFont val="Arial"/>
        <charset val="1"/>
      </rPr>
      <t>Market Costs</t>
    </r>
    <r>
      <rPr>
        <sz val="10"/>
        <rFont val="Arial"/>
        <charset val="1"/>
      </rPr>
      <t>: Trends reflect the movement of market costs over time.</t>
    </r>
  </si>
  <si>
    <r>
      <t xml:space="preserve">- </t>
    </r>
    <r>
      <rPr>
        <b/>
        <sz val="10"/>
        <rFont val="Arial"/>
        <charset val="1"/>
      </rPr>
      <t>MA Direction</t>
    </r>
    <r>
      <rPr>
        <sz val="10"/>
        <rFont val="Arial"/>
        <charset val="1"/>
      </rPr>
      <t>: Identifying if an MA is trending up or down helps in assessing the trend direction.</t>
    </r>
  </si>
  <si>
    <t>Predicting Trend Changes</t>
  </si>
  <si>
    <r>
      <t xml:space="preserve">- </t>
    </r>
    <r>
      <rPr>
        <b/>
        <sz val="10"/>
        <rFont val="Arial"/>
        <charset val="1"/>
      </rPr>
      <t>Resistance and Confirmation</t>
    </r>
    <r>
      <rPr>
        <sz val="10"/>
        <rFont val="Arial"/>
        <charset val="1"/>
      </rPr>
      <t>: If the MA turns upward, it indicates a potential trend change.</t>
    </r>
  </si>
  <si>
    <r>
      <t xml:space="preserve">- </t>
    </r>
    <r>
      <rPr>
        <b/>
        <sz val="10"/>
        <rFont val="Arial"/>
        <charset val="1"/>
      </rPr>
      <t>Preliminary Indicators</t>
    </r>
    <r>
      <rPr>
        <sz val="10"/>
        <rFont val="Arial"/>
        <charset val="1"/>
      </rPr>
      <t>: Use MA to determine if the trend is likely to continue or reverse.</t>
    </r>
  </si>
  <si>
    <t>Double Moving Average Method</t>
  </si>
  <si>
    <r>
      <t xml:space="preserve">- </t>
    </r>
    <r>
      <rPr>
        <b/>
        <sz val="10"/>
        <rFont val="Arial"/>
        <charset val="1"/>
      </rPr>
      <t>EMA Verification</t>
    </r>
    <r>
      <rPr>
        <sz val="10"/>
        <rFont val="Arial"/>
        <charset val="1"/>
      </rPr>
      <t>: Confirm trends using an Exponential Moving Average (EMA).</t>
    </r>
  </si>
  <si>
    <r>
      <t xml:space="preserve">- </t>
    </r>
    <r>
      <rPr>
        <b/>
        <sz val="10"/>
        <rFont val="Arial"/>
        <charset val="1"/>
      </rPr>
      <t>Multiple MAs</t>
    </r>
    <r>
      <rPr>
        <sz val="10"/>
        <rFont val="Arial"/>
        <charset val="1"/>
      </rPr>
      <t>: Use 20-day, 60-day, and 120-day MAs to validate trend strength.</t>
    </r>
  </si>
  <si>
    <t>MA Density and Deviation</t>
  </si>
  <si>
    <r>
      <t xml:space="preserve">- </t>
    </r>
    <r>
      <rPr>
        <b/>
        <sz val="10"/>
        <rFont val="Arial"/>
        <charset val="1"/>
      </rPr>
      <t>MA Density</t>
    </r>
    <r>
      <rPr>
        <sz val="10"/>
        <rFont val="Arial"/>
        <charset val="1"/>
      </rPr>
      <t>: Indicates potential for significant price movements.</t>
    </r>
  </si>
  <si>
    <r>
      <t xml:space="preserve">- </t>
    </r>
    <r>
      <rPr>
        <b/>
        <sz val="10"/>
        <rFont val="Arial"/>
        <charset val="1"/>
      </rPr>
      <t>Deviation Rate</t>
    </r>
    <r>
      <rPr>
        <sz val="10"/>
        <rFont val="Arial"/>
        <charset val="1"/>
      </rPr>
      <t>: Extreme deviations from the long-term MA can signal potential reversals.</t>
    </r>
  </si>
  <si>
    <t>Important Concepts</t>
  </si>
  <si>
    <r>
      <t xml:space="preserve">- </t>
    </r>
    <r>
      <rPr>
        <b/>
        <sz val="10"/>
        <rFont val="Arial"/>
        <charset val="1"/>
      </rPr>
      <t>Cost Convergence</t>
    </r>
    <r>
      <rPr>
        <sz val="10"/>
        <rFont val="Arial"/>
        <charset val="1"/>
      </rPr>
      <t>: When MAs converge, it often signals the beginning of a major market move.</t>
    </r>
  </si>
  <si>
    <r>
      <t xml:space="preserve">- </t>
    </r>
    <r>
      <rPr>
        <b/>
        <sz val="10"/>
        <rFont val="Arial"/>
        <charset val="1"/>
      </rPr>
      <t>Overextended Price Movements</t>
    </r>
    <r>
      <rPr>
        <sz val="10"/>
        <rFont val="Arial"/>
        <charset val="1"/>
      </rPr>
      <t>: Excessive deviation from MAs may require adjustments or reversals.</t>
    </r>
  </si>
  <si>
    <t>Practical Application</t>
  </si>
  <si>
    <r>
      <t xml:space="preserve">- </t>
    </r>
    <r>
      <rPr>
        <b/>
        <sz val="10"/>
        <rFont val="Arial"/>
        <charset val="1"/>
      </rPr>
      <t>Trend Monitoring</t>
    </r>
    <r>
      <rPr>
        <sz val="10"/>
        <rFont val="Arial"/>
        <charset val="1"/>
      </rPr>
      <t>: Watch for key MA signals and price movements to make informed trading decisions.</t>
    </r>
  </si>
  <si>
    <r>
      <t xml:space="preserve">- </t>
    </r>
    <r>
      <rPr>
        <b/>
        <sz val="10"/>
        <rFont val="Arial"/>
        <charset val="1"/>
      </rPr>
      <t>Predictive Modeling</t>
    </r>
    <r>
      <rPr>
        <sz val="10"/>
        <rFont val="Arial"/>
        <charset val="1"/>
      </rPr>
      <t>: Use MA analysis to forecast potential price movements and adjust trading strategies accordingly.</t>
    </r>
  </si>
  <si>
    <t>Main Topic</t>
  </si>
  <si>
    <t>Subtopic</t>
  </si>
  <si>
    <t>1. Dealing with Trading Losses</t>
  </si>
  <si>
    <t>1.1. Inevitability of Losses</t>
  </si>
  <si>
    <t>- Losses are common and almost every trader will experience significant losses in their career.</t>
  </si>
  <si>
    <t>1.2. Psychological Impact of Losses</t>
  </si>
  <si>
    <t>- The psychological impact of losses can be more damaging than the financial loss itself.</t>
  </si>
  <si>
    <t>1.3. Sign of Maturity in Trading</t>
  </si>
  <si>
    <t>- A mature trader is one who knows how to handle and reflect on losses.</t>
  </si>
  <si>
    <t>2. Avoiding Unnecessary Losses</t>
  </si>
  <si>
    <t>2.1. Planning Trades</t>
  </si>
  <si>
    <t>- Not all losses are mistakes; losses from unplanned trades are considered mistakes, even if they are profitable.</t>
  </si>
  <si>
    <t>2.2. The Importance of a Trading Plan</t>
  </si>
  <si>
    <t>- Every trade must have a detailed plan, including expectations and stop-loss limits.</t>
  </si>
  <si>
    <t>2.3. Impact of Random Errors</t>
  </si>
  <si>
    <t>- Losses from unplanned trades or plans not followed are random errors, which are uncontrollable and irreparable.</t>
  </si>
  <si>
    <t>2.4. Acceptable Losses within a Plan</t>
  </si>
  <si>
    <t>- Losses that are part of a planned strategy can be used to refine entry and exit rules.</t>
  </si>
  <si>
    <t>3. Setting Stop-Losses</t>
  </si>
  <si>
    <t>3.1. Consistency in Logic</t>
  </si>
  <si>
    <t>- The principles for entering and exiting trades should be consistent.</t>
  </si>
  <si>
    <t>3.2. Controlling Losses</t>
  </si>
  <si>
    <t>- The only controllable aspect is the maximum loss one is willing to tolerate.</t>
  </si>
  <si>
    <t>3.3. Example of Stop-Loss Setting</t>
  </si>
  <si>
    <t>- Example: Buying after a trend forms with a stop-loss set at a critical level where, if breached, indicates the trend has failed.</t>
  </si>
  <si>
    <t>3.4. Logical vs. Arbitrary Stop-Loss</t>
  </si>
  <si>
    <t>- Using a percentage-based stop-loss (e.g., 2%) is arbitrary and may not reflect the actual trend.</t>
  </si>
  <si>
    <t>4. Position Sizing</t>
  </si>
  <si>
    <t>4.1. Calculating Position Size</t>
  </si>
  <si>
    <t>- Position size should be determined by the amount of loss one can tolerate, not by arbitrary percentages.</t>
  </si>
  <si>
    <t>4.2. Example Calculation</t>
  </si>
  <si>
    <t>- Example: If you can tolerate a $1,000 loss, divide this by the per-unit potential loss to determine the maximum number of shares to hold.</t>
  </si>
  <si>
    <t>5. Capital Management</t>
  </si>
  <si>
    <t>5.1. Capital Management vs. Emotion Management</t>
  </si>
  <si>
    <t>- Effective capital management often involves managing emotions to prevent losses from exceeding psychological limits.</t>
  </si>
  <si>
    <t>5.2. Gradual Increase in Position Size</t>
  </si>
  <si>
    <t>- As one's ability to tolerate losses increases, position size can gradually increase, enhancing the ability to manage wealth.</t>
  </si>
  <si>
    <t>6. Final Recommendations</t>
  </si>
  <si>
    <t>6.1. Using a Trading Workflow</t>
  </si>
  <si>
    <t>- A trading workflow can help structure trades and avoid unnecessary losses from random trading.</t>
  </si>
  <si>
    <t>6.2. Emotional Preparedness</t>
  </si>
  <si>
    <t>- Over time, this process builds the psychological resilience needed to handle losses without fear, allowing focus on investment logic and trading systems.</t>
  </si>
  <si>
    <t>6.3. Availability of Resources</t>
  </si>
  <si>
    <t>- A trading workflow and additional resources, such as videos on capital management, are available for further learning.</t>
  </si>
  <si>
    <t>消費</t>
  </si>
  <si>
    <t>失業 &amp; 就業</t>
  </si>
  <si>
    <t>https://en.macromicro.me/collections/16106/20Charts_344136/81569/Jobs-Payrolls</t>
  </si>
  <si>
    <t>個人財務狀況</t>
  </si>
  <si>
    <t>https://en.macromicro.me/collections/16106/20Charts_344136/81563/US-Personal-Financial-Condition</t>
  </si>
  <si>
    <t>房屋銷售 &amp; 房價</t>
  </si>
  <si>
    <t>https://en.macromicro.me/collections/16106/20Charts_344136/81571/Housing-Market</t>
  </si>
  <si>
    <t>汽車銷售</t>
  </si>
  <si>
    <t>https://en.macromicro.me/collections/16106/20Charts_344136/82473/Vehicle-Sales</t>
  </si>
  <si>
    <t>零售</t>
  </si>
  <si>
    <t>https://en.macromicro.me/collections/16106/20Charts_344136/80948/Retail-Sales</t>
  </si>
  <si>
    <t>供給</t>
  </si>
  <si>
    <t>建房許可、新開工 &amp; 庫存</t>
  </si>
  <si>
    <t>https://en.macromicro.me/collections/16106/20Charts_344136/82616/Housing-Supply</t>
  </si>
  <si>
    <t>製造業訂單 &amp; 採購</t>
  </si>
  <si>
    <t>https://en.macromicro.me/collections/16106/20Charts_344136/81572/PMI-Durable-Goods</t>
  </si>
  <si>
    <t>每週經濟指數-WEI</t>
  </si>
  <si>
    <t>https://en.macromicro.me/collections/16106/20Charts_344136/80946/WEI-GDP-Growth</t>
  </si>
  <si>
    <t>銅金比&amp; PPI</t>
  </si>
  <si>
    <t>https://en.macromicro.me/collections/16106/20Charts_344136/82607/Copper-Gold-vs-PPI</t>
  </si>
  <si>
    <t>油金比&amp; CPI</t>
  </si>
  <si>
    <t>https://en.macromicro.me/collections/16106/20Charts_344136/82524/Oil-Gold-vs-CPI</t>
  </si>
  <si>
    <t>通貨膨脹 &amp; 貨幣政策預期</t>
  </si>
  <si>
    <t>https://en.macromicro.me/collections/16106/20Charts_344136/80654/Inflation-Monetary-Policy-Expectation</t>
  </si>
  <si>
    <t>利率</t>
  </si>
  <si>
    <t>市場利率 &amp; 政策利率</t>
  </si>
  <si>
    <t>https://en.macromicro.me/collections/16106/20Charts_344136/81567/US-Rates</t>
  </si>
  <si>
    <t>信用利差</t>
  </si>
  <si>
    <t>https://en.macromicro.me/collections/16106/20Charts_344136/82929/Credit-Spread-VIX-and-SP500</t>
  </si>
  <si>
    <t>市場</t>
  </si>
  <si>
    <t>個人投資者調查</t>
  </si>
  <si>
    <t>https://en.macromicro.me/collections/16106/20Charts_344136/80901/AAII-Investor-Sentiment-Survey</t>
  </si>
  <si>
    <t>投資經理人調查</t>
  </si>
  <si>
    <t>https://en.macromicro.me/collections/16106/20Charts_344136/80902/NAAIM-Exposure-Index</t>
  </si>
  <si>
    <t>期權市場投資者交易方向</t>
  </si>
  <si>
    <t>https://en.macromicro.me/collections/16106/20Charts_344136/80896/CBOE-Equity-Put-Call-Ratio</t>
  </si>
  <si>
    <t>標普500指數COT指數</t>
  </si>
  <si>
    <t>https://en.macromicro.me/collections/16106/20Charts_344136/80659/S-P-500-Speculation-Positions</t>
  </si>
  <si>
    <t>納斯達克100指數COT指數</t>
  </si>
  <si>
    <t>https://en.macromicro.me/collections/16106/20Charts_344136/80658/Nasdaq-100-Speculation-Positions</t>
  </si>
  <si>
    <t>標普500指數市場寬度</t>
  </si>
  <si>
    <t>https://en.macromicro.me/collections/16106/20Charts_344136/81081/S-P-500-Breadth</t>
  </si>
  <si>
    <t>板塊強度</t>
  </si>
  <si>
    <t>https://en.macromicro.me/collections/16106/20Charts_344136/83459/Sector-Strength</t>
  </si>
  <si>
    <t>I. Economic Indicators for US Stock Market Analysis</t>
  </si>
  <si>
    <t>A. Consumption (70% of US GDP)</t>
  </si>
  <si>
    <t>Employment (就業)</t>
  </si>
  <si>
    <t>Initial and continuing jobless claims</t>
  </si>
  <si>
    <t>Non-farm payroll annual change Why it matters: Employment is the foundation of consumer spending</t>
  </si>
  <si>
    <t>Personal Financial Status (個人財務狀況)</t>
  </si>
  <si>
    <t>Personal income and consumption expenditure changes</t>
  </si>
  <si>
    <t>Savings rate Why it matters: Directly reflects consumer spending power and habits</t>
  </si>
  <si>
    <t>Housing Sales (房屋銷售)</t>
  </si>
  <si>
    <t>Existing and new home sales, price indices Why it matters: Largest consumer purchase, impacts wide range of industries</t>
  </si>
  <si>
    <t>Automobile Sales (汽車銷售)</t>
  </si>
  <si>
    <t>Sales volume, growth rate, used car prices Why it matters: Second largest consumer purchase, indicator of consumer confidence</t>
  </si>
  <si>
    <t>Retail (零售)</t>
  </si>
  <si>
    <t>Overall retail sales, same-store sales, non-store (online) sales Why it matters: Broad measure of consumer spending patterns</t>
  </si>
  <si>
    <t>B. Supply</t>
  </si>
  <si>
    <t>Housing Construction (房屋營建)</t>
  </si>
  <si>
    <t>Building permits, new housing starts, inventory Why it matters: Leading indicator of future housing supply and economic activity</t>
  </si>
  <si>
    <t>Durable Goods Orders and Purchasing (耐用品訂單與採購)</t>
  </si>
  <si>
    <t>Orders data, PMI for manufacturing and non-manufacturing Why it matters: Indicates future production levels and business confidence</t>
  </si>
  <si>
    <t>Weekly Economic Index (WEI指數) Why it matters: High-frequency leading indicator for US GDP</t>
  </si>
  <si>
    <t>Commodity Ratios and Economic Indicators</t>
  </si>
  <si>
    <t>Copper/Gold ratio (industrial activity)</t>
  </si>
  <si>
    <t>Oil/Gold ratio (inflation expectations) Why it matters: Real-time indicators of economic activity and inflation expectations</t>
  </si>
  <si>
    <t>C. Interest Rates</t>
  </si>
  <si>
    <t>Key Interest Rates</t>
  </si>
  <si>
    <t>Federal Reserve target rate, Treasury yields, LIBOR Why it matters: Affects cost of capital, asset valuations, and currency strength</t>
  </si>
  <si>
    <t>Yield Curve Inversion Why it matters: Potential indicator of upcoming recession</t>
  </si>
  <si>
    <t>Credit Spreads (信用利差) Why it matters: Indicator of perceived credit risk and potential systemic issues</t>
  </si>
  <si>
    <t>D. Market Sentiment and Positioning</t>
  </si>
  <si>
    <t>Retail Investor Sentiment (散戶投資者情緒)</t>
  </si>
  <si>
    <t>Institutional Investor Sentiment (機構投資者情緒)</t>
  </si>
  <si>
    <t>Options Market Direction (期權市場交易方向) Why these matter: Contrarian indicators, extreme sentiment often precedes market turns</t>
  </si>
  <si>
    <t>Futures Market Positioning</t>
  </si>
  <si>
    <t>S&amp;P 500 and Nasdaq 100 speculative positions Why it matters: Indicates potential for short squeezes or trend reversals</t>
  </si>
  <si>
    <t>Market Breadth (S&amp;P500市場寬度) Why it matters: Indicates market health and potential trend changes</t>
  </si>
  <si>
    <t>Sector Strength (板塊強度) Why it matters: Shows market rotation, risk appetite, potential trading opportunities</t>
  </si>
  <si>
    <t>II. Key Concepts and Strategies</t>
  </si>
  <si>
    <t>A. Interest Rates</t>
  </si>
  <si>
    <t>Benchmark for pricing assets</t>
  </si>
  <si>
    <t>Impacts investment decisions and currency valuation Logic: Lower rates generally boost asset prices, higher rates can lead to contraction</t>
  </si>
  <si>
    <t>B. Market Psychology</t>
  </si>
  <si>
    <t>Contrarian approach to extreme sentiment</t>
  </si>
  <si>
    <t>Institutional vs. retail behavior often similar Logic: Extreme consensus often wrong, independent thinking crucial for success</t>
  </si>
  <si>
    <t>C. Trading Strategies</t>
  </si>
  <si>
    <t>Short squeeze (轧空) potential</t>
  </si>
  <si>
    <t>Sector rotation and ETF pair trading</t>
  </si>
  <si>
    <t>Risk-on vs. Risk-off environments Logic: Identifying market dynamics can lead to profitable trading opportunities</t>
  </si>
  <si>
    <t>D. Economic Analysis Approach</t>
  </si>
  <si>
    <t>Focus on leading and high-frequency indicators</t>
  </si>
  <si>
    <t>Understand supply-demand dynamics across sectors</t>
  </si>
  <si>
    <t>Use data to filter out market noise and develop independent views Logic: Timely, data-driven analysis leads to better investment decisions</t>
  </si>
  <si>
    <t>指标类型            指标名称                         指标逻辑</t>
  </si>
  <si>
    <t>宽度                盘口价差                         使用日内tick级别数据计算买一价与卖一价的价差再取当天日内的值数平均值。其基本逻辑是买一卖一的价差越大，盘口交易越趋于宽度越大，流动性越差，和流动性为负相关；</t>
  </si>
  <si>
    <t>弹性                弹性                             使用日内tick级别数据计算每个tick最高价与最低价的差再取当天日内的值数平均值，反映了当日价格的弹性。其基本逻辑是当最高价与最低价的差越大，价格的弹性也就越大，流动性越差。当基本逻辑是买卖报价的价差越大，盘口弹性越强。并且在开盘前有成交的排序列为未平单的持仓单量，上午9：25之前的表单高低平均平仓单价和当天开盘价的差越大，和流动性为负相关；</t>
  </si>
  <si>
    <t>深度                卖盘深度                         使用日内tick级别数据，使用五档买单与卖单下对冲间价格的价差的倒数对买单的数量进行加权，分别计算买卖单的市场深度指标。当单边报价某单位分空时，按照定义和公式该边市场深度指标为0。该指标反映单边报价每一档最优价单的单量越大，市场深度越大。</t>
  </si>
  <si>
    <t xml:space="preserve">                   买盘深度                         使用日内tick级别数据，计算买卖单与盘内盘口报价的简单平均值。当单边报价某单位分空时，按照定义和公式该边市场深度指标为0。该指标反映单边报价每一档最优价单的单量越大，市场深度越大。</t>
  </si>
  <si>
    <t xml:space="preserve">                   盘口深度                         使用日内tick级别数据，计算买卖单与盘口报价的简单平均值，当单边报价某单位分空时，盘口深度为0时，整个深度为0。该指标反映盘内报价每一档最优价单的单量越大，市场深度越大，市场深度越大，流动性越差。</t>
  </si>
  <si>
    <t xml:space="preserve">                   有效深度                         使用日内tick级别数据，计算买卖单与盘口报价的简单平均值，反映市场深度的有效深度。其基本逻辑是双边报价的最优单的单量越大，市场的深度越大，流动性越差。将指标的日内高低值单位取平均值，并和流动性为正相关；</t>
  </si>
  <si>
    <t>交易集中度        开盘集合竞价成交                  将指标的日内高低值单位取值以体现指标当天日内的均匀程度，和流动性为负相关；</t>
  </si>
  <si>
    <t xml:space="preserve">                   量占比                           使用日内tick级别数据计算买卖单成交量和当天成交量的比值，说明日盘集合竞价成交量占比越大，流动性分布越不均匀，和流动性负相关。</t>
  </si>
  <si>
    <t xml:space="preserve">                   买盘深度前15分钟占比              使用日内tick级别数据，计算开盘时间段内(如15分钟)内市场深度的买盘深度占当天交易总量的比值，说明市场深度分布越不均匀，流动性越负相关。</t>
  </si>
  <si>
    <t xml:space="preserve">                   卖盘深度前15分钟占比              使用日内tick级别数据，计算开盘时间段内(如15分钟)内市场深度的卖盘深度占当天交易总量的比值，说明市场深度分布越不均匀，流动性越负相关。</t>
  </si>
  <si>
    <t xml:space="preserve">                   收盘集合竞价量占比                使用日内tick级别数据，计算开盘时间段内(如15分钟)内市场深度的收盘集合竞价量占当天交易总量的比值，说明市场深度分布越不均匀，流动性越负相关。</t>
  </si>
  <si>
    <t xml:space="preserve">                   盘口深度前15分钟占比              使用日内tick级别数据，计算开盘时间段内(如15分钟)内市场深度的盘口深度占当天交易总量的比值，说明盘口深度分布越不均匀，流动性越负相关。</t>
  </si>
  <si>
    <t xml:space="preserve">                   有效深度前15分钟占比              使用日内tick级别数据，计算开盘时间段内(如15分钟)内市场深度的有效深度占当天交易总量的比值，说明有效深度分布越不均匀，流动性越负相关。</t>
  </si>
  <si>
    <t xml:space="preserve">Market Watchlist </t>
  </si>
  <si>
    <t>© 2024 TheMarketMemo</t>
  </si>
  <si>
    <t>V 1.4</t>
  </si>
  <si>
    <t xml:space="preserve"> 數據由Google Finance提供，所有價格未包含分紅派息。</t>
  </si>
  <si>
    <t>Ticker</t>
  </si>
  <si>
    <t>Price</t>
  </si>
  <si>
    <t>1D%</t>
  </si>
  <si>
    <t xml:space="preserve">5D Rel </t>
  </si>
  <si>
    <t xml:space="preserve">20D Rel </t>
  </si>
  <si>
    <t>1. EQUITIES</t>
  </si>
  <si>
    <t>Global Markets</t>
  </si>
  <si>
    <t>ACWI</t>
  </si>
  <si>
    <t>VT</t>
  </si>
  <si>
    <t>ACWX</t>
  </si>
  <si>
    <t>TSE:DLR</t>
  </si>
  <si>
    <t>SDIV</t>
  </si>
  <si>
    <t>U.S. Equity</t>
  </si>
  <si>
    <t>VTI</t>
  </si>
  <si>
    <t>SPY</t>
  </si>
  <si>
    <t>QQQ</t>
  </si>
  <si>
    <t>TSE:ZQQ</t>
  </si>
  <si>
    <t>TSE:VFV</t>
  </si>
  <si>
    <t>TSE:ZSP</t>
  </si>
  <si>
    <t>TSE:XSP</t>
  </si>
  <si>
    <t>TSE:XUS</t>
  </si>
  <si>
    <t>Canada Equity</t>
  </si>
  <si>
    <t>TSE:XIU</t>
  </si>
  <si>
    <t>TSE:VCN</t>
  </si>
  <si>
    <t>TSE:XIC</t>
  </si>
  <si>
    <t>TSE:HXT</t>
  </si>
  <si>
    <t>TSE:ZCN</t>
  </si>
  <si>
    <t>TSE:HPR</t>
  </si>
  <si>
    <t>TSE:ZPR</t>
  </si>
  <si>
    <t>TSE:CPD</t>
  </si>
  <si>
    <t>TSE:ZEB</t>
  </si>
  <si>
    <t>TSE:XFN</t>
  </si>
  <si>
    <t>TSE:ZWB</t>
  </si>
  <si>
    <t>TSE:ZWU</t>
  </si>
  <si>
    <t>TSE:XEG</t>
  </si>
  <si>
    <t>TSE:FIE</t>
  </si>
  <si>
    <t>TSE:VBAL</t>
  </si>
  <si>
    <t>TSE:ZLB</t>
  </si>
  <si>
    <t>TSE:HMMJ</t>
  </si>
  <si>
    <t>TSE:XDV</t>
  </si>
  <si>
    <t>Developed Markets</t>
  </si>
  <si>
    <t>EFA</t>
  </si>
  <si>
    <t>EZU</t>
  </si>
  <si>
    <t>EWU</t>
  </si>
  <si>
    <t>EWG</t>
  </si>
  <si>
    <t>EWI</t>
  </si>
  <si>
    <t>EWP</t>
  </si>
  <si>
    <t>EWC</t>
  </si>
  <si>
    <t>EWJ</t>
  </si>
  <si>
    <t>Emerging Markets</t>
  </si>
  <si>
    <t>EEM</t>
  </si>
  <si>
    <t>EWY</t>
  </si>
  <si>
    <t>EWS</t>
  </si>
  <si>
    <t>EIDO</t>
  </si>
  <si>
    <t>EZA</t>
  </si>
  <si>
    <t>EWM</t>
  </si>
  <si>
    <t>INDA</t>
  </si>
  <si>
    <t>VNM</t>
  </si>
  <si>
    <t>EWW</t>
  </si>
  <si>
    <t>EWZ</t>
  </si>
  <si>
    <t>EWT</t>
  </si>
  <si>
    <t xml:space="preserve">China Market </t>
  </si>
  <si>
    <t>MCHI</t>
  </si>
  <si>
    <t>FXI</t>
  </si>
  <si>
    <t>KWEB</t>
  </si>
  <si>
    <t>ASHR</t>
  </si>
  <si>
    <t>Real Estate</t>
  </si>
  <si>
    <t>REET</t>
  </si>
  <si>
    <t>VNQI</t>
  </si>
  <si>
    <t>VNQ</t>
  </si>
  <si>
    <t>BATS:REM</t>
  </si>
  <si>
    <t>RWR</t>
  </si>
  <si>
    <t>MBB</t>
  </si>
  <si>
    <t>TSE:XRE</t>
  </si>
  <si>
    <t>High Dividends</t>
  </si>
  <si>
    <t>JEPI</t>
  </si>
  <si>
    <t>JEPQ</t>
  </si>
  <si>
    <t>PFF</t>
  </si>
  <si>
    <t>SPYD</t>
  </si>
  <si>
    <t>SDY</t>
  </si>
  <si>
    <t>DVY</t>
  </si>
  <si>
    <t>DIV</t>
  </si>
  <si>
    <t>TSE:ZDY</t>
  </si>
  <si>
    <t>2. FIXED-INCOME</t>
  </si>
  <si>
    <t>Broad Market</t>
  </si>
  <si>
    <t>AGG</t>
  </si>
  <si>
    <t>AGZ</t>
  </si>
  <si>
    <t>VAB</t>
  </si>
  <si>
    <t>IUSB</t>
  </si>
  <si>
    <t>BND</t>
  </si>
  <si>
    <t>ZAG</t>
  </si>
  <si>
    <t>XBB</t>
  </si>
  <si>
    <t>XRB</t>
  </si>
  <si>
    <t>VTIP</t>
  </si>
  <si>
    <t>TIP</t>
  </si>
  <si>
    <t>Treasury Bonds</t>
  </si>
  <si>
    <t>TLT</t>
  </si>
  <si>
    <t>IEF</t>
  </si>
  <si>
    <t>IEI</t>
  </si>
  <si>
    <t>SHY</t>
  </si>
  <si>
    <t>Government Bonds</t>
  </si>
  <si>
    <t>GOVT</t>
  </si>
  <si>
    <t>BSV</t>
  </si>
  <si>
    <t>GVI</t>
  </si>
  <si>
    <t>BIV</t>
  </si>
  <si>
    <t>TSE:ZMP</t>
  </si>
  <si>
    <t>TSE:ZFM</t>
  </si>
  <si>
    <t>Corporation Bonds</t>
  </si>
  <si>
    <t>LQD</t>
  </si>
  <si>
    <t>HYG</t>
  </si>
  <si>
    <t>JNK</t>
  </si>
  <si>
    <t>VSC</t>
  </si>
  <si>
    <t>PMIF</t>
  </si>
  <si>
    <t>TSE:ZHY</t>
  </si>
  <si>
    <t>TSE:XSH</t>
  </si>
  <si>
    <t>TSE:XCB</t>
  </si>
  <si>
    <t>TSE:ZCS</t>
  </si>
  <si>
    <t>Short-term Bills</t>
  </si>
  <si>
    <t>TSE:XSB</t>
  </si>
  <si>
    <t>SHV</t>
  </si>
  <si>
    <t>BIL</t>
  </si>
  <si>
    <t>TSE:XFR</t>
  </si>
  <si>
    <t>TSE:ZST</t>
  </si>
  <si>
    <t>TSE:PSA</t>
  </si>
  <si>
    <t>EM Bonds</t>
  </si>
  <si>
    <t>EMB</t>
  </si>
  <si>
    <t>EMHY</t>
  </si>
  <si>
    <t>TSE:XEB</t>
  </si>
  <si>
    <t>TSE:ZEF</t>
  </si>
  <si>
    <t>3. COMMODITIES</t>
  </si>
  <si>
    <t>PDBC</t>
  </si>
  <si>
    <t>DBC</t>
  </si>
  <si>
    <t>DBB</t>
  </si>
  <si>
    <t>DBA</t>
  </si>
  <si>
    <t>GLD</t>
  </si>
  <si>
    <t>SLV</t>
  </si>
  <si>
    <t>TSE:CGL</t>
  </si>
  <si>
    <t>5D Rel</t>
  </si>
  <si>
    <t>C/S</t>
  </si>
  <si>
    <t>S/M</t>
  </si>
  <si>
    <t>M/L</t>
  </si>
  <si>
    <t>Broad</t>
  </si>
  <si>
    <t>OEF</t>
  </si>
  <si>
    <t>DIA</t>
  </si>
  <si>
    <t>MDY</t>
  </si>
  <si>
    <t>RSP</t>
  </si>
  <si>
    <t>QTEC</t>
  </si>
  <si>
    <t>IWB</t>
  </si>
  <si>
    <t>IWM</t>
  </si>
  <si>
    <t>Factors</t>
  </si>
  <si>
    <t>BATS:MTUM</t>
  </si>
  <si>
    <t>SPHB</t>
  </si>
  <si>
    <t>BATS:QUAL</t>
  </si>
  <si>
    <t>SPLV</t>
  </si>
  <si>
    <t>Equal Weighted Sectors</t>
  </si>
  <si>
    <t>RSPC</t>
  </si>
  <si>
    <t>RSPD</t>
  </si>
  <si>
    <t>RSPS</t>
  </si>
  <si>
    <t>RSPG</t>
  </si>
  <si>
    <t>RSPF</t>
  </si>
  <si>
    <t>RSPH</t>
  </si>
  <si>
    <t>RSPN</t>
  </si>
  <si>
    <t>RSPM</t>
  </si>
  <si>
    <t>RSPR</t>
  </si>
  <si>
    <t>RSPT</t>
  </si>
  <si>
    <t>RSPU</t>
  </si>
  <si>
    <t>Growth</t>
  </si>
  <si>
    <t>IWY</t>
  </si>
  <si>
    <t>IVW</t>
  </si>
  <si>
    <t>IWF</t>
  </si>
  <si>
    <t>IWO</t>
  </si>
  <si>
    <t>ARK</t>
  </si>
  <si>
    <t>NYSEARCA:ARKK</t>
  </si>
  <si>
    <t>BATS:ARKG</t>
  </si>
  <si>
    <t>BATS:ARKQ</t>
  </si>
  <si>
    <t>NYSEARCA:ARKF</t>
  </si>
  <si>
    <t>NYSEARCA:ARKW</t>
  </si>
  <si>
    <t>BATS:ARKX</t>
  </si>
  <si>
    <t>BATS:PRNT</t>
  </si>
  <si>
    <t>Thematic</t>
  </si>
  <si>
    <t>METV</t>
  </si>
  <si>
    <t>IPO</t>
  </si>
  <si>
    <t>SNSR</t>
  </si>
  <si>
    <t>XT</t>
  </si>
  <si>
    <t>BATS:MOAT</t>
  </si>
  <si>
    <t>SOCL</t>
  </si>
  <si>
    <t>ONLN</t>
  </si>
  <si>
    <t>SKYY</t>
  </si>
  <si>
    <t>HERO</t>
  </si>
  <si>
    <t>IBUY</t>
  </si>
  <si>
    <t>IPAY</t>
  </si>
  <si>
    <t>FINX</t>
  </si>
  <si>
    <t>CIBR</t>
  </si>
  <si>
    <t>IGF</t>
  </si>
  <si>
    <t>DRIV</t>
  </si>
  <si>
    <t>BOTZ</t>
  </si>
  <si>
    <t>ROBO</t>
  </si>
  <si>
    <t>MOO</t>
  </si>
  <si>
    <t>TAN</t>
  </si>
  <si>
    <t>QCLN</t>
  </si>
  <si>
    <t>PBW</t>
  </si>
  <si>
    <t>AI Strategy</t>
  </si>
  <si>
    <t>AIEQ</t>
  </si>
  <si>
    <t>FFTY</t>
  </si>
  <si>
    <t>AIVL</t>
  </si>
  <si>
    <t>KOMP</t>
  </si>
  <si>
    <t>Good for Rate Cut</t>
  </si>
  <si>
    <t>KBE</t>
  </si>
  <si>
    <t>Bitcoin</t>
  </si>
  <si>
    <t>GBTC</t>
  </si>
  <si>
    <t>FBTC</t>
  </si>
  <si>
    <t>ARKB</t>
  </si>
  <si>
    <t>BITB</t>
  </si>
  <si>
    <t>BITO</t>
  </si>
  <si>
    <t>IBIT</t>
  </si>
  <si>
    <t>Communication Service</t>
  </si>
  <si>
    <t>XLC</t>
  </si>
  <si>
    <t>Consumer Discretionary</t>
  </si>
  <si>
    <t>XLY</t>
  </si>
  <si>
    <t>ITB</t>
  </si>
  <si>
    <t>XHB</t>
  </si>
  <si>
    <t>PEJ</t>
  </si>
  <si>
    <t>Consumer Staples</t>
  </si>
  <si>
    <t>XLP</t>
  </si>
  <si>
    <t>XRT</t>
  </si>
  <si>
    <t>Energy</t>
  </si>
  <si>
    <t>XLE</t>
  </si>
  <si>
    <t>GUNR</t>
  </si>
  <si>
    <t>XOP</t>
  </si>
  <si>
    <t>OIH</t>
  </si>
  <si>
    <t>Finance</t>
  </si>
  <si>
    <t>XLF</t>
  </si>
  <si>
    <t>VFH</t>
  </si>
  <si>
    <t>KRE</t>
  </si>
  <si>
    <t>IAI</t>
  </si>
  <si>
    <t>KIE</t>
  </si>
  <si>
    <t>Healthcare</t>
  </si>
  <si>
    <t>XLV</t>
  </si>
  <si>
    <t>IBB</t>
  </si>
  <si>
    <t>XBI</t>
  </si>
  <si>
    <t>IHI</t>
  </si>
  <si>
    <t>IHF</t>
  </si>
  <si>
    <t>XHE</t>
  </si>
  <si>
    <t>XPH</t>
  </si>
  <si>
    <t>MJ</t>
  </si>
  <si>
    <t>Industrials</t>
  </si>
  <si>
    <t>XLI</t>
  </si>
  <si>
    <t>ITA</t>
  </si>
  <si>
    <t>IYT</t>
  </si>
  <si>
    <t>JETS</t>
  </si>
  <si>
    <t>Materials</t>
  </si>
  <si>
    <t>XLB</t>
  </si>
  <si>
    <t>GDX</t>
  </si>
  <si>
    <t>XME</t>
  </si>
  <si>
    <t>LIT</t>
  </si>
  <si>
    <t>IYM</t>
  </si>
  <si>
    <t>URA</t>
  </si>
  <si>
    <t>REMX</t>
  </si>
  <si>
    <t>XLRE</t>
  </si>
  <si>
    <t>Technology</t>
  </si>
  <si>
    <t>XLK</t>
  </si>
  <si>
    <t>IXN</t>
  </si>
  <si>
    <t>VGT</t>
  </si>
  <si>
    <t>SOXX</t>
  </si>
  <si>
    <t>SMH</t>
  </si>
  <si>
    <t>BATS:IGV</t>
  </si>
  <si>
    <t>FDN</t>
  </si>
  <si>
    <t>HACK</t>
  </si>
  <si>
    <t>Utilities</t>
  </si>
  <si>
    <t>XLU</t>
  </si>
  <si>
    <t>選股邏輯：</t>
  </si>
  <si>
    <r>
      <t>選股範圍</t>
    </r>
    <r>
      <rPr>
        <sz val="14.25"/>
        <color rgb="FF333333"/>
        <rFont val="Arial"/>
        <charset val="1"/>
      </rPr>
      <t>：羅素1000指數中正常交易的股票，剔除銀行、保險類股票。如果存在多種類型的股票同時交易，選取其最主要的類型（比如A類股）。</t>
    </r>
  </si>
  <si>
    <r>
      <t>營業規模</t>
    </r>
    <r>
      <rPr>
        <sz val="14.25"/>
        <color rgb="FF333333"/>
        <rFont val="Arial"/>
        <charset val="1"/>
      </rPr>
      <t>：最近一年（Trailing12 Month）收入規模在10億美元以上。</t>
    </r>
  </si>
  <si>
    <r>
      <t>財務強度</t>
    </r>
    <r>
      <rPr>
        <sz val="14.25"/>
        <color rgb="FF333333"/>
        <rFont val="Arial"/>
        <charset val="1"/>
      </rPr>
      <t>：考察</t>
    </r>
    <r>
      <rPr>
        <sz val="14.25"/>
        <color rgb="FF333333"/>
        <rFont val="Arial"/>
        <charset val="1"/>
      </rPr>
      <t>債務負擔率</t>
    </r>
    <r>
      <rPr>
        <sz val="14.25"/>
        <color rgb="FF333333"/>
        <rFont val="Arial"/>
        <charset val="1"/>
      </rPr>
      <t>、</t>
    </r>
    <r>
      <rPr>
        <sz val="14.25"/>
        <color rgb="FF333333"/>
        <rFont val="Arial"/>
        <charset val="1"/>
      </rPr>
      <t>債務收入比</t>
    </r>
    <r>
      <rPr>
        <sz val="14.25"/>
        <color rgb="FF333333"/>
        <rFont val="Arial"/>
        <charset val="1"/>
      </rPr>
      <t>與</t>
    </r>
    <r>
      <rPr>
        <sz val="14.25"/>
        <color rgb="FF333333"/>
        <rFont val="Arial"/>
        <charset val="1"/>
      </rPr>
      <t>Altman Z-Score</t>
    </r>
    <r>
      <rPr>
        <sz val="14.25"/>
        <color rgb="FF333333"/>
        <rFont val="Arial"/>
        <charset val="1"/>
      </rPr>
      <t>三個指標，綜合評分高者入選。</t>
    </r>
  </si>
  <si>
    <r>
      <t>增長排名</t>
    </r>
    <r>
      <rPr>
        <sz val="14.25"/>
        <color rgb="FF333333"/>
        <rFont val="Arial"/>
        <charset val="1"/>
      </rPr>
      <t>：考察企業近三年、近五年的營業收入增長、每股收入增長與EBITDA增長情況，結合增長的持續性進行行業排名，綜合排名高者入選。</t>
    </r>
  </si>
  <si>
    <r>
      <t>市場要素</t>
    </r>
    <r>
      <rPr>
        <sz val="14.25"/>
        <color rgb="FF333333"/>
        <rFont val="Arial"/>
        <charset val="1"/>
      </rPr>
      <t>：近2個月日均交易額不少於2000萬美元，中長期均線多頭排列，短期均線高於長期均線。</t>
    </r>
  </si>
  <si>
    <r>
      <t>市值排序</t>
    </r>
    <r>
      <rPr>
        <sz val="14.25"/>
        <color rgb="FF333333"/>
        <rFont val="Arial"/>
        <charset val="1"/>
      </rPr>
      <t>：滿足上述條件的股票中選取市值最小的10支股票。</t>
    </r>
  </si>
  <si>
    <t>模型回測</t>
  </si>
  <si>
    <r>
      <t>調倉日期：</t>
    </r>
    <r>
      <rPr>
        <b/>
        <sz val="14.25"/>
        <color rgb="FF333333"/>
        <rFont val="Arial"/>
        <charset val="1"/>
      </rPr>
      <t>每月第三個星期五</t>
    </r>
    <r>
      <rPr>
        <sz val="14.25"/>
        <color rgb="FF333333"/>
        <rFont val="Arial"/>
        <charset val="1"/>
      </rPr>
      <t>，滿足條件選入，不滿足者剔除。</t>
    </r>
  </si>
  <si>
    <r>
      <t>回測時長：</t>
    </r>
    <r>
      <rPr>
        <b/>
        <sz val="14.25"/>
        <color rgb="FF333333"/>
        <rFont val="Arial"/>
        <charset val="1"/>
      </rPr>
      <t>2000年1月21日～2022年12月16日</t>
    </r>
    <r>
      <rPr>
        <sz val="14.25"/>
        <color rgb="FF333333"/>
        <rFont val="Arial"/>
        <charset val="1"/>
      </rPr>
      <t>，共276次調倉。</t>
    </r>
  </si>
  <si>
    <r>
      <t>持倉條件：</t>
    </r>
    <r>
      <rPr>
        <b/>
        <sz val="14.25"/>
        <color rgb="FF333333"/>
        <rFont val="Arial"/>
        <charset val="1"/>
      </rPr>
      <t>等權重</t>
    </r>
    <r>
      <rPr>
        <sz val="14.25"/>
        <color rgb="FF333333"/>
        <rFont val="Arial"/>
        <charset val="1"/>
      </rPr>
      <t>（Equal Weight）。</t>
    </r>
  </si>
  <si>
    <r>
      <t>回測工具：</t>
    </r>
    <r>
      <rPr>
        <b/>
        <sz val="14.25"/>
        <color rgb="FF333333"/>
        <rFont val="Arial"/>
        <charset val="1"/>
      </rPr>
      <t>Bloomberg Terminal</t>
    </r>
  </si>
  <si>
    <t>回報分析</t>
  </si>
  <si>
    <r>
      <t>時段總回報：</t>
    </r>
    <r>
      <rPr>
        <b/>
        <i/>
        <sz val="14.25"/>
        <color rgb="FF333333"/>
        <rFont val="Arial"/>
        <charset val="1"/>
      </rPr>
      <t>2536.84%</t>
    </r>
  </si>
  <si>
    <r>
      <t>中位數回報：</t>
    </r>
    <r>
      <rPr>
        <b/>
        <i/>
        <sz val="14.25"/>
        <color rgb="FF333333"/>
        <rFont val="Arial"/>
        <charset val="1"/>
      </rPr>
      <t>19.87%</t>
    </r>
  </si>
  <si>
    <r>
      <t>最小年回報：</t>
    </r>
    <r>
      <rPr>
        <b/>
        <i/>
        <sz val="14.25"/>
        <color rgb="FF333333"/>
        <rFont val="Arial"/>
        <charset val="1"/>
      </rPr>
      <t>-31.31%</t>
    </r>
  </si>
  <si>
    <r>
      <t>最大年回報：</t>
    </r>
    <r>
      <rPr>
        <b/>
        <i/>
        <sz val="14.25"/>
        <color rgb="FF333333"/>
        <rFont val="Arial"/>
        <charset val="1"/>
      </rPr>
      <t>36.03%</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</si>
</sst>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D%&quot;"/>
    <numFmt numFmtId="177" formatCode="#&quot;Day Trend&quot;"/>
    <numFmt numFmtId="178" formatCode="yyyy&quot;-&quot;mm&quot;-&quot;dd"/>
    <numFmt numFmtId="179" formatCode="&quot;From&quot;\ m/d/yyyy"/>
    <numFmt numFmtId="180" formatCode="#&quot;D Trend&quot;"/>
    <numFmt numFmtId="181" formatCode="#&quot;D Vol&quot;"/>
  </numFmts>
  <fonts count="51">
    <font>
      <sz val="10"/>
      <name val="Arial"/>
      <charset val="1"/>
    </font>
    <font>
      <b/>
      <sz val="20.25"/>
      <color rgb="FF333333"/>
      <name val="Arial"/>
      <charset val="1"/>
    </font>
    <font>
      <b/>
      <sz val="14.25"/>
      <color rgb="FF333333"/>
      <name val="Arial"/>
      <charset val="1"/>
    </font>
    <font>
      <sz val="14.25"/>
      <color rgb="FF333333"/>
      <name val="Arial"/>
      <charset val="1"/>
    </font>
    <font>
      <i/>
      <sz val="20"/>
      <color theme="1"/>
      <name val="Impact"/>
      <charset val="134"/>
    </font>
    <font>
      <sz val="10"/>
      <color rgb="FF000000"/>
      <name val="宋体"/>
      <charset val="134"/>
      <scheme val="minor"/>
    </font>
    <font>
      <b/>
      <sz val="20"/>
      <color theme="1"/>
      <name val="Oswald"/>
      <charset val="134"/>
    </font>
    <font>
      <u/>
      <sz val="10"/>
      <color theme="1"/>
      <name val="Oswald"/>
      <charset val="134"/>
    </font>
    <font>
      <sz val="10"/>
      <color theme="1"/>
      <name val="Oswald"/>
      <charset val="134"/>
    </font>
    <font>
      <b/>
      <sz val="10"/>
      <color theme="1"/>
      <name val="Oswald"/>
      <charset val="134"/>
    </font>
    <font>
      <b/>
      <sz val="10"/>
      <color rgb="FFFFFFFF"/>
      <name val="Oswald"/>
      <charset val="134"/>
    </font>
    <font>
      <b/>
      <sz val="10"/>
      <color theme="6"/>
      <name val="Oswald"/>
      <charset val="134"/>
    </font>
    <font>
      <b/>
      <i/>
      <sz val="10"/>
      <color theme="1"/>
      <name val="Oswald"/>
      <charset val="134"/>
    </font>
    <font>
      <sz val="10"/>
      <color rgb="FF000000"/>
      <name val="Oswald"/>
      <charset val="134"/>
    </font>
    <font>
      <sz val="11"/>
      <color theme="1"/>
      <name val="Oswald"/>
      <charset val="134"/>
    </font>
    <font>
      <i/>
      <sz val="10"/>
      <color theme="1"/>
      <name val="Oswald"/>
      <charset val="134"/>
    </font>
    <font>
      <b/>
      <sz val="10"/>
      <color theme="0"/>
      <name val="Oswald"/>
      <charset val="134"/>
    </font>
    <font>
      <sz val="11"/>
      <color rgb="FF000000"/>
      <name val="Oswald"/>
      <charset val="134"/>
    </font>
    <font>
      <u/>
      <sz val="10"/>
      <color rgb="FF0000FF"/>
      <name val="Oswald"/>
      <charset val="134"/>
    </font>
    <font>
      <sz val="20"/>
      <color theme="1"/>
      <name val="Oswald"/>
      <charset val="134"/>
    </font>
    <font>
      <sz val="14.05"/>
      <color rgb="FF333333"/>
      <name val="Arial"/>
      <charset val="1"/>
    </font>
    <font>
      <b/>
      <sz val="10"/>
      <name val="Arial"/>
      <charset val="1"/>
    </font>
    <font>
      <sz val="24"/>
      <color rgb="FF800080"/>
      <name val="宋体"/>
      <charset val="0"/>
      <scheme val="minor"/>
    </font>
    <font>
      <sz val="24"/>
      <name val="Arial"/>
      <charset val="1"/>
    </font>
    <font>
      <sz val="12"/>
      <color rgb="FF1F2328"/>
      <name val="Segoe UI"/>
      <charset val="1"/>
    </font>
    <font>
      <b/>
      <sz val="18"/>
      <color rgb="FF1F2328"/>
      <name val="Segoe UI"/>
      <charset val="1"/>
    </font>
    <font>
      <b/>
      <sz val="12"/>
      <color rgb="FF1F2328"/>
      <name val="Segoe UI"/>
      <charset val="1"/>
    </font>
    <font>
      <sz val="10"/>
      <color rgb="FF0000FF"/>
      <name val="Arial"/>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i/>
      <sz val="14.25"/>
      <color rgb="FF333333"/>
      <name val="Arial"/>
      <charset val="1"/>
    </font>
    <font>
      <u/>
      <sz val="24"/>
      <color rgb="FF800080"/>
      <name val="宋体"/>
      <charset val="0"/>
      <scheme val="minor"/>
    </font>
  </fonts>
  <fills count="41">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theme="1"/>
        <bgColor theme="1"/>
      </patternFill>
    </fill>
    <fill>
      <patternFill patternType="solid">
        <fgColor rgb="FFCCCCCC"/>
        <bgColor rgb="FFCCCCCC"/>
      </patternFill>
    </fill>
    <fill>
      <patternFill patternType="solid">
        <fgColor theme="6"/>
        <bgColor theme="6"/>
      </patternFill>
    </fill>
    <fill>
      <patternFill patternType="solid">
        <fgColor rgb="FFEFEFEF"/>
        <bgColor rgb="FFEFEFEF"/>
      </patternFill>
    </fill>
    <fill>
      <patternFill patternType="solid">
        <fgColor rgb="FFD9D9D9"/>
        <bgColor rgb="FFD9D9D9"/>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8" fillId="0" borderId="0" applyBorder="0" applyAlignment="0" applyProtection="0"/>
    <xf numFmtId="44" fontId="28" fillId="0" borderId="0" applyBorder="0" applyAlignment="0" applyProtection="0"/>
    <xf numFmtId="9" fontId="28" fillId="0" borderId="0" applyBorder="0" applyAlignment="0" applyProtection="0"/>
    <xf numFmtId="41" fontId="28" fillId="0" borderId="0" applyBorder="0" applyAlignment="0" applyProtection="0"/>
    <xf numFmtId="42" fontId="28" fillId="0" borderId="0" applyBorder="0" applyAlignment="0" applyProtection="0"/>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10" borderId="2"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 applyNumberFormat="0" applyFill="0" applyAlignment="0" applyProtection="0">
      <alignment vertical="center"/>
    </xf>
    <xf numFmtId="0" fontId="36" fillId="0" borderId="3" applyNumberFormat="0" applyFill="0" applyAlignment="0" applyProtection="0">
      <alignment vertical="center"/>
    </xf>
    <xf numFmtId="0" fontId="37" fillId="0" borderId="4" applyNumberFormat="0" applyFill="0" applyAlignment="0" applyProtection="0">
      <alignment vertical="center"/>
    </xf>
    <xf numFmtId="0" fontId="37" fillId="0" borderId="0" applyNumberFormat="0" applyFill="0" applyBorder="0" applyAlignment="0" applyProtection="0">
      <alignment vertical="center"/>
    </xf>
    <xf numFmtId="0" fontId="38" fillId="11" borderId="5" applyNumberFormat="0" applyAlignment="0" applyProtection="0">
      <alignment vertical="center"/>
    </xf>
    <xf numFmtId="0" fontId="39" fillId="12" borderId="6" applyNumberFormat="0" applyAlignment="0" applyProtection="0">
      <alignment vertical="center"/>
    </xf>
    <xf numFmtId="0" fontId="40" fillId="12" borderId="5" applyNumberFormat="0" applyAlignment="0" applyProtection="0">
      <alignment vertical="center"/>
    </xf>
    <xf numFmtId="0" fontId="41" fillId="13" borderId="7" applyNumberFormat="0" applyAlignment="0" applyProtection="0">
      <alignment vertical="center"/>
    </xf>
    <xf numFmtId="0" fontId="42" fillId="0" borderId="8" applyNumberFormat="0" applyFill="0" applyAlignment="0" applyProtection="0">
      <alignment vertical="center"/>
    </xf>
    <xf numFmtId="0" fontId="43" fillId="0" borderId="9"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cellStyleXfs>
  <cellXfs count="8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horizontal="left" wrapText="1" indent="1"/>
    </xf>
    <xf numFmtId="0" fontId="4" fillId="2" borderId="0" xfId="0" applyFont="1" applyFill="1" applyAlignment="1">
      <alignment vertical="top"/>
    </xf>
    <xf numFmtId="0" fontId="5" fillId="0" borderId="0" xfId="0" applyFont="1" applyFill="1" applyAlignment="1"/>
    <xf numFmtId="2" fontId="6" fillId="2" borderId="0" xfId="0" applyNumberFormat="1" applyFont="1" applyFill="1" applyAlignment="1">
      <alignment horizontal="right"/>
    </xf>
    <xf numFmtId="176" fontId="6" fillId="2" borderId="0" xfId="0" applyNumberFormat="1" applyFont="1" applyFill="1" applyAlignment="1">
      <alignment horizontal="right"/>
    </xf>
    <xf numFmtId="177" fontId="6" fillId="2" borderId="0" xfId="0" applyNumberFormat="1" applyFont="1" applyFill="1" applyAlignment="1">
      <alignment horizontal="right"/>
    </xf>
    <xf numFmtId="0" fontId="7" fillId="2" borderId="0" xfId="0" applyFont="1" applyFill="1" applyAlignment="1"/>
    <xf numFmtId="0" fontId="8" fillId="0" borderId="0" xfId="0" applyFont="1" applyFill="1" applyAlignment="1"/>
    <xf numFmtId="2" fontId="9" fillId="2" borderId="0" xfId="0" applyNumberFormat="1" applyFont="1" applyFill="1" applyAlignment="1">
      <alignment horizontal="right"/>
    </xf>
    <xf numFmtId="176" fontId="9" fillId="2" borderId="0" xfId="0" applyNumberFormat="1" applyFont="1" applyFill="1" applyAlignment="1">
      <alignment horizontal="right"/>
    </xf>
    <xf numFmtId="177" fontId="9" fillId="2" borderId="0" xfId="0" applyNumberFormat="1" applyFont="1" applyFill="1" applyAlignment="1">
      <alignment horizontal="right"/>
    </xf>
    <xf numFmtId="0" fontId="8" fillId="2" borderId="0" xfId="0" applyFont="1" applyFill="1" applyAlignment="1"/>
    <xf numFmtId="0" fontId="10" fillId="3" borderId="0" xfId="0" applyFont="1" applyFill="1" applyAlignment="1"/>
    <xf numFmtId="178" fontId="11" fillId="4" borderId="0" xfId="0" applyNumberFormat="1" applyFont="1" applyFill="1" applyAlignment="1">
      <alignment horizontal="left"/>
    </xf>
    <xf numFmtId="2" fontId="8" fillId="0" borderId="0" xfId="0" applyNumberFormat="1" applyFont="1" applyFill="1" applyAlignment="1">
      <alignment horizontal="right"/>
    </xf>
    <xf numFmtId="176" fontId="8" fillId="0" borderId="0" xfId="0" applyNumberFormat="1" applyFont="1" applyFill="1" applyAlignment="1">
      <alignment horizontal="right"/>
    </xf>
    <xf numFmtId="179" fontId="12" fillId="5" borderId="0" xfId="0" applyNumberFormat="1" applyFont="1" applyFill="1" applyAlignment="1">
      <alignment horizontal="center"/>
    </xf>
    <xf numFmtId="0" fontId="9" fillId="6" borderId="0" xfId="0" applyFont="1" applyFill="1" applyAlignment="1"/>
    <xf numFmtId="2" fontId="8" fillId="0" borderId="0" xfId="0" applyNumberFormat="1" applyFont="1" applyFill="1" applyAlignment="1"/>
    <xf numFmtId="2" fontId="13" fillId="0" borderId="0" xfId="0" applyNumberFormat="1" applyFont="1" applyFill="1" applyAlignment="1"/>
    <xf numFmtId="10" fontId="8" fillId="0" borderId="0" xfId="0" applyNumberFormat="1" applyFont="1" applyFill="1" applyAlignment="1"/>
    <xf numFmtId="10" fontId="8" fillId="2" borderId="0" xfId="0" applyNumberFormat="1" applyFont="1" applyFill="1" applyAlignment="1"/>
    <xf numFmtId="0" fontId="14" fillId="2" borderId="0" xfId="0" applyFont="1" applyFill="1" applyAlignment="1"/>
    <xf numFmtId="0" fontId="15" fillId="2" borderId="0" xfId="0" applyFont="1" applyFill="1" applyAlignment="1"/>
    <xf numFmtId="0" fontId="12" fillId="0" borderId="0" xfId="0" applyFont="1" applyFill="1" applyAlignment="1">
      <alignment horizontal="center"/>
    </xf>
    <xf numFmtId="0" fontId="16" fillId="3" borderId="0" xfId="0" applyFont="1" applyFill="1" applyAlignment="1">
      <alignment horizontal="right"/>
    </xf>
    <xf numFmtId="0" fontId="15" fillId="0" borderId="0" xfId="0" applyFont="1" applyFill="1" applyAlignment="1"/>
    <xf numFmtId="10" fontId="15" fillId="0" borderId="0" xfId="0" applyNumberFormat="1" applyFont="1" applyFill="1" applyAlignment="1"/>
    <xf numFmtId="0" fontId="13" fillId="0" borderId="0" xfId="0" applyFont="1" applyFill="1" applyAlignment="1"/>
    <xf numFmtId="10" fontId="13" fillId="0" borderId="0" xfId="0" applyNumberFormat="1" applyFont="1" applyFill="1" applyAlignment="1"/>
    <xf numFmtId="0" fontId="17" fillId="0" borderId="0" xfId="0" applyFont="1" applyFill="1" applyAlignment="1"/>
    <xf numFmtId="2" fontId="6" fillId="0" borderId="0" xfId="0" applyNumberFormat="1" applyFont="1" applyFill="1" applyAlignment="1">
      <alignment horizontal="right"/>
    </xf>
    <xf numFmtId="176" fontId="6" fillId="0" borderId="0" xfId="0" applyNumberFormat="1" applyFont="1" applyFill="1" applyAlignment="1">
      <alignment horizontal="right"/>
    </xf>
    <xf numFmtId="177" fontId="6" fillId="0" borderId="0" xfId="0" applyNumberFormat="1" applyFont="1" applyFill="1" applyAlignment="1">
      <alignment horizontal="right"/>
    </xf>
    <xf numFmtId="0" fontId="18" fillId="2" borderId="0" xfId="0" applyFont="1" applyFill="1" applyAlignment="1"/>
    <xf numFmtId="2" fontId="9" fillId="0" borderId="0" xfId="0" applyNumberFormat="1" applyFont="1" applyFill="1" applyAlignment="1">
      <alignment horizontal="right"/>
    </xf>
    <xf numFmtId="176" fontId="9" fillId="0" borderId="0" xfId="0" applyNumberFormat="1" applyFont="1" applyFill="1" applyAlignment="1">
      <alignment horizontal="right"/>
    </xf>
    <xf numFmtId="177" fontId="9" fillId="0" borderId="0" xfId="0" applyNumberFormat="1" applyFont="1" applyFill="1" applyAlignment="1">
      <alignment horizontal="right"/>
    </xf>
    <xf numFmtId="179" fontId="12" fillId="5" borderId="0" xfId="0" applyNumberFormat="1" applyFont="1" applyFill="1" applyAlignment="1">
      <alignment horizontal="right"/>
    </xf>
    <xf numFmtId="180" fontId="8" fillId="5" borderId="0" xfId="0" applyNumberFormat="1" applyFont="1" applyFill="1" applyAlignment="1">
      <alignment horizontal="right"/>
    </xf>
    <xf numFmtId="0" fontId="9" fillId="7" borderId="0" xfId="0" applyFont="1" applyFill="1" applyAlignment="1"/>
    <xf numFmtId="2" fontId="8" fillId="7" borderId="0" xfId="0" applyNumberFormat="1" applyFont="1" applyFill="1" applyAlignment="1"/>
    <xf numFmtId="0" fontId="8" fillId="7" borderId="0" xfId="0" applyFont="1" applyFill="1" applyAlignment="1"/>
    <xf numFmtId="0" fontId="19" fillId="0" borderId="0" xfId="0" applyFont="1" applyFill="1" applyAlignment="1"/>
    <xf numFmtId="181" fontId="8" fillId="5" borderId="0" xfId="0" applyNumberFormat="1" applyFont="1" applyFill="1" applyAlignment="1"/>
    <xf numFmtId="0" fontId="9" fillId="8" borderId="0" xfId="0" applyFont="1" applyFill="1" applyAlignment="1"/>
    <xf numFmtId="2" fontId="13" fillId="8" borderId="0" xfId="0" applyNumberFormat="1" applyFont="1" applyFill="1" applyAlignment="1"/>
    <xf numFmtId="2" fontId="8" fillId="8" borderId="0" xfId="0" applyNumberFormat="1" applyFont="1" applyFill="1" applyAlignment="1"/>
    <xf numFmtId="10" fontId="8" fillId="8" borderId="0" xfId="0" applyNumberFormat="1" applyFont="1" applyFill="1" applyAlignment="1"/>
    <xf numFmtId="10" fontId="13" fillId="8" borderId="0" xfId="0" applyNumberFormat="1" applyFont="1" applyFill="1" applyAlignment="1"/>
    <xf numFmtId="0" fontId="8" fillId="8" borderId="0" xfId="0" applyFont="1" applyFill="1" applyAlignment="1"/>
    <xf numFmtId="0" fontId="20" fillId="0" borderId="0" xfId="0" applyFont="1" applyAlignment="1">
      <alignment wrapText="1"/>
    </xf>
    <xf numFmtId="0" fontId="0" fillId="0" borderId="0" xfId="0" applyAlignment="1">
      <alignment horizontal="left" indent="1"/>
    </xf>
    <xf numFmtId="0" fontId="21" fillId="0" borderId="0" xfId="0" applyFont="1" applyAlignment="1">
      <alignment horizontal="center" wrapText="1"/>
    </xf>
    <xf numFmtId="0" fontId="21" fillId="0" borderId="0" xfId="0" applyFont="1" applyAlignment="1">
      <alignment wrapText="1"/>
    </xf>
    <xf numFmtId="0" fontId="0" fillId="0" borderId="0" xfId="0" applyAlignment="1">
      <alignment wrapText="1"/>
    </xf>
    <xf numFmtId="0" fontId="22" fillId="0" borderId="1" xfId="6" applyFont="1" applyBorder="1" applyAlignment="1">
      <alignment horizontal="left"/>
    </xf>
    <xf numFmtId="0" fontId="23" fillId="0" borderId="1" xfId="0" applyFont="1" applyBorder="1" applyAlignment="1">
      <alignment horizontal="left"/>
    </xf>
    <xf numFmtId="0" fontId="21" fillId="0" borderId="1" xfId="0" applyFont="1" applyBorder="1" applyAlignment="1">
      <alignment horizontal="center" wrapText="1"/>
    </xf>
    <xf numFmtId="0" fontId="21" fillId="0" borderId="1" xfId="0" applyFont="1" applyBorder="1" applyAlignment="1">
      <alignment wrapText="1"/>
    </xf>
    <xf numFmtId="0" fontId="0" fillId="0" borderId="1" xfId="0" applyBorder="1" applyAlignment="1">
      <alignment wrapText="1"/>
    </xf>
    <xf numFmtId="0" fontId="24" fillId="0" borderId="0" xfId="0" applyFont="1" applyAlignment="1">
      <alignment horizontal="left" wrapText="1" indent="1"/>
    </xf>
    <xf numFmtId="0" fontId="24" fillId="0" borderId="0" xfId="0" applyFont="1" applyAlignment="1">
      <alignment horizontal="left" wrapText="1" indent="2"/>
    </xf>
    <xf numFmtId="0" fontId="0" fillId="0" borderId="1" xfId="0" applyBorder="1"/>
    <xf numFmtId="0" fontId="25" fillId="0" borderId="1" xfId="0" applyFont="1" applyBorder="1" applyAlignment="1">
      <alignment wrapText="1"/>
    </xf>
    <xf numFmtId="0" fontId="26" fillId="9" borderId="1" xfId="0" applyFont="1" applyFill="1" applyBorder="1" applyAlignment="1">
      <alignment horizontal="center"/>
    </xf>
    <xf numFmtId="0" fontId="24" fillId="9" borderId="1" xfId="0" applyFont="1" applyFill="1" applyBorder="1" applyAlignment="1"/>
    <xf numFmtId="0" fontId="24" fillId="9" borderId="1" xfId="0" applyFont="1" applyFill="1" applyBorder="1" applyAlignment="1">
      <alignment wrapText="1"/>
    </xf>
    <xf numFmtId="0" fontId="26" fillId="9"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left"/>
    </xf>
    <xf numFmtId="0" fontId="21" fillId="0" borderId="0" xfId="0" applyFont="1" applyAlignment="1">
      <alignment horizontal="left" wrapText="1"/>
    </xf>
    <xf numFmtId="0" fontId="0" fillId="0" borderId="0" xfId="0" applyFont="1" applyAlignment="1">
      <alignment horizontal="left" wrapText="1"/>
    </xf>
    <xf numFmtId="0" fontId="27" fillId="0" borderId="0" xfId="0" applyFont="1" applyAlignment="1">
      <alignment horizontal="left" wrapText="1"/>
    </xf>
    <xf numFmtId="0" fontId="0" fillId="0" borderId="1" xfId="0" applyBorder="1" applyAlignment="1">
      <alignment horizontal="left" wrapText="1"/>
    </xf>
    <xf numFmtId="0" fontId="21" fillId="0" borderId="1" xfId="0" applyFont="1" applyBorder="1" applyAlignment="1">
      <alignment horizontal="left" wrapText="1"/>
    </xf>
    <xf numFmtId="0" fontId="0" fillId="0" borderId="1" xfId="0" applyFont="1" applyBorder="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ont>
        <color rgb="FFEA4335"/>
      </font>
      <fill>
        <patternFill patternType="none"/>
      </fill>
    </dxf>
    <dxf>
      <font>
        <color rgb="FF57BB8A"/>
      </font>
      <fill>
        <patternFill patternType="none"/>
      </fill>
    </dxf>
    <dxf>
      <font>
        <color theme="1"/>
      </font>
      <fill>
        <patternFill patternType="solid">
          <fgColor rgb="FFFFFFFF"/>
          <bgColor rgb="FFFFFFFF"/>
        </patternFill>
      </fill>
    </dxf>
    <dxf>
      <font>
        <color rgb="FF000000"/>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6" Type="http://schemas.openxmlformats.org/officeDocument/2006/relationships/image" Target="../media/image9.GIF"/><Relationship Id="rId5" Type="http://schemas.openxmlformats.org/officeDocument/2006/relationships/image" Target="../media/image8.GIF"/><Relationship Id="rId4" Type="http://schemas.openxmlformats.org/officeDocument/2006/relationships/image" Target="../media/image7.GIF"/><Relationship Id="rId3" Type="http://schemas.openxmlformats.org/officeDocument/2006/relationships/image" Target="../media/image6.GIF"/><Relationship Id="rId2" Type="http://schemas.openxmlformats.org/officeDocument/2006/relationships/image" Target="NULL" TargetMode="External"/><Relationship Id="rId1" Type="http://schemas.openxmlformats.org/officeDocument/2006/relationships/image" Target="../media/image5.GIF"/></Relationships>
</file>

<file path=xl/drawings/_rels/drawing4.xml.rels><?xml version="1.0" encoding="UTF-8" standalone="yes"?>
<Relationships xmlns="http://schemas.openxmlformats.org/package/2006/relationships"><Relationship Id="rId1" Type="http://schemas.openxmlformats.org/officeDocument/2006/relationships/image" Target="../media/image10.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35</xdr:row>
      <xdr:rowOff>158040</xdr:rowOff>
    </xdr:from>
    <xdr:to>
      <xdr:col>6</xdr:col>
      <xdr:colOff>355680</xdr:colOff>
      <xdr:row>81</xdr:row>
      <xdr:rowOff>110160</xdr:rowOff>
    </xdr:to>
    <xdr:pic>
      <xdr:nvPicPr>
        <xdr:cNvPr id="2" name="Image 3"/>
        <xdr:cNvPicPr/>
      </xdr:nvPicPr>
      <xdr:blipFill>
        <a:blip r:embed="rId1"/>
        <a:stretch>
          <a:fillRect/>
        </a:stretch>
      </xdr:blipFill>
      <xdr:spPr>
        <a:xfrm>
          <a:off x="0" y="11492230"/>
          <a:ext cx="9967595" cy="7400925"/>
        </a:xfrm>
        <a:prstGeom prst="rect">
          <a:avLst/>
        </a:prstGeom>
        <a:ln w="0">
          <a:noFill/>
        </a:ln>
      </xdr:spPr>
    </xdr:pic>
    <xdr:clientData/>
  </xdr:twoCellAnchor>
  <xdr:twoCellAnchor editAs="absolute">
    <xdr:from>
      <xdr:col>0</xdr:col>
      <xdr:colOff>0</xdr:colOff>
      <xdr:row>18</xdr:row>
      <xdr:rowOff>154800</xdr:rowOff>
    </xdr:from>
    <xdr:to>
      <xdr:col>3</xdr:col>
      <xdr:colOff>872280</xdr:colOff>
      <xdr:row>33</xdr:row>
      <xdr:rowOff>154440</xdr:rowOff>
    </xdr:to>
    <xdr:pic>
      <xdr:nvPicPr>
        <xdr:cNvPr id="3" name="Image 5"/>
        <xdr:cNvPicPr/>
      </xdr:nvPicPr>
      <xdr:blipFill>
        <a:blip r:embed="rId2"/>
        <a:stretch>
          <a:fillRect/>
        </a:stretch>
      </xdr:blipFill>
      <xdr:spPr>
        <a:xfrm>
          <a:off x="0" y="8736330"/>
          <a:ext cx="5264150" cy="2428875"/>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6</xdr:col>
      <xdr:colOff>612360</xdr:colOff>
      <xdr:row>1</xdr:row>
      <xdr:rowOff>69120</xdr:rowOff>
    </xdr:from>
    <xdr:to>
      <xdr:col>16</xdr:col>
      <xdr:colOff>388800</xdr:colOff>
      <xdr:row>8</xdr:row>
      <xdr:rowOff>324000</xdr:rowOff>
    </xdr:to>
    <xdr:pic>
      <xdr:nvPicPr>
        <xdr:cNvPr id="2" name="Image 1"/>
        <xdr:cNvPicPr/>
      </xdr:nvPicPr>
      <xdr:blipFill>
        <a:blip r:embed="rId1"/>
        <a:stretch>
          <a:fillRect/>
        </a:stretch>
      </xdr:blipFill>
      <xdr:spPr>
        <a:xfrm>
          <a:off x="11894185" y="230505"/>
          <a:ext cx="7459980" cy="3169920"/>
        </a:xfrm>
        <a:prstGeom prst="rect">
          <a:avLst/>
        </a:prstGeom>
        <a:ln w="0">
          <a:noFill/>
        </a:ln>
      </xdr:spPr>
    </xdr:pic>
    <xdr:clientData/>
  </xdr:twoCellAnchor>
  <xdr:twoCellAnchor editAs="absolute">
    <xdr:from>
      <xdr:col>7</xdr:col>
      <xdr:colOff>29160</xdr:colOff>
      <xdr:row>9</xdr:row>
      <xdr:rowOff>9720</xdr:rowOff>
    </xdr:from>
    <xdr:to>
      <xdr:col>19</xdr:col>
      <xdr:colOff>372960</xdr:colOff>
      <xdr:row>28</xdr:row>
      <xdr:rowOff>119520</xdr:rowOff>
    </xdr:to>
    <xdr:pic>
      <xdr:nvPicPr>
        <xdr:cNvPr id="3" name="Image 4"/>
        <xdr:cNvPicPr/>
      </xdr:nvPicPr>
      <xdr:blipFill>
        <a:blip r:embed="rId2"/>
        <a:stretch>
          <a:fillRect/>
        </a:stretch>
      </xdr:blipFill>
      <xdr:spPr>
        <a:xfrm>
          <a:off x="12078970" y="3571875"/>
          <a:ext cx="9564370" cy="7558405"/>
        </a:xfrm>
        <a:prstGeom prst="rect">
          <a:avLst/>
        </a:prstGeom>
        <a:ln w="0">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xdr:row>
      <xdr:rowOff>0</xdr:rowOff>
    </xdr:from>
    <xdr:to>
      <xdr:col>0</xdr:col>
      <xdr:colOff>1949450</xdr:colOff>
      <xdr:row>8</xdr:row>
      <xdr:rowOff>298450</xdr:rowOff>
    </xdr:to>
    <xdr:pic>
      <xdr:nvPicPr>
        <xdr:cNvPr id="2" name="图片 1" descr="equation"/>
        <xdr:cNvPicPr>
          <a:picLocks noChangeAspect="1"/>
        </xdr:cNvPicPr>
      </xdr:nvPicPr>
      <xdr:blipFill>
        <a:blip r:embed="rId1" r:link="rId2"/>
        <a:stretch>
          <a:fillRect/>
        </a:stretch>
      </xdr:blipFill>
      <xdr:spPr>
        <a:xfrm>
          <a:off x="0" y="2847975"/>
          <a:ext cx="1949450" cy="298450"/>
        </a:xfrm>
        <a:prstGeom prst="rect">
          <a:avLst/>
        </a:prstGeom>
        <a:noFill/>
        <a:ln>
          <a:noFill/>
        </a:ln>
      </xdr:spPr>
    </xdr:pic>
    <xdr:clientData/>
  </xdr:twoCellAnchor>
  <xdr:twoCellAnchor editAs="oneCell">
    <xdr:from>
      <xdr:col>0</xdr:col>
      <xdr:colOff>0</xdr:colOff>
      <xdr:row>9</xdr:row>
      <xdr:rowOff>0</xdr:rowOff>
    </xdr:from>
    <xdr:to>
      <xdr:col>0</xdr:col>
      <xdr:colOff>1130300</xdr:colOff>
      <xdr:row>9</xdr:row>
      <xdr:rowOff>146050</xdr:rowOff>
    </xdr:to>
    <xdr:pic>
      <xdr:nvPicPr>
        <xdr:cNvPr id="3" name="图片 2" descr="equation"/>
        <xdr:cNvPicPr>
          <a:picLocks noChangeAspect="1"/>
        </xdr:cNvPicPr>
      </xdr:nvPicPr>
      <xdr:blipFill>
        <a:blip r:embed="rId3" r:link="rId2"/>
        <a:stretch>
          <a:fillRect/>
        </a:stretch>
      </xdr:blipFill>
      <xdr:spPr>
        <a:xfrm>
          <a:off x="0" y="3165475"/>
          <a:ext cx="1130300" cy="146050"/>
        </a:xfrm>
        <a:prstGeom prst="rect">
          <a:avLst/>
        </a:prstGeom>
        <a:noFill/>
        <a:ln>
          <a:noFill/>
        </a:ln>
      </xdr:spPr>
    </xdr:pic>
    <xdr:clientData/>
  </xdr:twoCellAnchor>
  <xdr:twoCellAnchor editAs="oneCell">
    <xdr:from>
      <xdr:col>0</xdr:col>
      <xdr:colOff>0</xdr:colOff>
      <xdr:row>10</xdr:row>
      <xdr:rowOff>0</xdr:rowOff>
    </xdr:from>
    <xdr:to>
      <xdr:col>0</xdr:col>
      <xdr:colOff>914400</xdr:colOff>
      <xdr:row>10</xdr:row>
      <xdr:rowOff>279400</xdr:rowOff>
    </xdr:to>
    <xdr:pic>
      <xdr:nvPicPr>
        <xdr:cNvPr id="4" name="图片 3" descr="equation"/>
        <xdr:cNvPicPr>
          <a:picLocks noChangeAspect="1"/>
        </xdr:cNvPicPr>
      </xdr:nvPicPr>
      <xdr:blipFill>
        <a:blip r:embed="rId4" r:link="rId2"/>
        <a:stretch>
          <a:fillRect/>
        </a:stretch>
      </xdr:blipFill>
      <xdr:spPr>
        <a:xfrm>
          <a:off x="0" y="3368675"/>
          <a:ext cx="914400" cy="279400"/>
        </a:xfrm>
        <a:prstGeom prst="rect">
          <a:avLst/>
        </a:prstGeom>
        <a:noFill/>
        <a:ln>
          <a:noFill/>
        </a:ln>
      </xdr:spPr>
    </xdr:pic>
    <xdr:clientData/>
  </xdr:twoCellAnchor>
  <xdr:twoCellAnchor editAs="oneCell">
    <xdr:from>
      <xdr:col>0</xdr:col>
      <xdr:colOff>0</xdr:colOff>
      <xdr:row>11</xdr:row>
      <xdr:rowOff>0</xdr:rowOff>
    </xdr:from>
    <xdr:to>
      <xdr:col>0</xdr:col>
      <xdr:colOff>2057400</xdr:colOff>
      <xdr:row>11</xdr:row>
      <xdr:rowOff>146050</xdr:rowOff>
    </xdr:to>
    <xdr:pic>
      <xdr:nvPicPr>
        <xdr:cNvPr id="5" name="图片 4" descr="equation"/>
        <xdr:cNvPicPr>
          <a:picLocks noChangeAspect="1"/>
        </xdr:cNvPicPr>
      </xdr:nvPicPr>
      <xdr:blipFill>
        <a:blip r:embed="rId5" r:link="rId2"/>
        <a:stretch>
          <a:fillRect/>
        </a:stretch>
      </xdr:blipFill>
      <xdr:spPr>
        <a:xfrm>
          <a:off x="0" y="3660775"/>
          <a:ext cx="2057400" cy="146050"/>
        </a:xfrm>
        <a:prstGeom prst="rect">
          <a:avLst/>
        </a:prstGeom>
        <a:noFill/>
        <a:ln>
          <a:noFill/>
        </a:ln>
      </xdr:spPr>
    </xdr:pic>
    <xdr:clientData/>
  </xdr:twoCellAnchor>
  <xdr:twoCellAnchor editAs="oneCell">
    <xdr:from>
      <xdr:col>0</xdr:col>
      <xdr:colOff>0</xdr:colOff>
      <xdr:row>12</xdr:row>
      <xdr:rowOff>0</xdr:rowOff>
    </xdr:from>
    <xdr:to>
      <xdr:col>0</xdr:col>
      <xdr:colOff>1555750</xdr:colOff>
      <xdr:row>12</xdr:row>
      <xdr:rowOff>279400</xdr:rowOff>
    </xdr:to>
    <xdr:pic>
      <xdr:nvPicPr>
        <xdr:cNvPr id="6" name="图片 5" descr="equation"/>
        <xdr:cNvPicPr>
          <a:picLocks noChangeAspect="1"/>
        </xdr:cNvPicPr>
      </xdr:nvPicPr>
      <xdr:blipFill>
        <a:blip r:embed="rId6" r:link="rId2"/>
        <a:stretch>
          <a:fillRect/>
        </a:stretch>
      </xdr:blipFill>
      <xdr:spPr>
        <a:xfrm>
          <a:off x="0" y="3838575"/>
          <a:ext cx="1555750" cy="27940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398780</xdr:colOff>
      <xdr:row>0</xdr:row>
      <xdr:rowOff>133985</xdr:rowOff>
    </xdr:from>
    <xdr:to>
      <xdr:col>19</xdr:col>
      <xdr:colOff>579755</xdr:colOff>
      <xdr:row>23</xdr:row>
      <xdr:rowOff>124460</xdr:rowOff>
    </xdr:to>
    <xdr:pic>
      <xdr:nvPicPr>
        <xdr:cNvPr id="2" name="图片 1"/>
        <xdr:cNvPicPr>
          <a:picLocks noChangeAspect="1"/>
        </xdr:cNvPicPr>
      </xdr:nvPicPr>
      <xdr:blipFill>
        <a:blip r:embed="rId1"/>
        <a:stretch>
          <a:fillRect/>
        </a:stretch>
      </xdr:blipFill>
      <xdr:spPr>
        <a:xfrm>
          <a:off x="12924155" y="133985"/>
          <a:ext cx="9324975" cy="49244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yin.wang\Downloads\Market%20Watchlist%20v%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ssets"/>
      <sheetName val="Structure"/>
      <sheetName val="Industry"/>
      <sheetName val="DATA"/>
    </sheetNames>
    <sheetDataSet>
      <sheetData sheetId="0">
        <row r="2">
          <cell r="B2" t="str">
            <v>© 2024 TheMarketMemo</v>
          </cell>
        </row>
        <row r="4">
          <cell r="B4" t="str">
            <v>Ticker</v>
          </cell>
        </row>
      </sheetData>
      <sheetData sheetId="1">
        <row r="4">
          <cell r="G4">
            <v>20</v>
          </cell>
        </row>
        <row r="6">
          <cell r="F6">
            <v>0.0286464456462105</v>
          </cell>
          <cell r="G6">
            <v>-0.0517664908604869</v>
          </cell>
        </row>
      </sheetData>
      <sheetData sheetId="2"/>
      <sheetData sheetId="3">
        <row r="11">
          <cell r="F11">
            <v>259.140468879521</v>
          </cell>
          <cell r="G11">
            <v>-0.0108176110723263</v>
          </cell>
          <cell r="H11">
            <v>0.000936397737439723</v>
          </cell>
        </row>
        <row r="11">
          <cell r="O11">
            <v>82.003807577656</v>
          </cell>
          <cell r="P11">
            <v>-7.01059426650818e-6</v>
          </cell>
          <cell r="Q11">
            <v>0.00524434437760313</v>
          </cell>
        </row>
        <row r="12">
          <cell r="F12">
            <v>251.632151882917</v>
          </cell>
          <cell r="G12">
            <v>-0.0107629420627764</v>
          </cell>
          <cell r="H12">
            <v>0.00101075510339358</v>
          </cell>
        </row>
        <row r="13">
          <cell r="F13">
            <v>524.264093237834</v>
          </cell>
          <cell r="G13">
            <v>-0.00903211228451177</v>
          </cell>
          <cell r="H13">
            <v>0.00108088585434486</v>
          </cell>
        </row>
        <row r="13">
          <cell r="O13">
            <v>179.423543223075</v>
          </cell>
          <cell r="P13">
            <v>-0.0324717273055833</v>
          </cell>
          <cell r="Q13">
            <v>-0.0092020266685543</v>
          </cell>
        </row>
        <row r="14">
          <cell r="F14">
            <v>389.506568202397</v>
          </cell>
          <cell r="G14">
            <v>-0.00931238953494618</v>
          </cell>
          <cell r="H14">
            <v>0.00535581950240665</v>
          </cell>
        </row>
        <row r="14">
          <cell r="O14">
            <v>106.114294380703</v>
          </cell>
          <cell r="P14">
            <v>-0.0129015218264578</v>
          </cell>
          <cell r="Q14">
            <v>0.0323386005430781</v>
          </cell>
        </row>
        <row r="15">
          <cell r="F15">
            <v>533.443048462493</v>
          </cell>
          <cell r="G15">
            <v>-0.0173498306564037</v>
          </cell>
          <cell r="H15">
            <v>0.00164489155946053</v>
          </cell>
        </row>
        <row r="15">
          <cell r="O15">
            <v>104.048027455092</v>
          </cell>
          <cell r="P15">
            <v>-0.0251259967636997</v>
          </cell>
          <cell r="Q15">
            <v>0.02260540797134</v>
          </cell>
        </row>
        <row r="16">
          <cell r="F16">
            <v>163.893436316909</v>
          </cell>
          <cell r="G16">
            <v>-0.00681096843205303</v>
          </cell>
          <cell r="H16">
            <v>0.00462126817714345</v>
          </cell>
        </row>
        <row r="16">
          <cell r="O16">
            <v>44.1147103111629</v>
          </cell>
          <cell r="P16">
            <v>-0.0193056134587123</v>
          </cell>
          <cell r="Q16">
            <v>-0.00835893021279046</v>
          </cell>
        </row>
        <row r="17">
          <cell r="F17">
            <v>451.506648715303</v>
          </cell>
          <cell r="G17">
            <v>-0.0170251618571959</v>
          </cell>
          <cell r="H17">
            <v>-0.00902454821621398</v>
          </cell>
        </row>
        <row r="18">
          <cell r="F18">
            <v>186.269278605358</v>
          </cell>
          <cell r="G18">
            <v>-0.0287613369072268</v>
          </cell>
          <cell r="H18">
            <v>-0.0282334584118362</v>
          </cell>
        </row>
        <row r="18">
          <cell r="O18">
            <v>76.3945860744328</v>
          </cell>
          <cell r="P18">
            <v>0.00630753826642594</v>
          </cell>
          <cell r="Q18">
            <v>0.0101710800791378</v>
          </cell>
        </row>
        <row r="19">
          <cell r="F19">
            <v>287.444069700508</v>
          </cell>
          <cell r="G19">
            <v>-0.009206018562384</v>
          </cell>
          <cell r="H19">
            <v>0.000955232509067717</v>
          </cell>
        </row>
        <row r="19">
          <cell r="O19">
            <v>74.0677212432636</v>
          </cell>
          <cell r="P19">
            <v>-0.0241072882259277</v>
          </cell>
          <cell r="Q19">
            <v>-0.00526781777129511</v>
          </cell>
        </row>
        <row r="20">
          <cell r="F20">
            <v>204.487307973051</v>
          </cell>
          <cell r="G20">
            <v>-0.0289897146262048</v>
          </cell>
          <cell r="H20">
            <v>0.0111327662557828</v>
          </cell>
        </row>
        <row r="21">
          <cell r="O21">
            <v>90.3945040132882</v>
          </cell>
          <cell r="P21">
            <v>-0.00341365811700516</v>
          </cell>
          <cell r="Q21">
            <v>-0.00862354533504519</v>
          </cell>
        </row>
        <row r="22">
          <cell r="F22">
            <v>184.166988748351</v>
          </cell>
          <cell r="G22">
            <v>-0.00584819230288974</v>
          </cell>
          <cell r="H22">
            <v>-0.0128587010032884</v>
          </cell>
        </row>
        <row r="22">
          <cell r="O22">
            <v>40.5704177264714</v>
          </cell>
          <cell r="P22">
            <v>-0.00773864601420979</v>
          </cell>
          <cell r="Q22">
            <v>-0.016577051602787</v>
          </cell>
        </row>
        <row r="23">
          <cell r="F23">
            <v>83.1363718036444</v>
          </cell>
          <cell r="G23">
            <v>-0.0291071935221705</v>
          </cell>
          <cell r="H23">
            <v>-0.0147059623663223</v>
          </cell>
        </row>
        <row r="23">
          <cell r="O23">
            <v>144.807108912522</v>
          </cell>
          <cell r="P23">
            <v>-0.0120097297923448</v>
          </cell>
          <cell r="Q23">
            <v>-0.0284220145953597</v>
          </cell>
        </row>
        <row r="24">
          <cell r="F24">
            <v>164.150417094566</v>
          </cell>
          <cell r="G24">
            <v>-0.000674742533978668</v>
          </cell>
          <cell r="H24">
            <v>0.00178343399174952</v>
          </cell>
        </row>
        <row r="24">
          <cell r="O24">
            <v>35.7203012980953</v>
          </cell>
          <cell r="P24">
            <v>-0.0659031488148596</v>
          </cell>
          <cell r="Q24">
            <v>-0.0246051162405341</v>
          </cell>
        </row>
        <row r="25">
          <cell r="F25">
            <v>65.2089218261065</v>
          </cell>
          <cell r="G25">
            <v>0.00676547277643657</v>
          </cell>
          <cell r="H25">
            <v>0.0154577912046379</v>
          </cell>
        </row>
        <row r="25">
          <cell r="O25">
            <v>315.56088040353</v>
          </cell>
          <cell r="P25">
            <v>-0.0352907527762208</v>
          </cell>
          <cell r="Q25">
            <v>-0.0117040375761157</v>
          </cell>
        </row>
        <row r="26">
          <cell r="O26">
            <v>43.5993262094378</v>
          </cell>
          <cell r="P26">
            <v>-0.0393593431057777</v>
          </cell>
          <cell r="Q26">
            <v>-0.0344486360524052</v>
          </cell>
        </row>
        <row r="27">
          <cell r="F27">
            <v>29.5339419188232</v>
          </cell>
          <cell r="G27">
            <v>0.00641122712579373</v>
          </cell>
          <cell r="H27">
            <v>0.012946924558633</v>
          </cell>
        </row>
        <row r="28">
          <cell r="F28">
            <v>47.6076917745224</v>
          </cell>
          <cell r="G28">
            <v>-0.0247993765669025</v>
          </cell>
          <cell r="H28">
            <v>-0.0124555367067833</v>
          </cell>
        </row>
        <row r="28">
          <cell r="O28">
            <v>41.0223885925287</v>
          </cell>
          <cell r="P28">
            <v>-0.00507624320546239</v>
          </cell>
          <cell r="Q28">
            <v>0.0100175128140052</v>
          </cell>
        </row>
        <row r="29">
          <cell r="F29">
            <v>31.3674812971138</v>
          </cell>
          <cell r="G29">
            <v>-0.00237259771032012</v>
          </cell>
          <cell r="H29">
            <v>-0.00188366705235733</v>
          </cell>
        </row>
        <row r="29">
          <cell r="O29">
            <v>99.679490595698</v>
          </cell>
          <cell r="P29">
            <v>-0.00845948733907826</v>
          </cell>
          <cell r="Q29">
            <v>0.010382709845571</v>
          </cell>
        </row>
        <row r="30">
          <cell r="F30">
            <v>79.3972142205849</v>
          </cell>
          <cell r="G30">
            <v>-0.00339767804779704</v>
          </cell>
          <cell r="H30">
            <v>-0.00893398559355301</v>
          </cell>
        </row>
        <row r="30">
          <cell r="O30">
            <v>50.381277125386</v>
          </cell>
          <cell r="P30">
            <v>-0.0295219211261992</v>
          </cell>
          <cell r="Q30">
            <v>0.0389816746287417</v>
          </cell>
        </row>
        <row r="31">
          <cell r="F31">
            <v>61.7142519349055</v>
          </cell>
          <cell r="G31">
            <v>0.000470701485959529</v>
          </cell>
          <cell r="H31">
            <v>0.0137851554633086</v>
          </cell>
        </row>
        <row r="31">
          <cell r="O31">
            <v>46.9073578654036</v>
          </cell>
          <cell r="P31">
            <v>-0.0259490125881406</v>
          </cell>
          <cell r="Q31">
            <v>0.0344003638281912</v>
          </cell>
        </row>
        <row r="32">
          <cell r="F32">
            <v>30.3836537753283</v>
          </cell>
          <cell r="G32">
            <v>-0.00391502757540107</v>
          </cell>
          <cell r="H32">
            <v>0.00773834340360097</v>
          </cell>
        </row>
        <row r="32">
          <cell r="O32">
            <v>115.489103957813</v>
          </cell>
          <cell r="P32">
            <v>-0.0032926403108901</v>
          </cell>
          <cell r="Q32">
            <v>0.0136992054587061</v>
          </cell>
        </row>
        <row r="33">
          <cell r="F33">
            <v>45.641185023979</v>
          </cell>
          <cell r="G33">
            <v>-0.00546312090926073</v>
          </cell>
          <cell r="H33">
            <v>0.00502034149483437</v>
          </cell>
        </row>
        <row r="33">
          <cell r="O33">
            <v>50.1661896036302</v>
          </cell>
          <cell r="P33">
            <v>0.00344588204557673</v>
          </cell>
          <cell r="Q33">
            <v>0.0189177987711581</v>
          </cell>
        </row>
        <row r="34">
          <cell r="F34">
            <v>34.6981640743464</v>
          </cell>
          <cell r="G34">
            <v>-0.014718991890688</v>
          </cell>
          <cell r="H34">
            <v>-0.00560340801174194</v>
          </cell>
        </row>
        <row r="35">
          <cell r="F35">
            <v>32.789330343566</v>
          </cell>
          <cell r="G35">
            <v>0.0229813004564033</v>
          </cell>
          <cell r="H35">
            <v>0.0325309257376443</v>
          </cell>
        </row>
        <row r="35">
          <cell r="O35">
            <v>144.688819619011</v>
          </cell>
          <cell r="P35">
            <v>0.00453755933281066</v>
          </cell>
          <cell r="Q35">
            <v>0.0118738017079419</v>
          </cell>
        </row>
        <row r="36">
          <cell r="F36">
            <v>34.9117941161229</v>
          </cell>
          <cell r="G36">
            <v>-0.0171297512524247</v>
          </cell>
          <cell r="H36">
            <v>-0.00724565283925089</v>
          </cell>
        </row>
        <row r="36">
          <cell r="O36">
            <v>137.415690644949</v>
          </cell>
          <cell r="P36">
            <v>-0.0116398265276341</v>
          </cell>
          <cell r="Q36">
            <v>0.0191680610643526</v>
          </cell>
        </row>
        <row r="37">
          <cell r="F37">
            <v>58.4930053871655</v>
          </cell>
          <cell r="G37">
            <v>0.0178414788900396</v>
          </cell>
          <cell r="H37">
            <v>0.0247540173155631</v>
          </cell>
        </row>
        <row r="37">
          <cell r="O37">
            <v>92.3010789838348</v>
          </cell>
          <cell r="P37">
            <v>-0.00758177473405029</v>
          </cell>
          <cell r="Q37">
            <v>0.0182845757032143</v>
          </cell>
        </row>
        <row r="38">
          <cell r="O38">
            <v>55.5358289333904</v>
          </cell>
          <cell r="P38">
            <v>-0.000791774403152873</v>
          </cell>
          <cell r="Q38">
            <v>-0.00414673462848332</v>
          </cell>
        </row>
        <row r="39">
          <cell r="F39">
            <v>200.433430767819</v>
          </cell>
          <cell r="G39">
            <v>-0.0118212774539562</v>
          </cell>
          <cell r="H39">
            <v>-0.0052950835467927</v>
          </cell>
        </row>
        <row r="39">
          <cell r="O39">
            <v>53.1235436624583</v>
          </cell>
          <cell r="P39">
            <v>0.00368760010876999</v>
          </cell>
          <cell r="Q39">
            <v>0.0210964501170491</v>
          </cell>
        </row>
        <row r="40">
          <cell r="F40">
            <v>86.7463067191645</v>
          </cell>
          <cell r="G40">
            <v>-0.0102825059613357</v>
          </cell>
          <cell r="H40">
            <v>-0.00265185512978837</v>
          </cell>
        </row>
        <row r="40">
          <cell r="O40">
            <v>84.7882686986574</v>
          </cell>
          <cell r="P40">
            <v>-0.00543450214807615</v>
          </cell>
          <cell r="Q40">
            <v>-0.00214790541349954</v>
          </cell>
        </row>
        <row r="41">
          <cell r="F41">
            <v>342.82144967858</v>
          </cell>
          <cell r="G41">
            <v>-0.0114395824526578</v>
          </cell>
          <cell r="H41">
            <v>-0.00591282475016744</v>
          </cell>
        </row>
        <row r="41">
          <cell r="O41">
            <v>41.2539855977766</v>
          </cell>
          <cell r="P41">
            <v>-0.00849087226218315</v>
          </cell>
          <cell r="Q41">
            <v>0.0137689987865794</v>
          </cell>
        </row>
        <row r="42">
          <cell r="F42">
            <v>262.209438219228</v>
          </cell>
          <cell r="G42">
            <v>-0.0256700814741948</v>
          </cell>
          <cell r="H42">
            <v>0.00679265743638605</v>
          </cell>
        </row>
        <row r="42">
          <cell r="O42">
            <v>3.60354454849568</v>
          </cell>
          <cell r="P42">
            <v>-0.0246487659499655</v>
          </cell>
          <cell r="Q42">
            <v>-0.0304437478722798</v>
          </cell>
        </row>
        <row r="44">
          <cell r="F44">
            <v>45.0632893293031</v>
          </cell>
          <cell r="G44">
            <v>-0.0490684270469378</v>
          </cell>
          <cell r="H44">
            <v>-0.0295860486774932</v>
          </cell>
        </row>
        <row r="44">
          <cell r="O44">
            <v>121.559344494107</v>
          </cell>
          <cell r="P44">
            <v>-0.00328831733275628</v>
          </cell>
          <cell r="Q44">
            <v>0.00390333673206594</v>
          </cell>
        </row>
        <row r="45">
          <cell r="F45">
            <v>26.1110503519306</v>
          </cell>
          <cell r="G45">
            <v>-0.0336700407407805</v>
          </cell>
          <cell r="H45">
            <v>-0.0102850065920595</v>
          </cell>
        </row>
        <row r="45">
          <cell r="O45">
            <v>132.335349178241</v>
          </cell>
          <cell r="P45">
            <v>0.014936006777372</v>
          </cell>
          <cell r="Q45">
            <v>0.0180414257115289</v>
          </cell>
        </row>
        <row r="46">
          <cell r="F46">
            <v>54.7912597538423</v>
          </cell>
          <cell r="G46">
            <v>-0.0377302856012669</v>
          </cell>
          <cell r="H46">
            <v>-0.0168505306173384</v>
          </cell>
        </row>
        <row r="46">
          <cell r="O46">
            <v>65.1405014950896</v>
          </cell>
          <cell r="P46">
            <v>-0.0145159673335682</v>
          </cell>
          <cell r="Q46">
            <v>-0.0108237439559712</v>
          </cell>
        </row>
        <row r="47">
          <cell r="F47">
            <v>27.1249615447512</v>
          </cell>
          <cell r="G47">
            <v>-0.0215398711374948</v>
          </cell>
          <cell r="H47">
            <v>-0.0274461763605135</v>
          </cell>
        </row>
        <row r="47">
          <cell r="O47">
            <v>19.2987772667228</v>
          </cell>
          <cell r="P47">
            <v>-0.0553620910903516</v>
          </cell>
          <cell r="Q47">
            <v>-0.0476108669543461</v>
          </cell>
        </row>
        <row r="48">
          <cell r="F48">
            <v>76.0975654826487</v>
          </cell>
          <cell r="G48">
            <v>-0.0292723311825029</v>
          </cell>
          <cell r="H48">
            <v>-0.0217252099466776</v>
          </cell>
        </row>
        <row r="49">
          <cell r="F49">
            <v>14.8873275169238</v>
          </cell>
          <cell r="G49">
            <v>-0.0241268152982275</v>
          </cell>
          <cell r="H49">
            <v>-0.0138742994231249</v>
          </cell>
        </row>
        <row r="49">
          <cell r="O49">
            <v>88.8195438309455</v>
          </cell>
          <cell r="P49">
            <v>-0.0155860554109898</v>
          </cell>
          <cell r="Q49">
            <v>-0.00209540411890258</v>
          </cell>
        </row>
        <row r="50">
          <cell r="F50">
            <v>20.6083494855649</v>
          </cell>
          <cell r="G50">
            <v>-0.0336792913444345</v>
          </cell>
          <cell r="H50">
            <v>-0.0304908941586024</v>
          </cell>
        </row>
        <row r="50">
          <cell r="O50">
            <v>34.1153352042807</v>
          </cell>
          <cell r="P50">
            <v>0.0161247288036086</v>
          </cell>
          <cell r="Q50">
            <v>0.0221192235028423</v>
          </cell>
        </row>
        <row r="51">
          <cell r="O51">
            <v>59.781089138953</v>
          </cell>
          <cell r="P51">
            <v>-0.0341727411532528</v>
          </cell>
          <cell r="Q51">
            <v>-0.0156607062134546</v>
          </cell>
        </row>
        <row r="52">
          <cell r="O52">
            <v>42.3491818979843</v>
          </cell>
          <cell r="P52">
            <v>-0.0601057928149509</v>
          </cell>
          <cell r="Q52">
            <v>-0.0589646841828192</v>
          </cell>
        </row>
        <row r="53">
          <cell r="O53">
            <v>140.893110338629</v>
          </cell>
          <cell r="P53">
            <v>-0.0146983405027657</v>
          </cell>
          <cell r="Q53">
            <v>-0.00818568410876948</v>
          </cell>
        </row>
        <row r="54">
          <cell r="O54">
            <v>28.7592186320531</v>
          </cell>
          <cell r="P54">
            <v>-0.0576095259255299</v>
          </cell>
          <cell r="Q54">
            <v>-0.0679420881278954</v>
          </cell>
        </row>
        <row r="55">
          <cell r="F55">
            <v>12.4037044435153</v>
          </cell>
          <cell r="G55">
            <v>-0.0245224835208481</v>
          </cell>
          <cell r="H55">
            <v>-0.0148188875362215</v>
          </cell>
        </row>
        <row r="55">
          <cell r="O55">
            <v>47.9810911082217</v>
          </cell>
          <cell r="P55">
            <v>-0.0566126974183015</v>
          </cell>
          <cell r="Q55">
            <v>-0.0862850446273001</v>
          </cell>
        </row>
        <row r="56">
          <cell r="F56">
            <v>38.8546820466764</v>
          </cell>
          <cell r="G56">
            <v>-0.0208954745851806</v>
          </cell>
          <cell r="H56">
            <v>-0.0156992591484043</v>
          </cell>
        </row>
        <row r="57">
          <cell r="F57">
            <v>35.2093593059602</v>
          </cell>
          <cell r="G57">
            <v>-0.0465031719263838</v>
          </cell>
          <cell r="H57">
            <v>-0.033731030843178</v>
          </cell>
        </row>
        <row r="57">
          <cell r="O57">
            <v>38.8982873941421</v>
          </cell>
          <cell r="P57">
            <v>0.0130639515453765</v>
          </cell>
          <cell r="Q57">
            <v>0.0318821259539247</v>
          </cell>
        </row>
        <row r="58">
          <cell r="F58">
            <v>58.0644762066335</v>
          </cell>
          <cell r="G58">
            <v>-0.01695851201817</v>
          </cell>
          <cell r="H58">
            <v>-0.0152513337717589</v>
          </cell>
        </row>
        <row r="58">
          <cell r="O58">
            <v>85.2622900420557</v>
          </cell>
          <cell r="P58">
            <v>0.00887957384024594</v>
          </cell>
          <cell r="Q58">
            <v>0.0302261669801876</v>
          </cell>
        </row>
        <row r="59">
          <cell r="F59">
            <v>86.7847539023362</v>
          </cell>
          <cell r="G59">
            <v>-0.00241568239001172</v>
          </cell>
          <cell r="H59">
            <v>0.00936262408906513</v>
          </cell>
        </row>
        <row r="59">
          <cell r="O59">
            <v>41.4658610677159</v>
          </cell>
          <cell r="P59">
            <v>0.00447746459239111</v>
          </cell>
          <cell r="Q59">
            <v>0.00611861960145418</v>
          </cell>
        </row>
        <row r="60">
          <cell r="F60">
            <v>41.0712960715929</v>
          </cell>
          <cell r="G60">
            <v>-0.0324020416073522</v>
          </cell>
          <cell r="H60">
            <v>-0.028605789041784</v>
          </cell>
        </row>
        <row r="60">
          <cell r="O60">
            <v>23.485832139052</v>
          </cell>
          <cell r="P60">
            <v>0.00826217982991041</v>
          </cell>
          <cell r="Q60">
            <v>0.0247566589503735</v>
          </cell>
        </row>
        <row r="61">
          <cell r="F61">
            <v>39.214927001472</v>
          </cell>
          <cell r="G61">
            <v>-0.016598599590165</v>
          </cell>
          <cell r="H61">
            <v>-0.00557296715032069</v>
          </cell>
        </row>
        <row r="61">
          <cell r="O61">
            <v>22.7389668494192</v>
          </cell>
          <cell r="P61">
            <v>-0.019486937281771</v>
          </cell>
          <cell r="Q61">
            <v>0.00925540942558274</v>
          </cell>
        </row>
        <row r="62">
          <cell r="F62">
            <v>92.0754545271333</v>
          </cell>
          <cell r="G62">
            <v>-0.0109105165650974</v>
          </cell>
          <cell r="H62">
            <v>-0.0108384627073488</v>
          </cell>
        </row>
        <row r="62">
          <cell r="O62">
            <v>15.3141448491736</v>
          </cell>
          <cell r="P62">
            <v>0.00383110937543732</v>
          </cell>
          <cell r="Q62">
            <v>0.022145787205765</v>
          </cell>
        </row>
        <row r="63">
          <cell r="F63">
            <v>20.923949537937</v>
          </cell>
          <cell r="G63">
            <v>-0.00658702052070541</v>
          </cell>
          <cell r="H63">
            <v>0.00667939587904874</v>
          </cell>
        </row>
        <row r="64">
          <cell r="F64">
            <v>54.2075747858593</v>
          </cell>
          <cell r="G64">
            <v>-0.0290144573040323</v>
          </cell>
          <cell r="H64">
            <v>-0.0178714460059612</v>
          </cell>
        </row>
        <row r="64">
          <cell r="O64">
            <v>211.081014466563</v>
          </cell>
          <cell r="P64">
            <v>-0.0215091178371628</v>
          </cell>
          <cell r="Q64">
            <v>-0.0184752400288734</v>
          </cell>
        </row>
        <row r="65">
          <cell r="F65">
            <v>47.5948046932433</v>
          </cell>
          <cell r="G65">
            <v>-0.00836254679067516</v>
          </cell>
          <cell r="H65">
            <v>-0.0110160707838476</v>
          </cell>
        </row>
        <row r="65">
          <cell r="O65">
            <v>76.7335212509581</v>
          </cell>
          <cell r="P65">
            <v>-0.0188071478281506</v>
          </cell>
          <cell r="Q65">
            <v>-0.0125676482186398</v>
          </cell>
        </row>
        <row r="66">
          <cell r="F66">
            <v>25.3276376487421</v>
          </cell>
          <cell r="G66">
            <v>-0.00819280599508415</v>
          </cell>
          <cell r="H66">
            <v>-0.00599131980319099</v>
          </cell>
        </row>
        <row r="66">
          <cell r="O66">
            <v>186.269278605358</v>
          </cell>
          <cell r="P66">
            <v>-0.0287613369072268</v>
          </cell>
          <cell r="Q66">
            <v>-0.0282334584118362</v>
          </cell>
        </row>
        <row r="67">
          <cell r="F67">
            <v>54.8024502635533</v>
          </cell>
          <cell r="G67">
            <v>0.00125396308840356</v>
          </cell>
          <cell r="H67">
            <v>-0.00762541714017435</v>
          </cell>
        </row>
        <row r="67">
          <cell r="O67">
            <v>538.13139453263</v>
          </cell>
          <cell r="P67">
            <v>-0.0203557667723271</v>
          </cell>
          <cell r="Q67">
            <v>-0.00887275454657656</v>
          </cell>
        </row>
        <row r="68">
          <cell r="F68">
            <v>48.3854351603133</v>
          </cell>
          <cell r="G68">
            <v>0.00805562724210213</v>
          </cell>
          <cell r="H68">
            <v>0.00968249740517635</v>
          </cell>
        </row>
        <row r="68">
          <cell r="O68">
            <v>225.02783191682</v>
          </cell>
          <cell r="P68">
            <v>-0.0458781556620121</v>
          </cell>
          <cell r="Q68">
            <v>-0.0378602361584515</v>
          </cell>
        </row>
        <row r="69">
          <cell r="F69">
            <v>23.6511747500233</v>
          </cell>
          <cell r="G69">
            <v>-0.05890820614605</v>
          </cell>
          <cell r="H69">
            <v>-0.0444101006336352</v>
          </cell>
        </row>
        <row r="69">
          <cell r="O69">
            <v>231.069964328483</v>
          </cell>
          <cell r="P69">
            <v>-0.0353770912971571</v>
          </cell>
          <cell r="Q69">
            <v>-0.0289421641311046</v>
          </cell>
        </row>
        <row r="70">
          <cell r="F70">
            <v>30.2423851095683</v>
          </cell>
          <cell r="G70">
            <v>-0.0152799332936381</v>
          </cell>
          <cell r="H70">
            <v>-0.0248096168154218</v>
          </cell>
        </row>
        <row r="70">
          <cell r="O70">
            <v>82.6484321655255</v>
          </cell>
          <cell r="P70">
            <v>-0.00948918669116635</v>
          </cell>
          <cell r="Q70">
            <v>-0.00902757912343142</v>
          </cell>
        </row>
        <row r="71">
          <cell r="F71">
            <v>55.2499539038755</v>
          </cell>
          <cell r="G71">
            <v>-0.0270880612669552</v>
          </cell>
          <cell r="H71">
            <v>-0.0234257614363867</v>
          </cell>
        </row>
        <row r="71">
          <cell r="O71">
            <v>196.54104261512</v>
          </cell>
          <cell r="P71">
            <v>-0.0199437418251196</v>
          </cell>
          <cell r="Q71">
            <v>-0.0217761156529273</v>
          </cell>
        </row>
        <row r="72">
          <cell r="F72">
            <v>72.02082263615</v>
          </cell>
          <cell r="G72">
            <v>-0.0113543809639344</v>
          </cell>
          <cell r="H72">
            <v>-0.0106414537524535</v>
          </cell>
        </row>
        <row r="72">
          <cell r="O72">
            <v>27.4941255705448</v>
          </cell>
          <cell r="P72">
            <v>0.00116782936169271</v>
          </cell>
          <cell r="Q72">
            <v>-0.0299089679879278</v>
          </cell>
        </row>
        <row r="73">
          <cell r="F73">
            <v>10.2510585423157</v>
          </cell>
          <cell r="G73">
            <v>-0.0390184441705378</v>
          </cell>
          <cell r="H73">
            <v>0.00636926702518263</v>
          </cell>
        </row>
        <row r="73">
          <cell r="O73">
            <v>54.8024502635533</v>
          </cell>
          <cell r="P73">
            <v>0.00125396308840356</v>
          </cell>
          <cell r="Q73">
            <v>-0.00762541714017435</v>
          </cell>
        </row>
        <row r="74">
          <cell r="F74">
            <v>43.5993262094378</v>
          </cell>
          <cell r="G74">
            <v>-0.0393593431057777</v>
          </cell>
          <cell r="H74">
            <v>-0.0344486360524052</v>
          </cell>
        </row>
        <row r="74">
          <cell r="O74">
            <v>62.2714889981988</v>
          </cell>
          <cell r="P74">
            <v>0.00552393493107922</v>
          </cell>
          <cell r="Q74">
            <v>-0.00341748603361713</v>
          </cell>
        </row>
        <row r="75">
          <cell r="F75">
            <v>35.7203012980953</v>
          </cell>
          <cell r="G75">
            <v>-0.0659031488148596</v>
          </cell>
          <cell r="H75">
            <v>-0.0246051162405341</v>
          </cell>
        </row>
        <row r="75">
          <cell r="O75">
            <v>92.0754545271333</v>
          </cell>
          <cell r="P75">
            <v>-0.0109105165650974</v>
          </cell>
          <cell r="Q75">
            <v>-0.0108384627073488</v>
          </cell>
        </row>
        <row r="76">
          <cell r="F76">
            <v>22.2567006890627</v>
          </cell>
          <cell r="G76">
            <v>-0.108498924491979</v>
          </cell>
          <cell r="H76">
            <v>-0.0501464238579121</v>
          </cell>
        </row>
        <row r="76">
          <cell r="O76">
            <v>25.3276376487421</v>
          </cell>
          <cell r="P76">
            <v>-0.00819280599508415</v>
          </cell>
          <cell r="Q76">
            <v>-0.00599131980319099</v>
          </cell>
        </row>
        <row r="77">
          <cell r="O77">
            <v>47.5948046932433</v>
          </cell>
          <cell r="P77">
            <v>-0.00836254679067516</v>
          </cell>
          <cell r="Q77">
            <v>-0.0110160707838476</v>
          </cell>
        </row>
        <row r="78">
          <cell r="F78">
            <v>35.3139506368822</v>
          </cell>
          <cell r="G78">
            <v>-0.019702604312734</v>
          </cell>
          <cell r="H78">
            <v>-0.0122538842861352</v>
          </cell>
        </row>
        <row r="79">
          <cell r="F79">
            <v>26.6776644736803</v>
          </cell>
          <cell r="G79">
            <v>-0.0299377430966133</v>
          </cell>
          <cell r="H79">
            <v>-0.0346728764417934</v>
          </cell>
        </row>
        <row r="79">
          <cell r="O79">
            <v>68.6178683988447</v>
          </cell>
          <cell r="P79">
            <v>0.0202601442074272</v>
          </cell>
          <cell r="Q79">
            <v>0.0242213339908193</v>
          </cell>
        </row>
        <row r="80">
          <cell r="F80">
            <v>35.3139506368822</v>
          </cell>
          <cell r="G80">
            <v>-0.019702604312734</v>
          </cell>
          <cell r="H80">
            <v>-0.0122538842861352</v>
          </cell>
        </row>
        <row r="81">
          <cell r="F81">
            <v>100.213728733414</v>
          </cell>
          <cell r="G81">
            <v>0.00764737983083272</v>
          </cell>
          <cell r="H81">
            <v>0.0155802381486481</v>
          </cell>
        </row>
        <row r="82">
          <cell r="F82">
            <v>46.3106181964748</v>
          </cell>
          <cell r="G82">
            <v>-0.0258542344272407</v>
          </cell>
          <cell r="H82">
            <v>-0.00417634731117049</v>
          </cell>
        </row>
        <row r="84">
          <cell r="F84">
            <v>93.0844277141621</v>
          </cell>
          <cell r="G84">
            <v>0.0178876230413741</v>
          </cell>
          <cell r="H84">
            <v>0.0162123835783603</v>
          </cell>
        </row>
        <row r="85">
          <cell r="F85">
            <v>31.5300025458914</v>
          </cell>
          <cell r="G85">
            <v>-0.00629480339311634</v>
          </cell>
          <cell r="H85">
            <v>-0.000613398525656903</v>
          </cell>
        </row>
        <row r="86">
          <cell r="F86">
            <v>85.2622900420557</v>
          </cell>
          <cell r="G86">
            <v>0.00887957384024594</v>
          </cell>
          <cell r="H86">
            <v>0.0302261669801876</v>
          </cell>
        </row>
        <row r="87">
          <cell r="F87">
            <v>83.1363718036444</v>
          </cell>
          <cell r="G87">
            <v>-0.0291071935221705</v>
          </cell>
          <cell r="H87">
            <v>-0.0147059623663223</v>
          </cell>
        </row>
        <row r="88">
          <cell r="F88">
            <v>40.5209729103061</v>
          </cell>
          <cell r="G88">
            <v>0.0033137910439764</v>
          </cell>
          <cell r="H88">
            <v>0.0229296507612102</v>
          </cell>
        </row>
        <row r="89">
          <cell r="F89">
            <v>46.9073578654036</v>
          </cell>
          <cell r="G89">
            <v>-0.0259490125881406</v>
          </cell>
          <cell r="H89">
            <v>0.0344003638281912</v>
          </cell>
        </row>
        <row r="90">
          <cell r="F90">
            <v>262.209438219228</v>
          </cell>
          <cell r="G90">
            <v>-0.0256700814741948</v>
          </cell>
          <cell r="H90">
            <v>0.00679265743638605</v>
          </cell>
        </row>
        <row r="91">
          <cell r="F91">
            <v>204.487307973051</v>
          </cell>
          <cell r="G91">
            <v>-0.0289897146262048</v>
          </cell>
          <cell r="H91">
            <v>0.0111327662557828</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arxiv.org/abs/1803.01271" TargetMode="External"/><Relationship Id="rId8" Type="http://schemas.openxmlformats.org/officeDocument/2006/relationships/hyperlink" Target="https://arxiv.org/abs/2106.03135" TargetMode="External"/><Relationship Id="rId7" Type="http://schemas.openxmlformats.org/officeDocument/2006/relationships/hyperlink" Target="https://arxiv.org/abs/1706.03762" TargetMode="External"/><Relationship Id="rId6" Type="http://schemas.openxmlformats.org/officeDocument/2006/relationships/hyperlink" Target="https://ieeexplore.ieee.org/document/9338336" TargetMode="External"/><Relationship Id="rId5" Type="http://schemas.openxmlformats.org/officeDocument/2006/relationships/hyperlink" Target="https://arxiv.org/abs/1908.07442" TargetMode="External"/><Relationship Id="rId4" Type="http://schemas.openxmlformats.org/officeDocument/2006/relationships/hyperlink" Target="https://www.sciencedirect.com/science/article/pii/S0169207019301888" TargetMode="External"/><Relationship Id="rId3" Type="http://schemas.openxmlformats.org/officeDocument/2006/relationships/hyperlink" Target="https://arxiv.org/abs/1710.10903" TargetMode="External"/><Relationship Id="rId2" Type="http://schemas.openxmlformats.org/officeDocument/2006/relationships/hyperlink" Target="https://arxiv.org/abs/1406.1078" TargetMode="External"/><Relationship Id="rId12" Type="http://schemas.openxmlformats.org/officeDocument/2006/relationships/hyperlink" Target="https://arxiv.org/abs/2105.08220" TargetMode="External"/><Relationship Id="rId11" Type="http://schemas.openxmlformats.org/officeDocument/2006/relationships/hyperlink" Target="https://arxiv.org/abs/2006.11477" TargetMode="External"/><Relationship Id="rId10" Type="http://schemas.openxmlformats.org/officeDocument/2006/relationships/hyperlink" Target="https://arxiv.org/abs/2006.03030"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youtube.com/watch?v=K2OiWFYyP7Y"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9" Type="http://schemas.openxmlformats.org/officeDocument/2006/relationships/hyperlink" Target="https://en.macromicro.me/collections/16106/20Charts_344136/82607/Copper-Gold-vs-PPI" TargetMode="External"/><Relationship Id="rId8" Type="http://schemas.openxmlformats.org/officeDocument/2006/relationships/hyperlink" Target="https://en.macromicro.me/collections/16106/20Charts_344136/80946/WEI-GDP-Growth" TargetMode="External"/><Relationship Id="rId7" Type="http://schemas.openxmlformats.org/officeDocument/2006/relationships/hyperlink" Target="https://en.macromicro.me/collections/16106/20Charts_344136/81572/PMI-Durable-Goods" TargetMode="External"/><Relationship Id="rId6" Type="http://schemas.openxmlformats.org/officeDocument/2006/relationships/hyperlink" Target="https://en.macromicro.me/collections/16106/20Charts_344136/82616/Housing-Supply" TargetMode="External"/><Relationship Id="rId5" Type="http://schemas.openxmlformats.org/officeDocument/2006/relationships/hyperlink" Target="https://en.macromicro.me/collections/16106/20Charts_344136/80948/Retail-Sales" TargetMode="External"/><Relationship Id="rId4" Type="http://schemas.openxmlformats.org/officeDocument/2006/relationships/hyperlink" Target="https://en.macromicro.me/collections/16106/20Charts_344136/82473/Vehicle-Sales" TargetMode="External"/><Relationship Id="rId3" Type="http://schemas.openxmlformats.org/officeDocument/2006/relationships/hyperlink" Target="https://en.macromicro.me/collections/16106/20Charts_344136/81571/Housing-Market" TargetMode="External"/><Relationship Id="rId20" Type="http://schemas.openxmlformats.org/officeDocument/2006/relationships/hyperlink" Target="https://en.macromicro.me/collections/16106/20Charts_344136/83459/Sector-Strength" TargetMode="External"/><Relationship Id="rId2" Type="http://schemas.openxmlformats.org/officeDocument/2006/relationships/hyperlink" Target="https://en.macromicro.me/collections/16106/20Charts_344136/81563/US-Personal-Financial-Condition" TargetMode="External"/><Relationship Id="rId19" Type="http://schemas.openxmlformats.org/officeDocument/2006/relationships/hyperlink" Target="https://en.macromicro.me/collections/16106/20Charts_344136/81081/S-P-500-Breadth" TargetMode="External"/><Relationship Id="rId18" Type="http://schemas.openxmlformats.org/officeDocument/2006/relationships/hyperlink" Target="https://en.macromicro.me/collections/16106/20Charts_344136/80658/Nasdaq-100-Speculation-Positions" TargetMode="External"/><Relationship Id="rId17" Type="http://schemas.openxmlformats.org/officeDocument/2006/relationships/hyperlink" Target="https://en.macromicro.me/collections/16106/20Charts_344136/80659/S-P-500-Speculation-Positions" TargetMode="External"/><Relationship Id="rId16" Type="http://schemas.openxmlformats.org/officeDocument/2006/relationships/hyperlink" Target="https://en.macromicro.me/collections/16106/20Charts_344136/80896/CBOE-Equity-Put-Call-Ratio" TargetMode="External"/><Relationship Id="rId15" Type="http://schemas.openxmlformats.org/officeDocument/2006/relationships/hyperlink" Target="https://en.macromicro.me/collections/16106/20Charts_344136/80902/NAAIM-Exposure-Index" TargetMode="External"/><Relationship Id="rId14" Type="http://schemas.openxmlformats.org/officeDocument/2006/relationships/hyperlink" Target="https://en.macromicro.me/collections/16106/20Charts_344136/80901/AAII-Investor-Sentiment-Survey" TargetMode="External"/><Relationship Id="rId13" Type="http://schemas.openxmlformats.org/officeDocument/2006/relationships/hyperlink" Target="https://en.macromicro.me/collections/16106/20Charts_344136/82929/Credit-Spread-VIX-and-SP500" TargetMode="External"/><Relationship Id="rId12" Type="http://schemas.openxmlformats.org/officeDocument/2006/relationships/hyperlink" Target="https://en.macromicro.me/collections/16106/20Charts_344136/81567/US-Rates" TargetMode="External"/><Relationship Id="rId11" Type="http://schemas.openxmlformats.org/officeDocument/2006/relationships/hyperlink" Target="https://en.macromicro.me/collections/16106/20Charts_344136/80654/Inflation-Monetary-Policy-Expectation" TargetMode="External"/><Relationship Id="rId10" Type="http://schemas.openxmlformats.org/officeDocument/2006/relationships/hyperlink" Target="https://en.macromicro.me/collections/16106/20Charts_344136/82524/Oil-Gold-vs-CPI" TargetMode="External"/><Relationship Id="rId1" Type="http://schemas.openxmlformats.org/officeDocument/2006/relationships/hyperlink" Target="https://en.macromicro.me/collections/16106/20Charts_344136/81569/Jobs-Payroll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hemarketmem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zoomScale="90" zoomScaleNormal="90" workbookViewId="0">
      <selection activeCell="M50" sqref="M50"/>
    </sheetView>
  </sheetViews>
  <sheetFormatPr defaultColWidth="11.5333333333333" defaultRowHeight="12.75" outlineLevelCol="5"/>
  <cols>
    <col min="1" max="1" width="19.7333333333333" style="77" customWidth="1"/>
    <col min="2" max="2" width="14.4666666666667" style="77" customWidth="1"/>
    <col min="3" max="3" width="31.6761904761905" style="77" customWidth="1"/>
    <col min="4" max="4" width="32.1714285714286" style="77" customWidth="1"/>
    <col min="5" max="5" width="27.2285714285714" style="77" customWidth="1"/>
    <col min="6" max="6" width="18.8857142857143" style="77" customWidth="1"/>
    <col min="7" max="1024" width="11.5238095238095" style="77"/>
  </cols>
  <sheetData>
    <row r="1" spans="1:6">
      <c r="A1" s="78" t="s">
        <v>0</v>
      </c>
      <c r="B1" s="78" t="s">
        <v>1</v>
      </c>
      <c r="C1" s="78" t="s">
        <v>2</v>
      </c>
      <c r="D1" s="78" t="s">
        <v>3</v>
      </c>
      <c r="E1" s="78" t="s">
        <v>4</v>
      </c>
      <c r="F1" s="78" t="s">
        <v>5</v>
      </c>
    </row>
    <row r="2" ht="38.25" spans="1:6">
      <c r="A2" s="79" t="s">
        <v>6</v>
      </c>
      <c r="B2" s="79" t="s">
        <v>7</v>
      </c>
      <c r="C2" s="79" t="s">
        <v>8</v>
      </c>
      <c r="D2" s="79" t="s">
        <v>9</v>
      </c>
      <c r="E2" s="79" t="s">
        <v>10</v>
      </c>
      <c r="F2" s="79" t="s">
        <v>11</v>
      </c>
    </row>
    <row r="3" ht="38.25" spans="1:6">
      <c r="A3" s="79" t="s">
        <v>12</v>
      </c>
      <c r="B3" s="79" t="s">
        <v>7</v>
      </c>
      <c r="C3" s="79" t="s">
        <v>13</v>
      </c>
      <c r="D3" s="79" t="s">
        <v>14</v>
      </c>
      <c r="E3" s="79" t="s">
        <v>15</v>
      </c>
      <c r="F3" s="79" t="s">
        <v>16</v>
      </c>
    </row>
    <row r="4" ht="38.25" spans="1:6">
      <c r="A4" s="79" t="s">
        <v>17</v>
      </c>
      <c r="B4" s="79" t="s">
        <v>7</v>
      </c>
      <c r="C4" s="79" t="s">
        <v>18</v>
      </c>
      <c r="D4" s="79" t="s">
        <v>19</v>
      </c>
      <c r="E4" s="79" t="s">
        <v>20</v>
      </c>
      <c r="F4" s="79" t="s">
        <v>21</v>
      </c>
    </row>
    <row r="5" ht="38.25" spans="1:6">
      <c r="A5" s="79" t="s">
        <v>22</v>
      </c>
      <c r="B5" s="79" t="s">
        <v>7</v>
      </c>
      <c r="C5" s="79" t="s">
        <v>23</v>
      </c>
      <c r="D5" s="79" t="s">
        <v>24</v>
      </c>
      <c r="E5" s="79" t="s">
        <v>25</v>
      </c>
      <c r="F5" s="79" t="s">
        <v>26</v>
      </c>
    </row>
    <row r="6" ht="38.25" spans="1:6">
      <c r="A6" s="79" t="s">
        <v>27</v>
      </c>
      <c r="B6" s="79" t="s">
        <v>7</v>
      </c>
      <c r="C6" s="79" t="s">
        <v>28</v>
      </c>
      <c r="D6" s="79" t="s">
        <v>29</v>
      </c>
      <c r="E6" s="79" t="s">
        <v>30</v>
      </c>
      <c r="F6" s="79" t="s">
        <v>31</v>
      </c>
    </row>
    <row r="7" ht="51" spans="1:6">
      <c r="A7" s="79" t="s">
        <v>32</v>
      </c>
      <c r="B7" s="79" t="s">
        <v>7</v>
      </c>
      <c r="C7" s="79" t="s">
        <v>33</v>
      </c>
      <c r="D7" s="79" t="s">
        <v>34</v>
      </c>
      <c r="E7" s="79" t="s">
        <v>35</v>
      </c>
      <c r="F7" s="79" t="s">
        <v>36</v>
      </c>
    </row>
    <row r="8" ht="38.25" spans="1:6">
      <c r="A8" s="79" t="s">
        <v>37</v>
      </c>
      <c r="B8" s="79" t="s">
        <v>7</v>
      </c>
      <c r="C8" s="79" t="s">
        <v>38</v>
      </c>
      <c r="D8" s="79" t="s">
        <v>39</v>
      </c>
      <c r="E8" s="79" t="s">
        <v>40</v>
      </c>
      <c r="F8" s="79" t="s">
        <v>41</v>
      </c>
    </row>
    <row r="9" ht="38.25" spans="1:6">
      <c r="A9" s="79" t="s">
        <v>42</v>
      </c>
      <c r="B9" s="79" t="s">
        <v>7</v>
      </c>
      <c r="C9" s="79" t="s">
        <v>43</v>
      </c>
      <c r="D9" s="79" t="s">
        <v>44</v>
      </c>
      <c r="E9" s="79" t="s">
        <v>45</v>
      </c>
      <c r="F9" s="79" t="s">
        <v>46</v>
      </c>
    </row>
    <row r="10" ht="38.25" spans="1:6">
      <c r="A10" s="79" t="s">
        <v>47</v>
      </c>
      <c r="B10" s="79" t="s">
        <v>7</v>
      </c>
      <c r="C10" s="79" t="s">
        <v>48</v>
      </c>
      <c r="D10" s="79" t="s">
        <v>49</v>
      </c>
      <c r="E10" s="79" t="s">
        <v>50</v>
      </c>
      <c r="F10" s="79" t="s">
        <v>51</v>
      </c>
    </row>
    <row r="11" ht="38.25" spans="1:6">
      <c r="A11" s="79" t="s">
        <v>52</v>
      </c>
      <c r="B11" s="79" t="s">
        <v>7</v>
      </c>
      <c r="C11" s="79" t="s">
        <v>53</v>
      </c>
      <c r="D11" s="79" t="s">
        <v>54</v>
      </c>
      <c r="E11" s="79" t="s">
        <v>55</v>
      </c>
      <c r="F11" s="79" t="s">
        <v>56</v>
      </c>
    </row>
    <row r="12" ht="38.25" spans="1:6">
      <c r="A12" s="79" t="s">
        <v>57</v>
      </c>
      <c r="B12" s="79" t="s">
        <v>7</v>
      </c>
      <c r="C12" s="79" t="s">
        <v>58</v>
      </c>
      <c r="D12" s="79" t="s">
        <v>59</v>
      </c>
      <c r="E12" s="79" t="s">
        <v>60</v>
      </c>
      <c r="F12" s="79" t="s">
        <v>61</v>
      </c>
    </row>
    <row r="13" ht="38.25" spans="1:6">
      <c r="A13" s="79" t="s">
        <v>62</v>
      </c>
      <c r="B13" s="79" t="s">
        <v>7</v>
      </c>
      <c r="C13" s="79" t="s">
        <v>63</v>
      </c>
      <c r="D13" s="79" t="s">
        <v>64</v>
      </c>
      <c r="E13" s="79" t="s">
        <v>65</v>
      </c>
      <c r="F13" s="79" t="s">
        <v>66</v>
      </c>
    </row>
    <row r="14" ht="38.25" spans="1:6">
      <c r="A14" s="79" t="s">
        <v>67</v>
      </c>
      <c r="B14" s="79" t="s">
        <v>7</v>
      </c>
      <c r="C14" s="79" t="s">
        <v>68</v>
      </c>
      <c r="D14" s="79" t="s">
        <v>69</v>
      </c>
      <c r="E14" s="79" t="s">
        <v>70</v>
      </c>
      <c r="F14" s="79" t="s">
        <v>71</v>
      </c>
    </row>
    <row r="15" ht="38.25" spans="1:6">
      <c r="A15" s="79" t="s">
        <v>72</v>
      </c>
      <c r="B15" s="79" t="s">
        <v>72</v>
      </c>
      <c r="C15" s="79" t="s">
        <v>73</v>
      </c>
      <c r="D15" s="79" t="s">
        <v>74</v>
      </c>
      <c r="E15" s="79" t="s">
        <v>75</v>
      </c>
      <c r="F15" s="79" t="s">
        <v>76</v>
      </c>
    </row>
    <row r="16" ht="38.25" spans="1:6">
      <c r="A16" s="79" t="s">
        <v>77</v>
      </c>
      <c r="B16" s="79" t="s">
        <v>78</v>
      </c>
      <c r="C16" s="79" t="s">
        <v>79</v>
      </c>
      <c r="D16" s="79" t="s">
        <v>80</v>
      </c>
      <c r="E16" s="79" t="s">
        <v>81</v>
      </c>
      <c r="F16" s="79" t="s">
        <v>82</v>
      </c>
    </row>
    <row r="17" ht="38.25" spans="1:6">
      <c r="A17" s="79" t="s">
        <v>83</v>
      </c>
      <c r="B17" s="79" t="s">
        <v>78</v>
      </c>
      <c r="C17" s="79" t="s">
        <v>84</v>
      </c>
      <c r="D17" s="79" t="s">
        <v>85</v>
      </c>
      <c r="E17" s="79" t="s">
        <v>86</v>
      </c>
      <c r="F17" s="79" t="s">
        <v>87</v>
      </c>
    </row>
    <row r="18" ht="38.25" spans="1:6">
      <c r="A18" s="79" t="s">
        <v>88</v>
      </c>
      <c r="B18" s="79" t="s">
        <v>78</v>
      </c>
      <c r="C18" s="79" t="s">
        <v>89</v>
      </c>
      <c r="D18" s="79" t="s">
        <v>90</v>
      </c>
      <c r="E18" s="79" t="s">
        <v>91</v>
      </c>
      <c r="F18" s="79" t="s">
        <v>92</v>
      </c>
    </row>
  </sheetData>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0"/>
  <sheetViews>
    <sheetView topLeftCell="A48" workbookViewId="0">
      <selection activeCell="H24" sqref="H24"/>
    </sheetView>
  </sheetViews>
  <sheetFormatPr defaultColWidth="9.14285714285714" defaultRowHeight="12.75"/>
  <sheetData>
    <row r="1" ht="27" spans="1:14">
      <c r="A1" s="4" t="s">
        <v>934</v>
      </c>
      <c r="B1" s="4"/>
      <c r="C1" s="6"/>
      <c r="D1" s="6"/>
      <c r="E1" s="7"/>
      <c r="F1" s="7"/>
      <c r="G1" s="10"/>
      <c r="H1" s="8"/>
      <c r="I1" s="29"/>
      <c r="J1" s="29"/>
      <c r="K1" s="10"/>
      <c r="L1" s="10"/>
      <c r="M1" s="10"/>
      <c r="N1" s="10"/>
    </row>
    <row r="2" spans="1:14">
      <c r="A2" s="9">
        <f>[1]Assets!A2</f>
        <v>0</v>
      </c>
      <c r="B2" s="10" t="str">
        <f>[1]Assets!B2</f>
        <v>© 2024 TheMarketMemo</v>
      </c>
      <c r="C2" s="11"/>
      <c r="D2" s="11"/>
      <c r="E2" s="12"/>
      <c r="F2" s="12"/>
      <c r="G2" s="10"/>
      <c r="H2" s="13"/>
      <c r="I2" s="29"/>
      <c r="J2" s="29"/>
      <c r="K2" s="10"/>
      <c r="L2" s="10"/>
      <c r="M2" s="10"/>
      <c r="N2" s="10"/>
    </row>
    <row r="3" spans="1:14">
      <c r="A3" s="14">
        <f>[1]Assets!A3</f>
        <v>0</v>
      </c>
      <c r="B3" s="14"/>
      <c r="C3" s="14"/>
      <c r="D3" s="14"/>
      <c r="E3" s="14"/>
      <c r="F3" s="14"/>
      <c r="G3" s="10"/>
      <c r="H3" s="14"/>
      <c r="I3" s="29"/>
      <c r="J3" s="29"/>
      <c r="K3" s="10"/>
      <c r="L3" s="10"/>
      <c r="M3" s="10"/>
      <c r="N3" s="10"/>
    </row>
    <row r="4" spans="1:14">
      <c r="A4" s="15" t="s">
        <v>938</v>
      </c>
      <c r="B4" s="16" t="str">
        <f>[1]Assets!B4</f>
        <v>Ticker</v>
      </c>
      <c r="C4" s="17" t="s">
        <v>939</v>
      </c>
      <c r="D4" s="17" t="s">
        <v>940</v>
      </c>
      <c r="E4" s="18">
        <v>5</v>
      </c>
      <c r="F4" s="18">
        <v>20</v>
      </c>
      <c r="G4" s="19">
        <v>45488</v>
      </c>
      <c r="H4" s="5"/>
      <c r="I4" s="5"/>
      <c r="J4" s="27" t="s">
        <v>1075</v>
      </c>
      <c r="K4" s="27" t="s">
        <v>942</v>
      </c>
      <c r="L4" s="28" t="s">
        <v>1076</v>
      </c>
      <c r="M4" s="28" t="s">
        <v>1077</v>
      </c>
      <c r="N4" s="28" t="s">
        <v>1078</v>
      </c>
    </row>
    <row r="5" spans="1:14">
      <c r="A5" s="20" t="s">
        <v>1079</v>
      </c>
      <c r="B5" s="10"/>
      <c r="C5" s="21"/>
      <c r="D5" s="21"/>
      <c r="E5" s="10"/>
      <c r="F5" s="10"/>
      <c r="G5" s="31"/>
      <c r="H5" s="10"/>
      <c r="I5" s="29"/>
      <c r="J5" s="29"/>
      <c r="K5" s="31"/>
      <c r="L5" s="5"/>
      <c r="M5" s="31"/>
      <c r="N5" s="31"/>
    </row>
    <row r="6" ht="14.25" spans="1:14">
      <c r="A6" s="31" t="s">
        <v>951</v>
      </c>
      <c r="B6" s="10" t="str">
        <f>IFERROR(__xludf.DUMMYFUNCTION("GOOGLEFINANCE(B6,""name"")"),"Vanguard Total Stock Market Index Fund ETF")</f>
        <v>Vanguard Total Stock Market Index Fund ETF</v>
      </c>
      <c r="C6" s="21">
        <f>IFERROR(__xludf.DUMMYFUNCTION("GOOGLEFINANCE(B6)"),262.49)</f>
        <v>262.49</v>
      </c>
      <c r="D6" s="23">
        <f>IFERROR(__xludf.DUMMYFUNCTION("GOOGLEFINANCE(B6,""changepct"")/100"),-0.0016)</f>
        <v>-0.0016</v>
      </c>
      <c r="E6" s="23">
        <f>IFERROR(__xludf.DUMMYFUNCTION("$D6/(index(GOOGLEFINANCE($B6,""price"",workday(today(),-F$4),today()),2,2))-1"),0.0286464456462105)</f>
        <v>0.0286464456462105</v>
      </c>
      <c r="F6" s="23">
        <f>IFERROR(__xludf.DUMMYFUNCTION("$D6/(index(GOOGLEFINANCE($B6,""price"",workday(today(),-G$4),today()),2,2))-1"),-0.0517664908604869)</f>
        <v>-0.0517664908604869</v>
      </c>
      <c r="G6" s="32">
        <f>IFERROR(__xludf.DUMMYFUNCTION("$D6/(index(GOOGLEFINANCE($B6,""price"",$H$4,today()),2,2))-1"),-0.0517664908604869)</f>
        <v>-0.0517664908604869</v>
      </c>
      <c r="H6" s="33" t="str">
        <f>IFERROR(__xludf.DUMMYFUNCTION("IF(B6="""","""",SPARKLINE(INDEX(GOOGLEFINANCE($B6,""price"",$H$4,today()),,2),{""charttype"",""line""}))"),"")</f>
        <v/>
      </c>
      <c r="I6" s="29" t="str">
        <f>IFERROR(__xludf.DUMMYFUNCTION("IF(B6="""","""",SPARKLINE(INDEX(GOOGLEFINANCE($B6,""volume"",$H$4,today()),,2),{""charttype"",""column"";""color"",""grey"";""lowcolor"",""red"";""highcolor"",""black""}))"),"")</f>
        <v/>
      </c>
      <c r="J6" s="29"/>
      <c r="K6" s="31"/>
      <c r="L6" s="32">
        <f>[1]DATA!F11</f>
        <v>259.140468879521</v>
      </c>
      <c r="M6" s="32">
        <f>[1]DATA!G11</f>
        <v>-0.0108176110723263</v>
      </c>
      <c r="N6" s="32">
        <f>[1]DATA!H11</f>
        <v>0.000936397737439723</v>
      </c>
    </row>
    <row r="7" ht="14.25" spans="1:14">
      <c r="A7" s="31" t="s">
        <v>1080</v>
      </c>
      <c r="B7" s="10" t="str">
        <f>IFERROR(__xludf.DUMMYFUNCTION("GOOGLEFINANCE(B7,""name"")"),"iShares S&amp;P 100 ETF")</f>
        <v>iShares S&amp;P 100 ETF</v>
      </c>
      <c r="C7" s="21">
        <f>IFERROR(__xludf.DUMMYFUNCTION("GOOGLEFINANCE(B7)"),256.45)</f>
        <v>256.45</v>
      </c>
      <c r="D7" s="23">
        <f>IFERROR(__xludf.DUMMYFUNCTION("GOOGLEFINANCE(B7,""changepct"")/100"),0.0016)</f>
        <v>0.0016</v>
      </c>
      <c r="E7" s="23">
        <f>IFERROR(__xludf.DUMMYFUNCTION("$D7/(index(GOOGLEFINANCE($B7,""price"",workday(today(),-F$4),today()),2,2))-1"),0.0309962209536061)</f>
        <v>0.0309962209536061</v>
      </c>
      <c r="F7" s="23">
        <f>IFERROR(__xludf.DUMMYFUNCTION("$D7/(index(GOOGLEFINANCE($B7,""price"",workday(today(),-G$4),today()),2,2))-1"),-0.0625114238713215)</f>
        <v>-0.0625114238713215</v>
      </c>
      <c r="G7" s="32">
        <f>IFERROR(__xludf.DUMMYFUNCTION("$D7/(index(GOOGLEFINANCE($B7,""price"",$H$4,today()),2,2))-1"),-0.0625114238713215)</f>
        <v>-0.0625114238713215</v>
      </c>
      <c r="H7" s="33" t="str">
        <f>IFERROR(__xludf.DUMMYFUNCTION("IF(B7="""","""",SPARKLINE(INDEX(GOOGLEFINANCE($B7,""price"",$H$4,today()),,2),{""charttype"",""line""}))"),"")</f>
        <v/>
      </c>
      <c r="I7" s="29" t="str">
        <f>IFERROR(__xludf.DUMMYFUNCTION("IF(B7="""","""",SPARKLINE(INDEX(GOOGLEFINANCE($B7,""volume"",$H$4,today()),,2),{""charttype"",""column"";""color"",""grey"";""lowcolor"",""red"";""highcolor"",""black""}))"),"")</f>
        <v/>
      </c>
      <c r="J7" s="30">
        <f t="shared" ref="J7:J15" si="0">E7-$F$6</f>
        <v>0.082762711814093</v>
      </c>
      <c r="K7" s="30">
        <f t="shared" ref="K7:K15" si="1">F7-$G$6</f>
        <v>-0.0107449330108346</v>
      </c>
      <c r="L7" s="32">
        <f>[1]DATA!F12</f>
        <v>251.632151882917</v>
      </c>
      <c r="M7" s="32">
        <f>[1]DATA!G12</f>
        <v>-0.0107629420627764</v>
      </c>
      <c r="N7" s="32">
        <f>[1]DATA!H12</f>
        <v>0.00101075510339358</v>
      </c>
    </row>
    <row r="8" ht="14.25" spans="1:14">
      <c r="A8" s="31" t="s">
        <v>952</v>
      </c>
      <c r="B8" s="10" t="str">
        <f>IFERROR(__xludf.DUMMYFUNCTION("GOOGLEFINANCE(B8,""name"")"),"SPDR S&amp;P 500 ETF Trust")</f>
        <v>SPDR S&amp;P 500 ETF Trust</v>
      </c>
      <c r="C8" s="21">
        <f>IFERROR(__xludf.DUMMYFUNCTION("GOOGLEFINANCE(B8)"),532.83)</f>
        <v>532.83</v>
      </c>
      <c r="D8" s="23">
        <f>IFERROR(__xludf.DUMMYFUNCTION("GOOGLEFINANCE(B8,""changepct"")/100"),-0.0003)</f>
        <v>-0.0003</v>
      </c>
      <c r="E8" s="23">
        <f>IFERROR(__xludf.DUMMYFUNCTION("$D8/(index(GOOGLEFINANCE($B8,""price"",workday(today(),-F$4),today()),2,2))-1"),0.0298619969848081)</f>
        <v>0.0298619969848081</v>
      </c>
      <c r="F8" s="23">
        <f>IFERROR(__xludf.DUMMYFUNCTION("$D8/(index(GOOGLEFINANCE($B8,""price"",workday(today(),-G$4),today()),2,2))-1"),-0.0511103591971933)</f>
        <v>-0.0511103591971933</v>
      </c>
      <c r="G8" s="32">
        <f>IFERROR(__xludf.DUMMYFUNCTION("$D8/(index(GOOGLEFINANCE($B8,""price"",$H$4,today()),2,2))-1"),-0.0511103591971933)</f>
        <v>-0.0511103591971933</v>
      </c>
      <c r="H8" s="33" t="str">
        <f>IFERROR(__xludf.DUMMYFUNCTION("IF(B8="""","""",SPARKLINE(INDEX(GOOGLEFINANCE($B8,""price"",$H$4,today()),,2),{""charttype"",""line""}))"),"")</f>
        <v/>
      </c>
      <c r="I8" s="29" t="str">
        <f>IFERROR(__xludf.DUMMYFUNCTION("IF(B8="""","""",SPARKLINE(INDEX(GOOGLEFINANCE($B8,""volume"",$H$4,today()),,2),{""charttype"",""column"";""color"",""grey"";""lowcolor"",""red"";""highcolor"",""black""}))"),"")</f>
        <v/>
      </c>
      <c r="J8" s="30">
        <f t="shared" si="0"/>
        <v>0.081628487845295</v>
      </c>
      <c r="K8" s="30">
        <f t="shared" si="1"/>
        <v>0.000656131663293605</v>
      </c>
      <c r="L8" s="32">
        <f>[1]DATA!F13</f>
        <v>524.264093237834</v>
      </c>
      <c r="M8" s="32">
        <f>[1]DATA!G13</f>
        <v>-0.00903211228451177</v>
      </c>
      <c r="N8" s="32">
        <f>[1]DATA!H13</f>
        <v>0.00108088585434486</v>
      </c>
    </row>
    <row r="9" ht="14.25" spans="1:14">
      <c r="A9" s="31" t="s">
        <v>1081</v>
      </c>
      <c r="B9" s="10" t="str">
        <f>IFERROR(__xludf.DUMMYFUNCTION("GOOGLEFINANCE(B9,""name"")"),"SPDR Dow Jones Industrial Average ETF Trust")</f>
        <v>SPDR Dow Jones Industrial Average ETF Trust</v>
      </c>
      <c r="C9" s="21">
        <f>IFERROR(__xludf.DUMMYFUNCTION("GOOGLEFINANCE(B9)"),393.43)</f>
        <v>393.43</v>
      </c>
      <c r="D9" s="23">
        <f>IFERROR(__xludf.DUMMYFUNCTION("GOOGLEFINANCE(B9,""changepct"")/100"),-0.0044)</f>
        <v>-0.0044</v>
      </c>
      <c r="E9" s="23">
        <f>IFERROR(__xludf.DUMMYFUNCTION("$D9/(index(GOOGLEFINANCE($B9,""price"",workday(today(),-F$4),today()),2,2))-1"),0.0171143455443241)</f>
        <v>0.0171143455443241</v>
      </c>
      <c r="F9" s="23">
        <f>IFERROR(__xludf.DUMMYFUNCTION("$D9/(index(GOOGLEFINANCE($B9,""price"",workday(today(),-G$4),today()),2,2))-1"),-0.0221940550750572)</f>
        <v>-0.0221940550750572</v>
      </c>
      <c r="G9" s="32">
        <f>IFERROR(__xludf.DUMMYFUNCTION("$D9/(index(GOOGLEFINANCE($B9,""price"",$H$4,today()),2,2))-1"),-0.0221940550750572)</f>
        <v>-0.0221940550750572</v>
      </c>
      <c r="H9" s="33" t="str">
        <f>IFERROR(__xludf.DUMMYFUNCTION("IF(B9="""","""",SPARKLINE(INDEX(GOOGLEFINANCE($B9,""price"",$H$4,today()),,2),{""charttype"",""line""}))"),"")</f>
        <v/>
      </c>
      <c r="I9" s="29" t="str">
        <f>IFERROR(__xludf.DUMMYFUNCTION("IF(B9="""","""",SPARKLINE(INDEX(GOOGLEFINANCE($B9,""volume"",$H$4,today()),,2),{""charttype"",""column"";""color"",""grey"";""lowcolor"",""red"";""highcolor"",""black""}))"),"")</f>
        <v/>
      </c>
      <c r="J9" s="30">
        <f t="shared" si="0"/>
        <v>0.068880836404811</v>
      </c>
      <c r="K9" s="30">
        <f t="shared" si="1"/>
        <v>0.0295724357854297</v>
      </c>
      <c r="L9" s="32">
        <f>[1]DATA!F14</f>
        <v>389.506568202397</v>
      </c>
      <c r="M9" s="32">
        <f>[1]DATA!G14</f>
        <v>-0.00931238953494618</v>
      </c>
      <c r="N9" s="32">
        <f>[1]DATA!H14</f>
        <v>0.00535581950240665</v>
      </c>
    </row>
    <row r="10" ht="14.25" spans="1:14">
      <c r="A10" s="31" t="s">
        <v>1082</v>
      </c>
      <c r="B10" s="10" t="str">
        <f>IFERROR(__xludf.DUMMYFUNCTION("GOOGLEFINANCE(B10,""name"")"),"SPDR S&amp;P MidCap 400 ETF")</f>
        <v>SPDR S&amp;P MidCap 400 ETF</v>
      </c>
      <c r="C10" s="21">
        <f>IFERROR(__xludf.DUMMYFUNCTION("GOOGLEFINANCE(B10)"),532.89)</f>
        <v>532.89</v>
      </c>
      <c r="D10" s="23">
        <f>IFERROR(__xludf.DUMMYFUNCTION("GOOGLEFINANCE(B10,""changepct"")/100"),-0.006)</f>
        <v>-0.006</v>
      </c>
      <c r="E10" s="23">
        <f>IFERROR(__xludf.DUMMYFUNCTION("$D10/(index(GOOGLEFINANCE($B10,""price"",workday(today(),-F$4),today()),2,2))-1"),0.0172762675626143)</f>
        <v>0.0172762675626143</v>
      </c>
      <c r="F10" s="23">
        <f>IFERROR(__xludf.DUMMYFUNCTION("$D10/(index(GOOGLEFINANCE($B10,""price"",workday(today(),-G$4),today()),2,2))-1"),-0.0402355780487365)</f>
        <v>-0.0402355780487365</v>
      </c>
      <c r="G10" s="32">
        <f>IFERROR(__xludf.DUMMYFUNCTION("$D10/(index(GOOGLEFINANCE($B10,""price"",$H$4,today()),2,2))-1"),-0.0402355780487365)</f>
        <v>-0.0402355780487365</v>
      </c>
      <c r="H10" s="33" t="str">
        <f>IFERROR(__xludf.DUMMYFUNCTION("IF(B10="""","""",SPARKLINE(INDEX(GOOGLEFINANCE($B10,""price"",$H$4,today()),,2),{""charttype"",""line""}))"),"")</f>
        <v/>
      </c>
      <c r="I10" s="29" t="str">
        <f>IFERROR(__xludf.DUMMYFUNCTION("IF(B10="""","""",SPARKLINE(INDEX(GOOGLEFINANCE($B10,""volume"",$H$4,today()),,2),{""charttype"",""column"";""color"",""grey"";""lowcolor"",""red"";""highcolor"",""black""}))"),"")</f>
        <v/>
      </c>
      <c r="J10" s="30">
        <f t="shared" si="0"/>
        <v>0.0690427584231012</v>
      </c>
      <c r="K10" s="30">
        <f t="shared" si="1"/>
        <v>0.0115309128117504</v>
      </c>
      <c r="L10" s="32">
        <f>[1]DATA!F15</f>
        <v>533.443048462493</v>
      </c>
      <c r="M10" s="32">
        <f>[1]DATA!G15</f>
        <v>-0.0173498306564037</v>
      </c>
      <c r="N10" s="32">
        <f>[1]DATA!H15</f>
        <v>0.00164489155946053</v>
      </c>
    </row>
    <row r="11" ht="14.25" spans="1:14">
      <c r="A11" s="31" t="s">
        <v>1083</v>
      </c>
      <c r="B11" s="10" t="str">
        <f>IFERROR(__xludf.DUMMYFUNCTION("GOOGLEFINANCE(B11,""name"")"),"Invesco S&amp;P 500 Eql Wght ETF")</f>
        <v>Invesco S&amp;P 500 Eql Wght ETF</v>
      </c>
      <c r="C11" s="21">
        <f>IFERROR(__xludf.DUMMYFUNCTION("GOOGLEFINANCE(B11)"),165.75)</f>
        <v>165.75</v>
      </c>
      <c r="D11" s="23">
        <f>IFERROR(__xludf.DUMMYFUNCTION("GOOGLEFINANCE(B11,""changepct"")/100"),-0.0054)</f>
        <v>-0.0054</v>
      </c>
      <c r="E11" s="23">
        <f>IFERROR(__xludf.DUMMYFUNCTION("$D11/(index(GOOGLEFINANCE($B11,""price"",workday(today(),-F$4),today()),2,2))-1"),0.0179328133636307)</f>
        <v>0.0179328133636307</v>
      </c>
      <c r="F11" s="23">
        <f>IFERROR(__xludf.DUMMYFUNCTION("$D11/(index(GOOGLEFINANCE($B11,""price"",workday(today(),-G$4),today()),2,2))-1"),-0.0176031294452346)</f>
        <v>-0.0176031294452346</v>
      </c>
      <c r="G11" s="32">
        <f>IFERROR(__xludf.DUMMYFUNCTION("$D11/(index(GOOGLEFINANCE($B11,""price"",$H$4,today()),2,2))-1"),-0.0176031294452346)</f>
        <v>-0.0176031294452346</v>
      </c>
      <c r="H11" s="33" t="str">
        <f>IFERROR(__xludf.DUMMYFUNCTION("IF(B11="""","""",SPARKLINE(INDEX(GOOGLEFINANCE($B11,""price"",$H$4,today()),,2),{""charttype"",""line""}))"),"")</f>
        <v/>
      </c>
      <c r="I11" s="29" t="str">
        <f>IFERROR(__xludf.DUMMYFUNCTION("IF(B11="""","""",SPARKLINE(INDEX(GOOGLEFINANCE($B11,""volume"",$H$4,today()),,2),{""charttype"",""column"";""color"",""grey"";""lowcolor"",""red"";""highcolor"",""black""}))"),"")</f>
        <v/>
      </c>
      <c r="J11" s="30">
        <f t="shared" si="0"/>
        <v>0.0696993042241176</v>
      </c>
      <c r="K11" s="30">
        <f t="shared" si="1"/>
        <v>0.0341633614152523</v>
      </c>
      <c r="L11" s="32">
        <f>[1]DATA!F16</f>
        <v>163.893436316909</v>
      </c>
      <c r="M11" s="32">
        <f>[1]DATA!G16</f>
        <v>-0.00681096843205303</v>
      </c>
      <c r="N11" s="32">
        <f>[1]DATA!H16</f>
        <v>0.00462126817714345</v>
      </c>
    </row>
    <row r="12" ht="14.25" spans="1:14">
      <c r="A12" s="31" t="s">
        <v>953</v>
      </c>
      <c r="B12" s="10" t="str">
        <f>IFERROR(__xludf.DUMMYFUNCTION("GOOGLEFINANCE(B12,""name"")"),"Invesco QQQ Trust, Series 1")</f>
        <v>Invesco QQQ Trust, Series 1</v>
      </c>
      <c r="C12" s="21">
        <f>IFERROR(__xludf.DUMMYFUNCTION("GOOGLEFINANCE(B12)"),451.15)</f>
        <v>451.15</v>
      </c>
      <c r="D12" s="23">
        <f>IFERROR(__xludf.DUMMYFUNCTION("GOOGLEFINANCE(B12,""changepct"")/100"),0.0016)</f>
        <v>0.0016</v>
      </c>
      <c r="E12" s="23">
        <f>IFERROR(__xludf.DUMMYFUNCTION("$D12/(index(GOOGLEFINANCE($B12,""price"",workday(today(),-F$4),today()),2,2))-1"),0.0362450329604704)</f>
        <v>0.0362450329604704</v>
      </c>
      <c r="F12" s="23">
        <f>IFERROR(__xludf.DUMMYFUNCTION("$D12/(index(GOOGLEFINANCE($B12,""price"",workday(today(),-G$4),today()),2,2))-1"),-0.0906983775068024)</f>
        <v>-0.0906983775068024</v>
      </c>
      <c r="G12" s="32">
        <f>IFERROR(__xludf.DUMMYFUNCTION("$D12/(index(GOOGLEFINANCE($B12,""price"",$H$4,today()),2,2))-1"),-0.0906983775068024)</f>
        <v>-0.0906983775068024</v>
      </c>
      <c r="H12" s="33" t="str">
        <f>IFERROR(__xludf.DUMMYFUNCTION("IF(B12="""","""",SPARKLINE(INDEX(GOOGLEFINANCE($B12,""price"",$H$4,today()),,2),{""charttype"",""line""}))"),"")</f>
        <v/>
      </c>
      <c r="I12" s="29" t="str">
        <f>IFERROR(__xludf.DUMMYFUNCTION("IF(B12="""","""",SPARKLINE(INDEX(GOOGLEFINANCE($B12,""volume"",$H$4,today()),,2),{""charttype"",""column"";""color"",""grey"";""lowcolor"",""red"";""highcolor"",""black""}))"),"")</f>
        <v/>
      </c>
      <c r="J12" s="30">
        <f t="shared" si="0"/>
        <v>0.0880115238209573</v>
      </c>
      <c r="K12" s="30">
        <f t="shared" si="1"/>
        <v>-0.0389318866463155</v>
      </c>
      <c r="L12" s="32">
        <f>[1]DATA!F17</f>
        <v>451.506648715303</v>
      </c>
      <c r="M12" s="32">
        <f>[1]DATA!G17</f>
        <v>-0.0170251618571959</v>
      </c>
      <c r="N12" s="32">
        <f>[1]DATA!H17</f>
        <v>-0.00902454821621398</v>
      </c>
    </row>
    <row r="13" ht="14.25" spans="1:14">
      <c r="A13" s="31" t="s">
        <v>1084</v>
      </c>
      <c r="B13" s="10" t="str">
        <f>IFERROR(__xludf.DUMMYFUNCTION("GOOGLEFINANCE(B13,""name"")"),"First Trust NASDAQ-100-Technology Sector Index Fd")</f>
        <v>First Trust NASDAQ-100-Technology Sector Index Fd</v>
      </c>
      <c r="C13" s="21">
        <f>IFERROR(__xludf.DUMMYFUNCTION("GOOGLEFINANCE(B13)"),178.12)</f>
        <v>178.12</v>
      </c>
      <c r="D13" s="23">
        <f>IFERROR(__xludf.DUMMYFUNCTION("GOOGLEFINANCE(B13,""changepct"")/100"),-0.0039)</f>
        <v>-0.0039</v>
      </c>
      <c r="E13" s="23">
        <f>IFERROR(__xludf.DUMMYFUNCTION("$D13/(index(GOOGLEFINANCE($B13,""price"",workday(today(),-F$4),today()),2,2))-1"),0.0482580037664783)</f>
        <v>0.0482580037664783</v>
      </c>
      <c r="F13" s="23">
        <f>IFERROR(__xludf.DUMMYFUNCTION("$D13/(index(GOOGLEFINANCE($B13,""price"",workday(today(),-G$4),today()),2,2))-1"),-0.129082730295325)</f>
        <v>-0.129082730295325</v>
      </c>
      <c r="G13" s="32">
        <f>IFERROR(__xludf.DUMMYFUNCTION("$D13/(index(GOOGLEFINANCE($B13,""price"",$H$4,today()),2,2))-1"),-0.129082730295325)</f>
        <v>-0.129082730295325</v>
      </c>
      <c r="H13" s="33" t="str">
        <f>IFERROR(__xludf.DUMMYFUNCTION("IF(B13="""","""",SPARKLINE(INDEX(GOOGLEFINANCE($B13,""price"",$H$4,today()),,2),{""charttype"",""line""}))"),"")</f>
        <v/>
      </c>
      <c r="I13" s="29" t="str">
        <f>IFERROR(__xludf.DUMMYFUNCTION("IF(B13="""","""",SPARKLINE(INDEX(GOOGLEFINANCE($B13,""volume"",$H$4,today()),,2),{""charttype"",""column"";""color"",""grey"";""lowcolor"",""red"";""highcolor"",""black""}))"),"")</f>
        <v/>
      </c>
      <c r="J13" s="30">
        <f t="shared" si="0"/>
        <v>0.100024494626965</v>
      </c>
      <c r="K13" s="30">
        <f t="shared" si="1"/>
        <v>-0.0773162394348381</v>
      </c>
      <c r="L13" s="32">
        <f>[1]DATA!F18</f>
        <v>186.269278605358</v>
      </c>
      <c r="M13" s="32">
        <f>[1]DATA!G18</f>
        <v>-0.0287613369072268</v>
      </c>
      <c r="N13" s="32">
        <f>[1]DATA!H18</f>
        <v>-0.0282334584118362</v>
      </c>
    </row>
    <row r="14" ht="14.25" spans="1:14">
      <c r="A14" s="31" t="s">
        <v>1085</v>
      </c>
      <c r="B14" s="10" t="str">
        <f>IFERROR(__xludf.DUMMYFUNCTION("GOOGLEFINANCE(B14,""name"")"),"iShares Russell 1000 ETF")</f>
        <v>iShares Russell 1000 ETF</v>
      </c>
      <c r="C14" s="21">
        <f>IFERROR(__xludf.DUMMYFUNCTION("GOOGLEFINANCE(B14)"),291.74)</f>
        <v>291.74</v>
      </c>
      <c r="D14" s="23">
        <f>IFERROR(__xludf.DUMMYFUNCTION("GOOGLEFINANCE(B14,""changepct"")/100"),-0.0007)</f>
        <v>-0.0007</v>
      </c>
      <c r="E14" s="23">
        <f>IFERROR(__xludf.DUMMYFUNCTION("$D14/(index(GOOGLEFINANCE($B14,""price"",workday(today(),-F$4),today()),2,2))-1"),0.0298644450720135)</f>
        <v>0.0298644450720135</v>
      </c>
      <c r="F14" s="23">
        <f>IFERROR(__xludf.DUMMYFUNCTION("$D14/(index(GOOGLEFINANCE($B14,""price"",workday(today(),-G$4),today()),2,2))-1"),-0.050387344573921)</f>
        <v>-0.050387344573921</v>
      </c>
      <c r="G14" s="32">
        <f>IFERROR(__xludf.DUMMYFUNCTION("$D14/(index(GOOGLEFINANCE($B14,""price"",$H$4,today()),2,2))-1"),-0.050387344573921)</f>
        <v>-0.050387344573921</v>
      </c>
      <c r="H14" s="33" t="str">
        <f>IFERROR(__xludf.DUMMYFUNCTION("IF(B14="""","""",SPARKLINE(INDEX(GOOGLEFINANCE($B14,""price"",$H$4,today()),,2),{""charttype"",""line""}))"),"")</f>
        <v/>
      </c>
      <c r="I14" s="29" t="str">
        <f>IFERROR(__xludf.DUMMYFUNCTION("IF(B14="""","""",SPARKLINE(INDEX(GOOGLEFINANCE($B14,""volume"",$H$4,today()),,2),{""charttype"",""column"";""color"",""grey"";""lowcolor"",""red"";""highcolor"",""black""}))"),"")</f>
        <v/>
      </c>
      <c r="J14" s="30">
        <f t="shared" si="0"/>
        <v>0.0816309359325004</v>
      </c>
      <c r="K14" s="30">
        <f t="shared" si="1"/>
        <v>0.0013791462865659</v>
      </c>
      <c r="L14" s="32">
        <f>[1]DATA!F19</f>
        <v>287.444069700508</v>
      </c>
      <c r="M14" s="32">
        <f>[1]DATA!G19</f>
        <v>-0.009206018562384</v>
      </c>
      <c r="N14" s="32">
        <f>[1]DATA!H19</f>
        <v>0.000955232509067717</v>
      </c>
    </row>
    <row r="15" ht="14.25" spans="1:14">
      <c r="A15" s="31" t="s">
        <v>1086</v>
      </c>
      <c r="B15" s="10" t="str">
        <f>IFERROR(__xludf.DUMMYFUNCTION("GOOGLEFINANCE(B15,""name"")"),"iShares Russell 2000 ETF")</f>
        <v>iShares Russell 2000 ETF</v>
      </c>
      <c r="C15" s="21">
        <f>IFERROR(__xludf.DUMMYFUNCTION("GOOGLEFINANCE(B15)"),204.67)</f>
        <v>204.67</v>
      </c>
      <c r="D15" s="23">
        <f>IFERROR(__xludf.DUMMYFUNCTION("GOOGLEFINANCE(B15,""changepct"")/100"),-0.0087)</f>
        <v>-0.0087</v>
      </c>
      <c r="E15" s="23">
        <f>IFERROR(__xludf.DUMMYFUNCTION("$D15/(index(GOOGLEFINANCE($B15,""price"",workday(today(),-F$4),today()),2,2))-1"),0.012215628090999)</f>
        <v>0.012215628090999</v>
      </c>
      <c r="F15" s="23">
        <f>IFERROR(__xludf.DUMMYFUNCTION("$D15/(index(GOOGLEFINANCE($B15,""price"",workday(today(),-G$4),today()),2,2))-1"),-0.0576453796215296)</f>
        <v>-0.0576453796215296</v>
      </c>
      <c r="G15" s="32">
        <f>IFERROR(__xludf.DUMMYFUNCTION("$D15/(index(GOOGLEFINANCE($B15,""price"",$H$4,today()),2,2))-1"),-0.0576453796215296)</f>
        <v>-0.0576453796215296</v>
      </c>
      <c r="H15" s="33" t="str">
        <f>IFERROR(__xludf.DUMMYFUNCTION("IF(B15="""","""",SPARKLINE(INDEX(GOOGLEFINANCE($B15,""price"",$H$4,today()),,2),{""charttype"",""line""}))"),"")</f>
        <v/>
      </c>
      <c r="I15" s="29" t="str">
        <f>IFERROR(__xludf.DUMMYFUNCTION("IF(B15="""","""",SPARKLINE(INDEX(GOOGLEFINANCE($B15,""volume"",$H$4,today()),,2),{""charttype"",""column"";""color"",""grey"";""lowcolor"",""red"";""highcolor"",""black""}))"),"")</f>
        <v/>
      </c>
      <c r="J15" s="30">
        <f t="shared" si="0"/>
        <v>0.0639821189514859</v>
      </c>
      <c r="K15" s="30">
        <f t="shared" si="1"/>
        <v>-0.0058788887610427</v>
      </c>
      <c r="L15" s="32">
        <f>[1]DATA!F20</f>
        <v>204.487307973051</v>
      </c>
      <c r="M15" s="32">
        <f>[1]DATA!G20</f>
        <v>-0.0289897146262048</v>
      </c>
      <c r="N15" s="32">
        <f>[1]DATA!H20</f>
        <v>0.0111327662557828</v>
      </c>
    </row>
    <row r="16" ht="14.25" spans="1:14">
      <c r="A16" s="20" t="s">
        <v>1087</v>
      </c>
      <c r="B16" s="10"/>
      <c r="C16" s="21"/>
      <c r="D16" s="23"/>
      <c r="E16" s="23"/>
      <c r="F16" s="23"/>
      <c r="G16" s="32"/>
      <c r="H16" s="33"/>
      <c r="I16" s="29"/>
      <c r="J16" s="29"/>
      <c r="K16" s="30"/>
      <c r="L16" s="32">
        <f>[1]DATA!F21</f>
        <v>0</v>
      </c>
      <c r="M16" s="32">
        <f>[1]DATA!G21</f>
        <v>0</v>
      </c>
      <c r="N16" s="32">
        <f>[1]DATA!H21</f>
        <v>0</v>
      </c>
    </row>
    <row r="17" ht="14.25" spans="1:14">
      <c r="A17" s="31" t="s">
        <v>1088</v>
      </c>
      <c r="B17" s="10" t="str">
        <f>IFERROR(__xludf.DUMMYFUNCTION("GOOGLEFINANCE(B17,""name"")"),"iShares MSCI USA Momentum Factor ETF")</f>
        <v>iShares MSCI USA Momentum Factor ETF</v>
      </c>
      <c r="C17" s="21">
        <f>IFERROR(__xludf.DUMMYFUNCTION("GOOGLEFINANCE(B17)"),185.02)</f>
        <v>185.02</v>
      </c>
      <c r="D17" s="23">
        <f>IFERROR(__xludf.DUMMYFUNCTION("GOOGLEFINANCE(B17,""changepct"")/100"),0.002)</f>
        <v>0.002</v>
      </c>
      <c r="E17" s="23">
        <f>IFERROR(__xludf.DUMMYFUNCTION("$D17/(index(GOOGLEFINANCE($B17,""price"",workday(today(),-F$4),today()),2,2))-1"),0.0544853527869599)</f>
        <v>0.0544853527869599</v>
      </c>
      <c r="F17" s="23">
        <f>IFERROR(__xludf.DUMMYFUNCTION("$D17/(index(GOOGLEFINANCE($B17,""price"",workday(today(),-G$4),today()),2,2))-1"),-0.0763777955271565)</f>
        <v>-0.0763777955271565</v>
      </c>
      <c r="G17" s="32">
        <f>IFERROR(__xludf.DUMMYFUNCTION("$D17/(index(GOOGLEFINANCE($B17,""price"",$H$4,today()),2,2))-1"),-0.0763777955271565)</f>
        <v>-0.0763777955271565</v>
      </c>
      <c r="H17" s="33" t="str">
        <f>IFERROR(__xludf.DUMMYFUNCTION("IF(B17="""","""",SPARKLINE(INDEX(GOOGLEFINANCE($B17,""price"",$H$4,today()),,2),{""charttype"",""line""}))"),"")</f>
        <v/>
      </c>
      <c r="I17" s="29" t="str">
        <f>IFERROR(__xludf.DUMMYFUNCTION("IF(B17="""","""",SPARKLINE(INDEX(GOOGLEFINANCE($B17,""volume"",$H$4,today()),,2),{""charttype"",""column"";""color"",""grey"";""lowcolor"",""red"";""highcolor"",""black""}))"),"")</f>
        <v/>
      </c>
      <c r="J17" s="30">
        <f t="shared" ref="J17:J20" si="2">E17-$F$6</f>
        <v>0.106251843647447</v>
      </c>
      <c r="K17" s="30">
        <f t="shared" ref="K17:K20" si="3">F17-$G$6</f>
        <v>-0.0246113046666696</v>
      </c>
      <c r="L17" s="32">
        <f>[1]DATA!F22</f>
        <v>184.166988748351</v>
      </c>
      <c r="M17" s="32">
        <f>[1]DATA!G22</f>
        <v>-0.00584819230288974</v>
      </c>
      <c r="N17" s="32">
        <f>[1]DATA!H22</f>
        <v>-0.0128587010032884</v>
      </c>
    </row>
    <row r="18" ht="14.25" spans="1:14">
      <c r="A18" s="31" t="s">
        <v>1089</v>
      </c>
      <c r="B18" s="10" t="str">
        <f>IFERROR(__xludf.DUMMYFUNCTION("GOOGLEFINANCE(B18,""name"")"),"Invesco S&amp;P 500 High Beta ETF")</f>
        <v>Invesco S&amp;P 500 High Beta ETF</v>
      </c>
      <c r="C18" s="21">
        <f>IFERROR(__xludf.DUMMYFUNCTION("GOOGLEFINANCE(B18)"),80.24)</f>
        <v>80.24</v>
      </c>
      <c r="D18" s="23">
        <f>IFERROR(__xludf.DUMMYFUNCTION("GOOGLEFINANCE(B18,""changepct"")/100"),-0.005)</f>
        <v>-0.005</v>
      </c>
      <c r="E18" s="23">
        <f>IFERROR(__xludf.DUMMYFUNCTION("$D18/(index(GOOGLEFINANCE($B18,""price"",workday(today(),-F$4),today()),2,2))-1"),0.0266120777891505)</f>
        <v>0.0266120777891505</v>
      </c>
      <c r="F18" s="23">
        <f>IFERROR(__xludf.DUMMYFUNCTION("$D18/(index(GOOGLEFINANCE($B18,""price"",workday(today(),-G$4),today()),2,2))-1"),-0.0942544305226324)</f>
        <v>-0.0942544305226324</v>
      </c>
      <c r="G18" s="32">
        <f>IFERROR(__xludf.DUMMYFUNCTION("$D18/(index(GOOGLEFINANCE($B18,""price"",$H$4,today()),2,2))-1"),-0.0942544305226324)</f>
        <v>-0.0942544305226324</v>
      </c>
      <c r="H18" s="33" t="str">
        <f>IFERROR(__xludf.DUMMYFUNCTION("IF(B18="""","""",SPARKLINE(INDEX(GOOGLEFINANCE($B18,""price"",$H$4,today()),,2),{""charttype"",""line""}))"),"")</f>
        <v/>
      </c>
      <c r="I18" s="29" t="str">
        <f>IFERROR(__xludf.DUMMYFUNCTION("IF(B18="""","""",SPARKLINE(INDEX(GOOGLEFINANCE($B18,""volume"",$H$4,today()),,2),{""charttype"",""column"";""color"",""grey"";""lowcolor"",""red"";""highcolor"",""black""}))"),"")</f>
        <v/>
      </c>
      <c r="J18" s="30">
        <f t="shared" si="2"/>
        <v>0.0783785686496374</v>
      </c>
      <c r="K18" s="30">
        <f t="shared" si="3"/>
        <v>-0.0424879396621455</v>
      </c>
      <c r="L18" s="32">
        <f>[1]DATA!F23</f>
        <v>83.1363718036444</v>
      </c>
      <c r="M18" s="32">
        <f>[1]DATA!G23</f>
        <v>-0.0291071935221705</v>
      </c>
      <c r="N18" s="32">
        <f>[1]DATA!H23</f>
        <v>-0.0147059623663223</v>
      </c>
    </row>
    <row r="19" ht="14.25" spans="1:14">
      <c r="A19" s="31" t="s">
        <v>1090</v>
      </c>
      <c r="B19" s="10" t="str">
        <f>IFERROR(__xludf.DUMMYFUNCTION("GOOGLEFINANCE(B19,""name"")"),"iShares MSCI USA Quality Factor ETF")</f>
        <v>iShares MSCI USA Quality Factor ETF</v>
      </c>
      <c r="C19" s="21">
        <f>IFERROR(__xludf.DUMMYFUNCTION("GOOGLEFINANCE(B19)"),168.43)</f>
        <v>168.43</v>
      </c>
      <c r="D19" s="23">
        <f>IFERROR(__xludf.DUMMYFUNCTION("GOOGLEFINANCE(B19,""changepct"")/100"),0.001)</f>
        <v>0.001</v>
      </c>
      <c r="E19" s="23">
        <f>IFERROR(__xludf.DUMMYFUNCTION("$D19/(index(GOOGLEFINANCE($B19,""price"",workday(today(),-F$4),today()),2,2))-1"),0.0356000983767832)</f>
        <v>0.0356000983767832</v>
      </c>
      <c r="F19" s="23">
        <f>IFERROR(__xludf.DUMMYFUNCTION("$D19/(index(GOOGLEFINANCE($B19,""price"",workday(today(),-G$4),today()),2,2))-1"),-0.0374328494685105)</f>
        <v>-0.0374328494685105</v>
      </c>
      <c r="G19" s="32">
        <f>IFERROR(__xludf.DUMMYFUNCTION("$D19/(index(GOOGLEFINANCE($B19,""price"",$H$4,today()),2,2))-1"),-0.0374328494685105)</f>
        <v>-0.0374328494685105</v>
      </c>
      <c r="H19" s="33" t="str">
        <f>IFERROR(__xludf.DUMMYFUNCTION("IF(B19="""","""",SPARKLINE(INDEX(GOOGLEFINANCE($B19,""price"",$H$4,today()),,2),{""charttype"",""line""}))"),"")</f>
        <v/>
      </c>
      <c r="I19" s="29" t="str">
        <f>IFERROR(__xludf.DUMMYFUNCTION("IF(B19="""","""",SPARKLINE(INDEX(GOOGLEFINANCE($B19,""volume"",$H$4,today()),,2),{""charttype"",""column"";""color"",""grey"";""lowcolor"",""red"";""highcolor"",""black""}))"),"")</f>
        <v/>
      </c>
      <c r="J19" s="30">
        <f t="shared" si="2"/>
        <v>0.0873665892372701</v>
      </c>
      <c r="K19" s="30">
        <f t="shared" si="3"/>
        <v>0.0143336413919764</v>
      </c>
      <c r="L19" s="32">
        <f>[1]DATA!F24</f>
        <v>164.150417094566</v>
      </c>
      <c r="M19" s="32">
        <f>[1]DATA!G24</f>
        <v>-0.000674742533978668</v>
      </c>
      <c r="N19" s="32">
        <f>[1]DATA!H24</f>
        <v>0.00178343399174952</v>
      </c>
    </row>
    <row r="20" ht="14.25" spans="1:14">
      <c r="A20" s="31" t="s">
        <v>1091</v>
      </c>
      <c r="B20" s="10" t="str">
        <f>IFERROR(__xludf.DUMMYFUNCTION("GOOGLEFINANCE(B20,""name"")"),"Invesco S&amp;P 500 Low Volatility ETF")</f>
        <v>Invesco S&amp;P 500 Low Volatility ETF</v>
      </c>
      <c r="C20" s="21">
        <f>IFERROR(__xludf.DUMMYFUNCTION("GOOGLEFINANCE(B20)"),67.62)</f>
        <v>67.62</v>
      </c>
      <c r="D20" s="23">
        <f>IFERROR(__xludf.DUMMYFUNCTION("GOOGLEFINANCE(B20,""changepct"")/100"),-0.0043)</f>
        <v>-0.0043</v>
      </c>
      <c r="E20" s="23">
        <f>IFERROR(__xludf.DUMMYFUNCTION("$D20/(index(GOOGLEFINANCE($B20,""price"",workday(today(),-F$4),today()),2,2))-1"),0.0133373295369398)</f>
        <v>0.0133373295369398</v>
      </c>
      <c r="F20" s="23">
        <f>IFERROR(__xludf.DUMMYFUNCTION("$D20/(index(GOOGLEFINANCE($B20,""price"",workday(today(),-G$4),today()),2,2))-1"),0.0211416490486258)</f>
        <v>0.0211416490486258</v>
      </c>
      <c r="G20" s="32">
        <f>IFERROR(__xludf.DUMMYFUNCTION("$D20/(index(GOOGLEFINANCE($B20,""price"",$H$4,today()),2,2))-1"),0.0211416490486258)</f>
        <v>0.0211416490486258</v>
      </c>
      <c r="H20" s="33" t="str">
        <f>IFERROR(__xludf.DUMMYFUNCTION("IF(B20="""","""",SPARKLINE(INDEX(GOOGLEFINANCE($B20,""price"",$H$4,today()),,2),{""charttype"",""line""}))"),"")</f>
        <v/>
      </c>
      <c r="I20" s="29" t="str">
        <f>IFERROR(__xludf.DUMMYFUNCTION("IF(B20="""","""",SPARKLINE(INDEX(GOOGLEFINANCE($B20,""volume"",$H$4,today()),,2),{""charttype"",""column"";""color"",""grey"";""lowcolor"",""red"";""highcolor"",""black""}))"),"")</f>
        <v/>
      </c>
      <c r="J20" s="30">
        <f t="shared" si="2"/>
        <v>0.0651038203974267</v>
      </c>
      <c r="K20" s="30">
        <f t="shared" si="3"/>
        <v>0.0729081399091127</v>
      </c>
      <c r="L20" s="32">
        <f>[1]DATA!F25</f>
        <v>65.2089218261065</v>
      </c>
      <c r="M20" s="32">
        <f>[1]DATA!G25</f>
        <v>0.00676547277643657</v>
      </c>
      <c r="N20" s="32">
        <f>[1]DATA!H25</f>
        <v>0.0154577912046379</v>
      </c>
    </row>
    <row r="21" ht="14.25" spans="1:14">
      <c r="A21" s="20" t="s">
        <v>1092</v>
      </c>
      <c r="B21" s="10"/>
      <c r="C21" s="21"/>
      <c r="D21" s="23"/>
      <c r="E21" s="23"/>
      <c r="F21" s="23"/>
      <c r="G21" s="32"/>
      <c r="H21" s="33"/>
      <c r="I21" s="29"/>
      <c r="J21" s="29"/>
      <c r="K21" s="30"/>
      <c r="L21" s="32">
        <f>[1]DATA!F26</f>
        <v>0</v>
      </c>
      <c r="M21" s="32">
        <f>[1]DATA!G26</f>
        <v>0</v>
      </c>
      <c r="N21" s="32">
        <f>[1]DATA!H26</f>
        <v>0</v>
      </c>
    </row>
    <row r="22" ht="14.25" spans="1:14">
      <c r="A22" s="31" t="s">
        <v>1093</v>
      </c>
      <c r="B22" s="10" t="str">
        <f>IFERROR(__xludf.DUMMYFUNCTION("GOOGLEFINANCE(B22,""name"")"),"Invesco S&amp;P 500 Equal Weight Communication Svc ETF")</f>
        <v>Invesco S&amp;P 500 Equal Weight Communication Svc ETF</v>
      </c>
      <c r="C22" s="21">
        <f>IFERROR(__xludf.DUMMYFUNCTION("GOOGLEFINANCE(B22)"),30.52)</f>
        <v>30.52</v>
      </c>
      <c r="D22" s="23">
        <f>IFERROR(__xludf.DUMMYFUNCTION("GOOGLEFINANCE(B22,""changepct"")/100"),0)</f>
        <v>0</v>
      </c>
      <c r="E22" s="23">
        <f>IFERROR(__xludf.DUMMYFUNCTION("$D22/(index(GOOGLEFINANCE($B22,""price"",workday(today(),-F$4),today()),2,2))-1"),0.0286484664644421)</f>
        <v>0.0286484664644421</v>
      </c>
      <c r="F22" s="23">
        <f>IFERROR(__xludf.DUMMYFUNCTION("$D22/(index(GOOGLEFINANCE($B22,""price"",workday(today(),-G$4),today()),2,2))-1"),0.00394736842105269)</f>
        <v>0.00394736842105269</v>
      </c>
      <c r="G22" s="32">
        <f>IFERROR(__xludf.DUMMYFUNCTION("$D22/(index(GOOGLEFINANCE($B22,""price"",$H$4,today()),2,2))-1"),0.00394736842105269)</f>
        <v>0.00394736842105269</v>
      </c>
      <c r="H22" s="33" t="str">
        <f>IFERROR(__xludf.DUMMYFUNCTION("IF(B22="""","""",SPARKLINE(INDEX(GOOGLEFINANCE($B22,""price"",$H$4,today()),,2),{""charttype"",""line""}))"),"")</f>
        <v/>
      </c>
      <c r="I22" s="29" t="str">
        <f>IFERROR(__xludf.DUMMYFUNCTION("IF(B22="""","""",SPARKLINE(INDEX(GOOGLEFINANCE($B22,""volume"",$H$4,today()),,2),{""charttype"",""column"";""color"",""grey"";""lowcolor"",""red"";""highcolor"",""black""}))"),"")</f>
        <v/>
      </c>
      <c r="J22" s="30">
        <f t="shared" ref="J22:J32" si="4">E22-$F$6</f>
        <v>0.080414957324929</v>
      </c>
      <c r="K22" s="30">
        <f t="shared" ref="K22:K32" si="5">F22-$G$6</f>
        <v>0.0557138592815396</v>
      </c>
      <c r="L22" s="32">
        <f>[1]DATA!F27</f>
        <v>29.5339419188232</v>
      </c>
      <c r="M22" s="32">
        <f>[1]DATA!G27</f>
        <v>0.00641122712579373</v>
      </c>
      <c r="N22" s="32">
        <f>[1]DATA!H27</f>
        <v>0.012946924558633</v>
      </c>
    </row>
    <row r="23" ht="14.25" spans="1:14">
      <c r="A23" s="31" t="s">
        <v>1094</v>
      </c>
      <c r="B23" s="10" t="str">
        <f>IFERROR(__xludf.DUMMYFUNCTION("GOOGLEFINANCE(B23,""name"")"),"Invesco S&amp;P 500 Eql Wght Con DiscrtN ETF")</f>
        <v>Invesco S&amp;P 500 Eql Wght Con DiscrtN ETF</v>
      </c>
      <c r="C23" s="21">
        <f>IFERROR(__xludf.DUMMYFUNCTION("GOOGLEFINANCE(B23)"),45.97)</f>
        <v>45.97</v>
      </c>
      <c r="D23" s="23">
        <f>IFERROR(__xludf.DUMMYFUNCTION("GOOGLEFINANCE(B23,""changepct"")/100"),-0.0065)</f>
        <v>-0.0065</v>
      </c>
      <c r="E23" s="23">
        <f>IFERROR(__xludf.DUMMYFUNCTION("$D23/(index(GOOGLEFINANCE($B23,""price"",workday(today(),-F$4),today()),2,2))-1"),0.0147902869757174)</f>
        <v>0.0147902869757174</v>
      </c>
      <c r="F23" s="23">
        <f>IFERROR(__xludf.DUMMYFUNCTION("$D23/(index(GOOGLEFINANCE($B23,""price"",workday(today(),-G$4),today()),2,2))-1"),-0.0614536545528786)</f>
        <v>-0.0614536545528786</v>
      </c>
      <c r="G23" s="32">
        <f>IFERROR(__xludf.DUMMYFUNCTION("$D23/(index(GOOGLEFINANCE($B23,""price"",$H$4,today()),2,2))-1"),-0.0614536545528786)</f>
        <v>-0.0614536545528786</v>
      </c>
      <c r="H23" s="33" t="str">
        <f>IFERROR(__xludf.DUMMYFUNCTION("IF(B23="""","""",SPARKLINE(INDEX(GOOGLEFINANCE($B23,""price"",$H$4,today()),,2),{""charttype"",""line""}))"),"")</f>
        <v/>
      </c>
      <c r="I23" s="29" t="str">
        <f>IFERROR(__xludf.DUMMYFUNCTION("IF(B23="""","""",SPARKLINE(INDEX(GOOGLEFINANCE($B23,""volume"",$H$4,today()),,2),{""charttype"",""column"";""color"",""grey"";""lowcolor"",""red"";""highcolor"",""black""}))"),"")</f>
        <v/>
      </c>
      <c r="J23" s="30">
        <f t="shared" si="4"/>
        <v>0.0665567778362043</v>
      </c>
      <c r="K23" s="30">
        <f t="shared" si="5"/>
        <v>-0.0096871636923917</v>
      </c>
      <c r="L23" s="32">
        <f>[1]DATA!F28</f>
        <v>47.6076917745224</v>
      </c>
      <c r="M23" s="32">
        <f>[1]DATA!G28</f>
        <v>-0.0247993765669025</v>
      </c>
      <c r="N23" s="32">
        <f>[1]DATA!H28</f>
        <v>-0.0124555367067833</v>
      </c>
    </row>
    <row r="24" ht="14.25" spans="1:14">
      <c r="A24" s="31" t="s">
        <v>1095</v>
      </c>
      <c r="B24" s="10" t="str">
        <f>IFERROR(__xludf.DUMMYFUNCTION("GOOGLEFINANCE(B24,""name"")"),"Invesco S&amp;P 500 Eql Wght Con Staples ETF")</f>
        <v>Invesco S&amp;P 500 Eql Wght Con Staples ETF</v>
      </c>
      <c r="C24" s="21">
        <f>IFERROR(__xludf.DUMMYFUNCTION("GOOGLEFINANCE(B24)"),31.11)</f>
        <v>31.11</v>
      </c>
      <c r="D24" s="23">
        <f>IFERROR(__xludf.DUMMYFUNCTION("GOOGLEFINANCE(B24,""changepct"")/100"),-0.0092)</f>
        <v>-0.0092</v>
      </c>
      <c r="E24" s="23">
        <f>IFERROR(__xludf.DUMMYFUNCTION("$D24/(index(GOOGLEFINANCE($B24,""price"",workday(today(),-F$4),today()),2,2))-1"),0.00193236714975841)</f>
        <v>0.00193236714975841</v>
      </c>
      <c r="F24" s="23">
        <f>IFERROR(__xludf.DUMMYFUNCTION("$D24/(index(GOOGLEFINANCE($B24,""price"",workday(today(),-G$4),today()),2,2))-1"),0.0133550488599347)</f>
        <v>0.0133550488599347</v>
      </c>
      <c r="G24" s="32">
        <f>IFERROR(__xludf.DUMMYFUNCTION("$D24/(index(GOOGLEFINANCE($B24,""price"",$H$4,today()),2,2))-1"),0.0133550488599347)</f>
        <v>0.0133550488599347</v>
      </c>
      <c r="H24" s="33" t="str">
        <f>IFERROR(__xludf.DUMMYFUNCTION("IF(B24="""","""",SPARKLINE(INDEX(GOOGLEFINANCE($B24,""price"",$H$4,today()),,2),{""charttype"",""line""}))"),"")</f>
        <v/>
      </c>
      <c r="I24" s="29" t="str">
        <f>IFERROR(__xludf.DUMMYFUNCTION("IF(B24="""","""",SPARKLINE(INDEX(GOOGLEFINANCE($B24,""volume"",$H$4,today()),,2),{""charttype"",""column"";""color"",""grey"";""lowcolor"",""red"";""highcolor"",""black""}))"),"")</f>
        <v/>
      </c>
      <c r="J24" s="30">
        <f t="shared" si="4"/>
        <v>0.0536988580102453</v>
      </c>
      <c r="K24" s="30">
        <f t="shared" si="5"/>
        <v>0.0651215397204216</v>
      </c>
      <c r="L24" s="32">
        <f>[1]DATA!F29</f>
        <v>31.3674812971138</v>
      </c>
      <c r="M24" s="32">
        <f>[1]DATA!G29</f>
        <v>-0.00237259771032012</v>
      </c>
      <c r="N24" s="32">
        <f>[1]DATA!H29</f>
        <v>-0.00188366705235733</v>
      </c>
    </row>
    <row r="25" ht="14.25" spans="1:14">
      <c r="A25" s="31" t="s">
        <v>1096</v>
      </c>
      <c r="B25" s="10" t="str">
        <f>IFERROR(__xludf.DUMMYFUNCTION("GOOGLEFINANCE(B25,""name"")"),"Invesco S&amp;P 500 Eql Wght Energy ETF")</f>
        <v>Invesco S&amp;P 500 Eql Wght Energy ETF</v>
      </c>
      <c r="C25" s="21">
        <f>IFERROR(__xludf.DUMMYFUNCTION("GOOGLEFINANCE(B25)"),78.95)</f>
        <v>78.95</v>
      </c>
      <c r="D25" s="23">
        <f>IFERROR(__xludf.DUMMYFUNCTION("GOOGLEFINANCE(B25,""changepct"")/100"),0.00819999999999999)</f>
        <v>0.00819999999999999</v>
      </c>
      <c r="E25" s="23">
        <f>IFERROR(__xludf.DUMMYFUNCTION("$D25/(index(GOOGLEFINANCE($B25,""price"",workday(today(),-F$4),today()),2,2))-1"),0.0465270413573701)</f>
        <v>0.0465270413573701</v>
      </c>
      <c r="F25" s="23">
        <f>IFERROR(__xludf.DUMMYFUNCTION("$D25/(index(GOOGLEFINANCE($B25,""price"",workday(today(),-G$4),today()),2,2))-1"),-0.0344869756634461)</f>
        <v>-0.0344869756634461</v>
      </c>
      <c r="G25" s="32">
        <f>IFERROR(__xludf.DUMMYFUNCTION("$D25/(index(GOOGLEFINANCE($B25,""price"",$H$4,today()),2,2))-1"),-0.0344869756634461)</f>
        <v>-0.0344869756634461</v>
      </c>
      <c r="H25" s="33" t="str">
        <f>IFERROR(__xludf.DUMMYFUNCTION("IF(B25="""","""",SPARKLINE(INDEX(GOOGLEFINANCE($B25,""price"",$H$4,today()),,2),{""charttype"",""line""}))"),"")</f>
        <v/>
      </c>
      <c r="I25" s="29" t="str">
        <f>IFERROR(__xludf.DUMMYFUNCTION("IF(B25="""","""",SPARKLINE(INDEX(GOOGLEFINANCE($B25,""volume"",$H$4,today()),,2),{""charttype"",""column"";""color"",""grey"";""lowcolor"",""red"";""highcolor"",""black""}))"),"")</f>
        <v/>
      </c>
      <c r="J25" s="30">
        <f t="shared" si="4"/>
        <v>0.098293532217857</v>
      </c>
      <c r="K25" s="30">
        <f t="shared" si="5"/>
        <v>0.0172795151970408</v>
      </c>
      <c r="L25" s="32">
        <f>[1]DATA!F30</f>
        <v>79.3972142205849</v>
      </c>
      <c r="M25" s="32">
        <f>[1]DATA!G30</f>
        <v>-0.00339767804779704</v>
      </c>
      <c r="N25" s="32">
        <f>[1]DATA!H30</f>
        <v>-0.00893398559355301</v>
      </c>
    </row>
    <row r="26" ht="14.25" spans="1:14">
      <c r="A26" s="31" t="s">
        <v>1097</v>
      </c>
      <c r="B26" s="10" t="str">
        <f>IFERROR(__xludf.DUMMYFUNCTION("GOOGLEFINANCE(B26,""name"")"),"Invesco S&amp;P 500 Eql Wght Financials ETF")</f>
        <v>Invesco S&amp;P 500 Eql Wght Financials ETF</v>
      </c>
      <c r="C26" s="21">
        <f>IFERROR(__xludf.DUMMYFUNCTION("GOOGLEFINANCE(B26)"),63.85)</f>
        <v>63.85</v>
      </c>
      <c r="D26" s="23">
        <f>IFERROR(__xludf.DUMMYFUNCTION("GOOGLEFINANCE(B26,""changepct"")/100"),0.0001)</f>
        <v>0.0001</v>
      </c>
      <c r="E26" s="23">
        <f>IFERROR(__xludf.DUMMYFUNCTION("$D26/(index(GOOGLEFINANCE($B26,""price"",workday(today(),-F$4),today()),2,2))-1"),0.0331715210355987)</f>
        <v>0.0331715210355987</v>
      </c>
      <c r="F26" s="23">
        <f>IFERROR(__xludf.DUMMYFUNCTION("$D26/(index(GOOGLEFINANCE($B26,""price"",workday(today(),-G$4),today()),2,2))-1"),-0.00622568093385211)</f>
        <v>-0.00622568093385211</v>
      </c>
      <c r="G26" s="32">
        <f>IFERROR(__xludf.DUMMYFUNCTION("$D26/(index(GOOGLEFINANCE($B26,""price"",$H$4,today()),2,2))-1"),-0.00622568093385211)</f>
        <v>-0.00622568093385211</v>
      </c>
      <c r="H26" s="33" t="str">
        <f>IFERROR(__xludf.DUMMYFUNCTION("IF(B26="""","""",SPARKLINE(INDEX(GOOGLEFINANCE($B26,""price"",$H$4,today()),,2),{""charttype"",""line""}))"),"")</f>
        <v/>
      </c>
      <c r="I26" s="29" t="str">
        <f>IFERROR(__xludf.DUMMYFUNCTION("IF(B26="""","""",SPARKLINE(INDEX(GOOGLEFINANCE($B26,""volume"",$H$4,today()),,2),{""charttype"",""column"";""color"",""grey"";""lowcolor"",""red"";""highcolor"",""black""}))"),"")</f>
        <v/>
      </c>
      <c r="J26" s="30">
        <f t="shared" si="4"/>
        <v>0.0849380118960856</v>
      </c>
      <c r="K26" s="30">
        <f t="shared" si="5"/>
        <v>0.0455408099266348</v>
      </c>
      <c r="L26" s="32">
        <f>[1]DATA!F31</f>
        <v>61.7142519349055</v>
      </c>
      <c r="M26" s="32">
        <f>[1]DATA!G31</f>
        <v>0.000470701485959529</v>
      </c>
      <c r="N26" s="32">
        <f>[1]DATA!H31</f>
        <v>0.0137851554633086</v>
      </c>
    </row>
    <row r="27" ht="14.25" spans="1:14">
      <c r="A27" s="31" t="s">
        <v>1098</v>
      </c>
      <c r="B27" s="10" t="str">
        <f>IFERROR(__xludf.DUMMYFUNCTION("GOOGLEFINANCE(B27,""name"")"),"Invesco S&amp;P 500 Eql Wght Health Care ETF")</f>
        <v>Invesco S&amp;P 500 Eql Wght Health Care ETF</v>
      </c>
      <c r="C27" s="21">
        <f>IFERROR(__xludf.DUMMYFUNCTION("GOOGLEFINANCE(B27)"),30.73)</f>
        <v>30.73</v>
      </c>
      <c r="D27" s="23">
        <f>IFERROR(__xludf.DUMMYFUNCTION("GOOGLEFINANCE(B27,""changepct"")/100"),-0.0036)</f>
        <v>-0.0036</v>
      </c>
      <c r="E27" s="23">
        <f>IFERROR(__xludf.DUMMYFUNCTION("$D27/(index(GOOGLEFINANCE($B27,""price"",workday(today(),-F$4),today()),2,2))-1"),0.00097719869706836)</f>
        <v>0.00097719869706836</v>
      </c>
      <c r="F27" s="23">
        <f>IFERROR(__xludf.DUMMYFUNCTION("$D27/(index(GOOGLEFINANCE($B27,""price"",workday(today(),-G$4),today()),2,2))-1"),0.015196564255038)</f>
        <v>0.015196564255038</v>
      </c>
      <c r="G27" s="32">
        <f>IFERROR(__xludf.DUMMYFUNCTION("$D27/(index(GOOGLEFINANCE($B27,""price"",$H$4,today()),2,2))-1"),0.015196564255038)</f>
        <v>0.015196564255038</v>
      </c>
      <c r="H27" s="33" t="str">
        <f>IFERROR(__xludf.DUMMYFUNCTION("IF(B27="""","""",SPARKLINE(INDEX(GOOGLEFINANCE($B27,""price"",$H$4,today()),,2),{""charttype"",""line""}))"),"")</f>
        <v/>
      </c>
      <c r="I27" s="29" t="str">
        <f>IFERROR(__xludf.DUMMYFUNCTION("IF(B27="""","""",SPARKLINE(INDEX(GOOGLEFINANCE($B27,""volume"",$H$4,today()),,2),{""charttype"",""column"";""color"",""grey"";""lowcolor"",""red"";""highcolor"",""black""}))"),"")</f>
        <v/>
      </c>
      <c r="J27" s="30">
        <f t="shared" si="4"/>
        <v>0.0527436895575553</v>
      </c>
      <c r="K27" s="30">
        <f t="shared" si="5"/>
        <v>0.0669630551155249</v>
      </c>
      <c r="L27" s="32">
        <f>[1]DATA!F32</f>
        <v>30.3836537753283</v>
      </c>
      <c r="M27" s="32">
        <f>[1]DATA!G32</f>
        <v>-0.00391502757540107</v>
      </c>
      <c r="N27" s="32">
        <f>[1]DATA!H32</f>
        <v>0.00773834340360097</v>
      </c>
    </row>
    <row r="28" ht="14.25" spans="1:14">
      <c r="A28" s="31" t="s">
        <v>1099</v>
      </c>
      <c r="B28" s="10" t="str">
        <f>IFERROR(__xludf.DUMMYFUNCTION("GOOGLEFINANCE(B28,""name"")"),"Invesco S&amp;P 500 Eql Wght Industrials ETF")</f>
        <v>Invesco S&amp;P 500 Eql Wght Industrials ETF</v>
      </c>
      <c r="C28" s="21">
        <f>IFERROR(__xludf.DUMMYFUNCTION("GOOGLEFINANCE(B28)"),46.29)</f>
        <v>46.29</v>
      </c>
      <c r="D28" s="23">
        <f>IFERROR(__xludf.DUMMYFUNCTION("GOOGLEFINANCE(B28,""changepct"")/100"),-0.0045)</f>
        <v>-0.0045</v>
      </c>
      <c r="E28" s="23">
        <f>IFERROR(__xludf.DUMMYFUNCTION("$D28/(index(GOOGLEFINANCE($B28,""price"",workday(today(),-F$4),today()),2,2))-1"),0.0184818481848183)</f>
        <v>0.0184818481848183</v>
      </c>
      <c r="F28" s="23">
        <f>IFERROR(__xludf.DUMMYFUNCTION("$D28/(index(GOOGLEFINANCE($B28,""price"",workday(today(),-G$4),today()),2,2))-1"),-0.0117421007685739)</f>
        <v>-0.0117421007685739</v>
      </c>
      <c r="G28" s="32">
        <f>IFERROR(__xludf.DUMMYFUNCTION("$D28/(index(GOOGLEFINANCE($B28,""price"",$H$4,today()),2,2))-1"),-0.0117421007685739)</f>
        <v>-0.0117421007685739</v>
      </c>
      <c r="H28" s="33" t="str">
        <f>IFERROR(__xludf.DUMMYFUNCTION("IF(B28="""","""",SPARKLINE(INDEX(GOOGLEFINANCE($B28,""price"",$H$4,today()),,2),{""charttype"",""line""}))"),"")</f>
        <v/>
      </c>
      <c r="I28" s="29" t="str">
        <f>IFERROR(__xludf.DUMMYFUNCTION("IF(B28="""","""",SPARKLINE(INDEX(GOOGLEFINANCE($B28,""volume"",$H$4,today()),,2),{""charttype"",""column"";""color"",""grey"";""lowcolor"",""red"";""highcolor"",""black""}))"),"")</f>
        <v/>
      </c>
      <c r="J28" s="30">
        <f t="shared" si="4"/>
        <v>0.0702483390453052</v>
      </c>
      <c r="K28" s="30">
        <f t="shared" si="5"/>
        <v>0.040024390091913</v>
      </c>
      <c r="L28" s="32">
        <f>[1]DATA!F33</f>
        <v>45.641185023979</v>
      </c>
      <c r="M28" s="32">
        <f>[1]DATA!G33</f>
        <v>-0.00546312090926073</v>
      </c>
      <c r="N28" s="32">
        <f>[1]DATA!H33</f>
        <v>0.00502034149483437</v>
      </c>
    </row>
    <row r="29" ht="14.25" spans="1:14">
      <c r="A29" s="31" t="s">
        <v>1100</v>
      </c>
      <c r="B29" s="10" t="str">
        <f>IFERROR(__xludf.DUMMYFUNCTION("GOOGLEFINANCE(B29,""name"")"),"Invesco S&amp;P 500 Eql Wght Materials ETF")</f>
        <v>Invesco S&amp;P 500 Eql Wght Materials ETF</v>
      </c>
      <c r="C29" s="21">
        <f>IFERROR(__xludf.DUMMYFUNCTION("GOOGLEFINANCE(B29)"),34.26)</f>
        <v>34.26</v>
      </c>
      <c r="D29" s="23">
        <f>IFERROR(__xludf.DUMMYFUNCTION("GOOGLEFINANCE(B29,""changepct"")/100"),0.0002)</f>
        <v>0.0002</v>
      </c>
      <c r="E29" s="23">
        <f>IFERROR(__xludf.DUMMYFUNCTION("$D29/(index(GOOGLEFINANCE($B29,""price"",workday(today(),-F$4),today()),2,2))-1"),0.00705467372134016)</f>
        <v>0.00705467372134016</v>
      </c>
      <c r="F29" s="23">
        <f>IFERROR(__xludf.DUMMYFUNCTION("$D29/(index(GOOGLEFINANCE($B29,""price"",workday(today(),-G$4),today()),2,2))-1"),-0.0255972696245733)</f>
        <v>-0.0255972696245733</v>
      </c>
      <c r="G29" s="32">
        <f>IFERROR(__xludf.DUMMYFUNCTION("$D29/(index(GOOGLEFINANCE($B29,""price"",$H$4,today()),2,2))-1"),-0.0255972696245733)</f>
        <v>-0.0255972696245733</v>
      </c>
      <c r="H29" s="33" t="str">
        <f>IFERROR(__xludf.DUMMYFUNCTION("IF(B29="""","""",SPARKLINE(INDEX(GOOGLEFINANCE($B29,""price"",$H$4,today()),,2),{""charttype"",""line""}))"),"")</f>
        <v/>
      </c>
      <c r="I29" s="29" t="str">
        <f>IFERROR(__xludf.DUMMYFUNCTION("IF(B29="""","""",SPARKLINE(INDEX(GOOGLEFINANCE($B29,""volume"",$H$4,today()),,2),{""charttype"",""column"";""color"",""grey"";""lowcolor"",""red"";""highcolor"",""black""}))"),"")</f>
        <v/>
      </c>
      <c r="J29" s="30">
        <f t="shared" si="4"/>
        <v>0.0588211645818271</v>
      </c>
      <c r="K29" s="30">
        <f t="shared" si="5"/>
        <v>0.0261692212359136</v>
      </c>
      <c r="L29" s="32">
        <f>[1]DATA!F34</f>
        <v>34.6981640743464</v>
      </c>
      <c r="M29" s="32">
        <f>[1]DATA!G34</f>
        <v>-0.014718991890688</v>
      </c>
      <c r="N29" s="32">
        <f>[1]DATA!H34</f>
        <v>-0.00560340801174194</v>
      </c>
    </row>
    <row r="30" ht="14.25" spans="1:14">
      <c r="A30" s="31" t="s">
        <v>1101</v>
      </c>
      <c r="B30" s="10" t="str">
        <f>IFERROR(__xludf.DUMMYFUNCTION("GOOGLEFINANCE(B30,""name"")"),"Invesco S&amp;P 500 Equal Weight Real Estate ETF")</f>
        <v>Invesco S&amp;P 500 Equal Weight Real Estate ETF</v>
      </c>
      <c r="C30" s="21">
        <f>IFERROR(__xludf.DUMMYFUNCTION("GOOGLEFINANCE(B30)"),35.41)</f>
        <v>35.41</v>
      </c>
      <c r="D30" s="23">
        <f>IFERROR(__xludf.DUMMYFUNCTION("GOOGLEFINANCE(B30,""changepct"")/100"),0)</f>
        <v>0</v>
      </c>
      <c r="E30" s="23">
        <f>IFERROR(__xludf.DUMMYFUNCTION("$D30/(index(GOOGLEFINANCE($B30,""price"",workday(today(),-F$4),today()),2,2))-1"),0.0314593649868919)</f>
        <v>0.0314593649868919</v>
      </c>
      <c r="F30" s="23">
        <f>IFERROR(__xludf.DUMMYFUNCTION("$D30/(index(GOOGLEFINANCE($B30,""price"",workday(today(),-G$4),today()),2,2))-1"),0.0402467685076379)</f>
        <v>0.0402467685076379</v>
      </c>
      <c r="G30" s="32">
        <f>IFERROR(__xludf.DUMMYFUNCTION("$D30/(index(GOOGLEFINANCE($B30,""price"",$H$4,today()),2,2))-1"),0.0402467685076379)</f>
        <v>0.0402467685076379</v>
      </c>
      <c r="H30" s="33" t="str">
        <f>IFERROR(__xludf.DUMMYFUNCTION("IF(B30="""","""",SPARKLINE(INDEX(GOOGLEFINANCE($B30,""price"",$H$4,today()),,2),{""charttype"",""line""}))"),"")</f>
        <v/>
      </c>
      <c r="I30" s="29" t="str">
        <f>IFERROR(__xludf.DUMMYFUNCTION("IF(B30="""","""",SPARKLINE(INDEX(GOOGLEFINANCE($B30,""volume"",$H$4,today()),,2),{""charttype"",""column"";""color"",""grey"";""lowcolor"",""red"";""highcolor"",""black""}))"),"")</f>
        <v/>
      </c>
      <c r="J30" s="30">
        <f t="shared" si="4"/>
        <v>0.0832258558473788</v>
      </c>
      <c r="K30" s="30">
        <f t="shared" si="5"/>
        <v>0.0920132593681248</v>
      </c>
      <c r="L30" s="32">
        <f>[1]DATA!F35</f>
        <v>32.789330343566</v>
      </c>
      <c r="M30" s="32">
        <f>[1]DATA!G35</f>
        <v>0.0229813004564033</v>
      </c>
      <c r="N30" s="32">
        <f>[1]DATA!H35</f>
        <v>0.0325309257376443</v>
      </c>
    </row>
    <row r="31" ht="14.25" spans="1:14">
      <c r="A31" s="31" t="s">
        <v>1102</v>
      </c>
      <c r="B31" s="10" t="str">
        <f>IFERROR(__xludf.DUMMYFUNCTION("GOOGLEFINANCE(B31,""name"")"),"Invesco S&amp;P 500 Eql Wght Technology ETF")</f>
        <v>Invesco S&amp;P 500 Eql Wght Technology ETF</v>
      </c>
      <c r="C31" s="21">
        <f>IFERROR(__xludf.DUMMYFUNCTION("GOOGLEFINANCE(B31)"),34.82)</f>
        <v>34.82</v>
      </c>
      <c r="D31" s="23">
        <f>IFERROR(__xludf.DUMMYFUNCTION("GOOGLEFINANCE(B31,""changepct"")/100"),-0.0006)</f>
        <v>-0.0006</v>
      </c>
      <c r="E31" s="23">
        <f>IFERROR(__xludf.DUMMYFUNCTION("$D31/(index(GOOGLEFINANCE($B31,""price"",workday(today(),-F$4),today()),2,2))-1"),0.0378539493293592)</f>
        <v>0.0378539493293592</v>
      </c>
      <c r="F31" s="23">
        <f>IFERROR(__xludf.DUMMYFUNCTION("$D31/(index(GOOGLEFINANCE($B31,""price"",workday(today(),-G$4),today()),2,2))-1"),-0.0863290474940959)</f>
        <v>-0.0863290474940959</v>
      </c>
      <c r="G31" s="32">
        <f>IFERROR(__xludf.DUMMYFUNCTION("$D31/(index(GOOGLEFINANCE($B31,""price"",$H$4,today()),2,2))-1"),-0.0863290474940959)</f>
        <v>-0.0863290474940959</v>
      </c>
      <c r="H31" s="33" t="str">
        <f>IFERROR(__xludf.DUMMYFUNCTION("IF(B31="""","""",SPARKLINE(INDEX(GOOGLEFINANCE($B31,""price"",$H$4,today()),,2),{""charttype"",""line""}))"),"")</f>
        <v/>
      </c>
      <c r="I31" s="29" t="str">
        <f>IFERROR(__xludf.DUMMYFUNCTION("IF(B31="""","""",SPARKLINE(INDEX(GOOGLEFINANCE($B31,""volume"",$H$4,today()),,2),{""charttype"",""column"";""color"",""grey"";""lowcolor"",""red"";""highcolor"",""black""}))"),"")</f>
        <v/>
      </c>
      <c r="J31" s="30">
        <f t="shared" si="4"/>
        <v>0.0896204401898461</v>
      </c>
      <c r="K31" s="30">
        <f t="shared" si="5"/>
        <v>-0.034562556633609</v>
      </c>
      <c r="L31" s="32">
        <f>[1]DATA!F36</f>
        <v>34.9117941161229</v>
      </c>
      <c r="M31" s="32">
        <f>[1]DATA!G36</f>
        <v>-0.0171297512524247</v>
      </c>
      <c r="N31" s="32">
        <f>[1]DATA!H36</f>
        <v>-0.00724565283925089</v>
      </c>
    </row>
    <row r="32" ht="14.25" spans="1:14">
      <c r="A32" s="31" t="s">
        <v>1103</v>
      </c>
      <c r="B32" s="10" t="str">
        <f>IFERROR(__xludf.DUMMYFUNCTION("GOOGLEFINANCE(B32,""name"")"),"Invesco S&amp;P 500 Eql Wght Utilities ETF")</f>
        <v>Invesco S&amp;P 500 Eql Wght Utilities ETF</v>
      </c>
      <c r="C32" s="21">
        <f>IFERROR(__xludf.DUMMYFUNCTION("GOOGLEFINANCE(B32)"),62.56)</f>
        <v>62.56</v>
      </c>
      <c r="D32" s="23">
        <f>IFERROR(__xludf.DUMMYFUNCTION("GOOGLEFINANCE(B32,""changepct"")/100"),0.0003)</f>
        <v>0.0003</v>
      </c>
      <c r="E32" s="23">
        <f>IFERROR(__xludf.DUMMYFUNCTION("$D32/(index(GOOGLEFINANCE($B32,""price"",workday(today(),-F$4),today()),2,2))-1"),0.0178978197201431)</f>
        <v>0.0178978197201431</v>
      </c>
      <c r="F32" s="23">
        <f>IFERROR(__xludf.DUMMYFUNCTION("$D32/(index(GOOGLEFINANCE($B32,""price"",workday(today(),-G$4),today()),2,2))-1"),0.0592617676938707)</f>
        <v>0.0592617676938707</v>
      </c>
      <c r="G32" s="32">
        <f>IFERROR(__xludf.DUMMYFUNCTION("$D32/(index(GOOGLEFINANCE($B32,""price"",$H$4,today()),2,2))-1"),0.0592617676938707)</f>
        <v>0.0592617676938707</v>
      </c>
      <c r="H32" s="33" t="str">
        <f>IFERROR(__xludf.DUMMYFUNCTION("IF(B32="""","""",SPARKLINE(INDEX(GOOGLEFINANCE($B32,""price"",$H$4,today()),,2),{""charttype"",""line""}))"),"")</f>
        <v/>
      </c>
      <c r="I32" s="29" t="str">
        <f>IFERROR(__xludf.DUMMYFUNCTION("IF(B32="""","""",SPARKLINE(INDEX(GOOGLEFINANCE($B32,""volume"",$H$4,today()),,2),{""charttype"",""column"";""color"",""grey"";""lowcolor"",""red"";""highcolor"",""black""}))"),"")</f>
        <v/>
      </c>
      <c r="J32" s="30">
        <f t="shared" si="4"/>
        <v>0.06966431058063</v>
      </c>
      <c r="K32" s="30">
        <f t="shared" si="5"/>
        <v>0.111028258554358</v>
      </c>
      <c r="L32" s="32">
        <f>[1]DATA!F37</f>
        <v>58.4930053871655</v>
      </c>
      <c r="M32" s="32">
        <f>[1]DATA!G37</f>
        <v>0.0178414788900396</v>
      </c>
      <c r="N32" s="32">
        <f>[1]DATA!H37</f>
        <v>0.0247540173155631</v>
      </c>
    </row>
    <row r="33" ht="14.25" spans="1:14">
      <c r="A33" s="20" t="s">
        <v>1104</v>
      </c>
      <c r="B33" s="10"/>
      <c r="C33" s="21"/>
      <c r="D33" s="23"/>
      <c r="E33" s="23"/>
      <c r="F33" s="23"/>
      <c r="G33" s="32"/>
      <c r="H33" s="33"/>
      <c r="I33" s="29"/>
      <c r="J33" s="29"/>
      <c r="K33" s="30"/>
      <c r="L33" s="32">
        <f>[1]DATA!F38</f>
        <v>0</v>
      </c>
      <c r="M33" s="32">
        <f>[1]DATA!G38</f>
        <v>0</v>
      </c>
      <c r="N33" s="32">
        <f>[1]DATA!H38</f>
        <v>0</v>
      </c>
    </row>
    <row r="34" ht="14.25" spans="1:14">
      <c r="A34" s="31" t="s">
        <v>1105</v>
      </c>
      <c r="B34" s="10" t="str">
        <f>IFERROR(__xludf.DUMMYFUNCTION("GOOGLEFINANCE(B34,""name"")"),"iShares Russell Top 200 Growth Index Fund")</f>
        <v>iShares Russell Top 200 Growth Index Fund</v>
      </c>
      <c r="C34" s="21">
        <f>IFERROR(__xludf.DUMMYFUNCTION("GOOGLEFINANCE(B34)"),203.25)</f>
        <v>203.25</v>
      </c>
      <c r="D34" s="23">
        <f>IFERROR(__xludf.DUMMYFUNCTION("GOOGLEFINANCE(B34,""changepct"")/100"),0.004)</f>
        <v>0.004</v>
      </c>
      <c r="E34" s="23">
        <f>IFERROR(__xludf.DUMMYFUNCTION("$D34/(index(GOOGLEFINANCE($B34,""price"",workday(today(),-F$4),today()),2,2))-1"),0.0441282235693003)</f>
        <v>0.0441282235693003</v>
      </c>
      <c r="F34" s="23">
        <f>IFERROR(__xludf.DUMMYFUNCTION("$D34/(index(GOOGLEFINANCE($B34,""price"",workday(today(),-G$4),today()),2,2))-1"),-0.0860239230146595)</f>
        <v>-0.0860239230146595</v>
      </c>
      <c r="G34" s="32">
        <f>IFERROR(__xludf.DUMMYFUNCTION("$D34/(index(GOOGLEFINANCE($B34,""price"",$H$4,today()),2,2))-1"),-0.0860239230146595)</f>
        <v>-0.0860239230146595</v>
      </c>
      <c r="H34" s="33" t="str">
        <f>IFERROR(__xludf.DUMMYFUNCTION("IF(B34="""","""",SPARKLINE(INDEX(GOOGLEFINANCE($B34,""price"",$H$4,today()),,2),{""charttype"",""line""}))"),"")</f>
        <v/>
      </c>
      <c r="I34" s="29" t="str">
        <f>IFERROR(__xludf.DUMMYFUNCTION("IF(B34="""","""",SPARKLINE(INDEX(GOOGLEFINANCE($B34,""volume"",$H$4,today()),,2),{""charttype"",""column"";""color"",""grey"";""lowcolor"",""red"";""highcolor"",""black""}))"),"")</f>
        <v/>
      </c>
      <c r="J34" s="30">
        <f t="shared" ref="J34:J37" si="6">E34-$F$6</f>
        <v>0.0958947144297872</v>
      </c>
      <c r="K34" s="30">
        <f t="shared" ref="K34:K37" si="7">F34-$G$6</f>
        <v>-0.0342574321541726</v>
      </c>
      <c r="L34" s="32">
        <f>[1]DATA!F39</f>
        <v>200.433430767819</v>
      </c>
      <c r="M34" s="32">
        <f>[1]DATA!G39</f>
        <v>-0.0118212774539562</v>
      </c>
      <c r="N34" s="32">
        <f>[1]DATA!H39</f>
        <v>-0.0052950835467927</v>
      </c>
    </row>
    <row r="35" ht="14.25" spans="1:14">
      <c r="A35" s="31" t="s">
        <v>1106</v>
      </c>
      <c r="B35" s="10" t="str">
        <f>IFERROR(__xludf.DUMMYFUNCTION("GOOGLEFINANCE(B35,""name"")"),"iShares S&amp;P 500 Growth ETF")</f>
        <v>iShares S&amp;P 500 Growth ETF</v>
      </c>
      <c r="C35" s="21">
        <f>IFERROR(__xludf.DUMMYFUNCTION("GOOGLEFINANCE(B35)"),88.37)</f>
        <v>88.37</v>
      </c>
      <c r="D35" s="23">
        <f>IFERROR(__xludf.DUMMYFUNCTION("GOOGLEFINANCE(B35,""changepct"")/100"),0.00349999999999999)</f>
        <v>0.00349999999999999</v>
      </c>
      <c r="E35" s="23">
        <f>IFERROR(__xludf.DUMMYFUNCTION("$D35/(index(GOOGLEFINANCE($B35,""price"",workday(today(),-F$4),today()),2,2))-1"),0.0424678541937006)</f>
        <v>0.0424678541937006</v>
      </c>
      <c r="F35" s="23">
        <f>IFERROR(__xludf.DUMMYFUNCTION("$D35/(index(GOOGLEFINANCE($B35,""price"",workday(today(),-G$4),today()),2,2))-1"),-0.0798625572678051)</f>
        <v>-0.0798625572678051</v>
      </c>
      <c r="G35" s="32">
        <f>IFERROR(__xludf.DUMMYFUNCTION("$D35/(index(GOOGLEFINANCE($B35,""price"",$H$4,today()),2,2))-1"),-0.0798625572678051)</f>
        <v>-0.0798625572678051</v>
      </c>
      <c r="H35" s="33" t="str">
        <f>IFERROR(__xludf.DUMMYFUNCTION("IF(B35="""","""",SPARKLINE(INDEX(GOOGLEFINANCE($B35,""price"",$H$4,today()),,2),{""charttype"",""line""}))"),"")</f>
        <v/>
      </c>
      <c r="I35" s="29" t="str">
        <f>IFERROR(__xludf.DUMMYFUNCTION("IF(B35="""","""",SPARKLINE(INDEX(GOOGLEFINANCE($B35,""volume"",$H$4,today()),,2),{""charttype"",""column"";""color"",""grey"";""lowcolor"",""red"";""highcolor"",""black""}))"),"")</f>
        <v/>
      </c>
      <c r="J35" s="30">
        <f t="shared" si="6"/>
        <v>0.0942343450541875</v>
      </c>
      <c r="K35" s="30">
        <f t="shared" si="7"/>
        <v>-0.0280960664073182</v>
      </c>
      <c r="L35" s="32">
        <f>[1]DATA!F40</f>
        <v>86.7463067191645</v>
      </c>
      <c r="M35" s="32">
        <f>[1]DATA!G40</f>
        <v>-0.0102825059613357</v>
      </c>
      <c r="N35" s="32">
        <f>[1]DATA!H40</f>
        <v>-0.00265185512978837</v>
      </c>
    </row>
    <row r="36" ht="14.25" spans="1:14">
      <c r="A36" s="31" t="s">
        <v>1107</v>
      </c>
      <c r="B36" s="10" t="str">
        <f>IFERROR(__xludf.DUMMYFUNCTION("GOOGLEFINANCE(B36,""name"")"),"iShares Russell 1000 Growth")</f>
        <v>iShares Russell 1000 Growth</v>
      </c>
      <c r="C36" s="21">
        <f>IFERROR(__xludf.DUMMYFUNCTION("GOOGLEFINANCE(B36)"),346.64)</f>
        <v>346.64</v>
      </c>
      <c r="D36" s="23">
        <f>IFERROR(__xludf.DUMMYFUNCTION("GOOGLEFINANCE(B36,""changepct"")/100"),0.0029)</f>
        <v>0.0029</v>
      </c>
      <c r="E36" s="23">
        <f>IFERROR(__xludf.DUMMYFUNCTION("$D36/(index(GOOGLEFINANCE($B36,""price"",workday(today(),-F$4),today()),2,2))-1"),0.0440334919583158)</f>
        <v>0.0440334919583158</v>
      </c>
      <c r="F36" s="23">
        <f>IFERROR(__xludf.DUMMYFUNCTION("$D36/(index(GOOGLEFINANCE($B36,""price"",workday(today(),-G$4),today()),2,2))-1"),-0.082890176469032)</f>
        <v>-0.082890176469032</v>
      </c>
      <c r="G36" s="32">
        <f>IFERROR(__xludf.DUMMYFUNCTION("$D36/(index(GOOGLEFINANCE($B36,""price"",$H$4,today()),2,2))-1"),-0.082890176469032)</f>
        <v>-0.082890176469032</v>
      </c>
      <c r="H36" s="33" t="str">
        <f>IFERROR(__xludf.DUMMYFUNCTION("IF(B36="""","""",SPARKLINE(INDEX(GOOGLEFINANCE($B36,""price"",$H$4,today()),,2),{""charttype"",""line""}))"),"")</f>
        <v/>
      </c>
      <c r="I36" s="29" t="str">
        <f>IFERROR(__xludf.DUMMYFUNCTION("IF(B36="""","""",SPARKLINE(INDEX(GOOGLEFINANCE($B36,""volume"",$H$4,today()),,2),{""charttype"",""column"";""color"",""grey"";""lowcolor"",""red"";""highcolor"",""black""}))"),"")</f>
        <v/>
      </c>
      <c r="J36" s="30">
        <f t="shared" si="6"/>
        <v>0.0957999828188027</v>
      </c>
      <c r="K36" s="30">
        <f t="shared" si="7"/>
        <v>-0.0311236856085451</v>
      </c>
      <c r="L36" s="32">
        <f>[1]DATA!F41</f>
        <v>342.82144967858</v>
      </c>
      <c r="M36" s="32">
        <f>[1]DATA!G41</f>
        <v>-0.0114395824526578</v>
      </c>
      <c r="N36" s="32">
        <f>[1]DATA!H41</f>
        <v>-0.00591282475016744</v>
      </c>
    </row>
    <row r="37" ht="14.25" spans="1:14">
      <c r="A37" s="31" t="s">
        <v>1108</v>
      </c>
      <c r="B37" s="10" t="str">
        <f>IFERROR(__xludf.DUMMYFUNCTION("GOOGLEFINANCE(B37,""name"")"),"iShares Russell 2000 Growth ETF")</f>
        <v>iShares Russell 2000 Growth ETF</v>
      </c>
      <c r="C37" s="21">
        <f>IFERROR(__xludf.DUMMYFUNCTION("GOOGLEFINANCE(B37)"),262.25)</f>
        <v>262.25</v>
      </c>
      <c r="D37" s="23">
        <f>IFERROR(__xludf.DUMMYFUNCTION("GOOGLEFINANCE(B37,""changepct"")/100"),-0.0056)</f>
        <v>-0.0056</v>
      </c>
      <c r="E37" s="23">
        <f>IFERROR(__xludf.DUMMYFUNCTION("$D37/(index(GOOGLEFINANCE($B37,""price"",workday(today(),-F$4),today()),2,2))-1"),0.0199914433510948)</f>
        <v>0.0199914433510948</v>
      </c>
      <c r="F37" s="23">
        <f>IFERROR(__xludf.DUMMYFUNCTION("$D37/(index(GOOGLEFINANCE($B37,""price"",workday(today(),-G$4),today()),2,2))-1"),-0.0674229223711816)</f>
        <v>-0.0674229223711816</v>
      </c>
      <c r="G37" s="32">
        <f>IFERROR(__xludf.DUMMYFUNCTION("$D37/(index(GOOGLEFINANCE($B37,""price"",$H$4,today()),2,2))-1"),-0.0674229223711816)</f>
        <v>-0.0674229223711816</v>
      </c>
      <c r="H37" s="33" t="str">
        <f>IFERROR(__xludf.DUMMYFUNCTION("IF(B37="""","""",SPARKLINE(INDEX(GOOGLEFINANCE($B37,""price"",$H$4,today()),,2),{""charttype"",""line""}))"),"")</f>
        <v/>
      </c>
      <c r="I37" s="29" t="str">
        <f>IFERROR(__xludf.DUMMYFUNCTION("IF(B37="""","""",SPARKLINE(INDEX(GOOGLEFINANCE($B37,""volume"",$H$4,today()),,2),{""charttype"",""column"";""color"",""grey"";""lowcolor"",""red"";""highcolor"",""black""}))"),"")</f>
        <v/>
      </c>
      <c r="J37" s="30">
        <f t="shared" si="6"/>
        <v>0.0717579342115817</v>
      </c>
      <c r="K37" s="30">
        <f t="shared" si="7"/>
        <v>-0.0156564315106947</v>
      </c>
      <c r="L37" s="32">
        <f>[1]DATA!F42</f>
        <v>262.209438219228</v>
      </c>
      <c r="M37" s="32">
        <f>[1]DATA!G42</f>
        <v>-0.0256700814741948</v>
      </c>
      <c r="N37" s="32">
        <f>[1]DATA!H42</f>
        <v>0.00679265743638605</v>
      </c>
    </row>
    <row r="38" ht="14.25" spans="1:14">
      <c r="A38" s="20" t="s">
        <v>1109</v>
      </c>
      <c r="B38" s="10"/>
      <c r="C38" s="21"/>
      <c r="D38" s="23"/>
      <c r="E38" s="23"/>
      <c r="F38" s="23"/>
      <c r="G38" s="32"/>
      <c r="H38" s="33"/>
      <c r="I38" s="29"/>
      <c r="J38" s="29"/>
      <c r="K38" s="30"/>
      <c r="L38" s="31"/>
      <c r="M38" s="31"/>
      <c r="N38" s="31"/>
    </row>
    <row r="39" ht="14.25" spans="1:14">
      <c r="A39" s="31" t="s">
        <v>1110</v>
      </c>
      <c r="B39" s="10" t="str">
        <f>IFERROR(__xludf.DUMMYFUNCTION("GOOGLEFINANCE(B39,""name"")"),"ARK Innovation ETF")</f>
        <v>ARK Innovation ETF</v>
      </c>
      <c r="C39" s="21">
        <f>IFERROR(__xludf.DUMMYFUNCTION("GOOGLEFINANCE(B39)"),41.03)</f>
        <v>41.03</v>
      </c>
      <c r="D39" s="23">
        <f>IFERROR(__xludf.DUMMYFUNCTION("GOOGLEFINANCE(B39,""changepct"")/100"),-0.0104)</f>
        <v>-0.0104</v>
      </c>
      <c r="E39" s="23">
        <f>IFERROR(__xludf.DUMMYFUNCTION("$D39/(index(GOOGLEFINANCE($B39,""price"",workday(today(),-F$4),today()),2,2))-1"),0.0363728214195502)</f>
        <v>0.0363728214195502</v>
      </c>
      <c r="F39" s="23">
        <f>IFERROR(__xludf.DUMMYFUNCTION("$D39/(index(GOOGLEFINANCE($B39,""price"",workday(today(),-G$4),today()),2,2))-1"),-0.139832285115304)</f>
        <v>-0.139832285115304</v>
      </c>
      <c r="G39" s="32">
        <f>IFERROR(__xludf.DUMMYFUNCTION("$D39/(index(GOOGLEFINANCE($B39,""price"",$H$4,today()),2,2))-1"),-0.139832285115304)</f>
        <v>-0.139832285115304</v>
      </c>
      <c r="H39" s="33" t="str">
        <f>IFERROR(__xludf.DUMMYFUNCTION("IF(B39="""","""",SPARKLINE(INDEX(GOOGLEFINANCE($B39,""price"",$H$4,today()),,2),{""charttype"",""line""}))"),"")</f>
        <v/>
      </c>
      <c r="I39" s="29" t="str">
        <f>IFERROR(__xludf.DUMMYFUNCTION("IF(B39="""","""",SPARKLINE(INDEX(GOOGLEFINANCE($B39,""volume"",$H$4,today()),,2),{""charttype"",""column"";""color"",""grey"";""lowcolor"",""red"";""highcolor"",""black""}))"),"")</f>
        <v/>
      </c>
      <c r="J39" s="30">
        <f t="shared" ref="J39:J45" si="8">E39-$F$6</f>
        <v>0.0881393122800371</v>
      </c>
      <c r="K39" s="30">
        <f t="shared" ref="K39:K45" si="9">F39-$G$6</f>
        <v>-0.0880657942548171</v>
      </c>
      <c r="L39" s="32">
        <f>[1]DATA!F44</f>
        <v>45.0632893293031</v>
      </c>
      <c r="M39" s="32">
        <f>[1]DATA!G44</f>
        <v>-0.0490684270469378</v>
      </c>
      <c r="N39" s="32">
        <f>[1]DATA!H44</f>
        <v>-0.0295860486774932</v>
      </c>
    </row>
    <row r="40" ht="14.25" spans="1:14">
      <c r="A40" s="31" t="s">
        <v>1111</v>
      </c>
      <c r="B40" s="10" t="str">
        <f>IFERROR(__xludf.DUMMYFUNCTION("GOOGLEFINANCE(B40,""name"")"),"ARK Genomic Revolution ETF")</f>
        <v>ARK Genomic Revolution ETF</v>
      </c>
      <c r="C40" s="21">
        <f>IFERROR(__xludf.DUMMYFUNCTION("GOOGLEFINANCE(B40)"),24.23)</f>
        <v>24.23</v>
      </c>
      <c r="D40" s="23">
        <f>IFERROR(__xludf.DUMMYFUNCTION("GOOGLEFINANCE(B40,""changepct"")/100"),-0.0021)</f>
        <v>-0.0021</v>
      </c>
      <c r="E40" s="23">
        <f>IFERROR(__xludf.DUMMYFUNCTION("$D40/(index(GOOGLEFINANCE($B40,""price"",workday(today(),-F$4),today()),2,2))-1"),0.0133835215391049)</f>
        <v>0.0133835215391049</v>
      </c>
      <c r="F40" s="23">
        <f>IFERROR(__xludf.DUMMYFUNCTION("$D40/(index(GOOGLEFINANCE($B40,""price"",workday(today(),-G$4),today()),2,2))-1"),-0.047562893081761)</f>
        <v>-0.047562893081761</v>
      </c>
      <c r="G40" s="32">
        <f>IFERROR(__xludf.DUMMYFUNCTION("$D40/(index(GOOGLEFINANCE($B40,""price"",$H$4,today()),2,2))-1"),-0.047562893081761)</f>
        <v>-0.047562893081761</v>
      </c>
      <c r="H40" s="33" t="str">
        <f>IFERROR(__xludf.DUMMYFUNCTION("IF(B40="""","""",SPARKLINE(INDEX(GOOGLEFINANCE($B40,""price"",$H$4,today()),,2),{""charttype"",""line""}))"),"")</f>
        <v/>
      </c>
      <c r="I40" s="29" t="str">
        <f>IFERROR(__xludf.DUMMYFUNCTION("IF(B40="""","""",SPARKLINE(INDEX(GOOGLEFINANCE($B40,""volume"",$H$4,today()),,2),{""charttype"",""column"";""color"",""grey"";""lowcolor"",""red"";""highcolor"",""black""}))"),"")</f>
        <v/>
      </c>
      <c r="J40" s="30">
        <f t="shared" si="8"/>
        <v>0.0651500123995918</v>
      </c>
      <c r="K40" s="30">
        <f t="shared" si="9"/>
        <v>0.0042035977787259</v>
      </c>
      <c r="L40" s="32">
        <f>[1]DATA!F45</f>
        <v>26.1110503519306</v>
      </c>
      <c r="M40" s="32">
        <f>[1]DATA!G45</f>
        <v>-0.0336700407407805</v>
      </c>
      <c r="N40" s="32">
        <f>[1]DATA!H45</f>
        <v>-0.0102850065920595</v>
      </c>
    </row>
    <row r="41" ht="14.25" spans="1:14">
      <c r="A41" s="31" t="s">
        <v>1112</v>
      </c>
      <c r="B41" s="10" t="str">
        <f>IFERROR(__xludf.DUMMYFUNCTION("GOOGLEFINANCE(B41,""name"")"),"ARK Autonomous Technology &amp; Robotics ETF")</f>
        <v>ARK Autonomous Technology &amp; Robotics ETF</v>
      </c>
      <c r="C41" s="21">
        <f>IFERROR(__xludf.DUMMYFUNCTION("GOOGLEFINANCE(B41)"),52.12)</f>
        <v>52.12</v>
      </c>
      <c r="D41" s="23">
        <f>IFERROR(__xludf.DUMMYFUNCTION("GOOGLEFINANCE(B41,""changepct"")/100"),-0.0013)</f>
        <v>-0.0013</v>
      </c>
      <c r="E41" s="23">
        <f>IFERROR(__xludf.DUMMYFUNCTION("$D41/(index(GOOGLEFINANCE($B41,""price"",workday(today(),-F$4),today()),2,2))-1"),0.0269950738916255)</f>
        <v>0.0269950738916255</v>
      </c>
      <c r="F41" s="23">
        <f>IFERROR(__xludf.DUMMYFUNCTION("$D41/(index(GOOGLEFINANCE($B41,""price"",workday(today(),-G$4),today()),2,2))-1"),-0.129301703975943)</f>
        <v>-0.129301703975943</v>
      </c>
      <c r="G41" s="32">
        <f>IFERROR(__xludf.DUMMYFUNCTION("$D41/(index(GOOGLEFINANCE($B41,""price"",$H$4,today()),2,2))-1"),-0.129301703975943)</f>
        <v>-0.129301703975943</v>
      </c>
      <c r="H41" s="33" t="str">
        <f>IFERROR(__xludf.DUMMYFUNCTION("IF(B41="""","""",SPARKLINE(INDEX(GOOGLEFINANCE($B41,""price"",$H$4,today()),,2),{""charttype"",""line""}))"),"")</f>
        <v/>
      </c>
      <c r="I41" s="29" t="str">
        <f>IFERROR(__xludf.DUMMYFUNCTION("IF(B41="""","""",SPARKLINE(INDEX(GOOGLEFINANCE($B41,""volume"",$H$4,today()),,2),{""charttype"",""column"";""color"",""grey"";""lowcolor"",""red"";""highcolor"",""black""}))"),"")</f>
        <v/>
      </c>
      <c r="J41" s="30">
        <f t="shared" si="8"/>
        <v>0.0787615647521124</v>
      </c>
      <c r="K41" s="30">
        <f t="shared" si="9"/>
        <v>-0.0775352131154561</v>
      </c>
      <c r="L41" s="32">
        <f>[1]DATA!F46</f>
        <v>54.7912597538423</v>
      </c>
      <c r="M41" s="32">
        <f>[1]DATA!G46</f>
        <v>-0.0377302856012669</v>
      </c>
      <c r="N41" s="32">
        <f>[1]DATA!H46</f>
        <v>-0.0168505306173384</v>
      </c>
    </row>
    <row r="42" ht="14.25" spans="1:14">
      <c r="A42" s="31" t="s">
        <v>1113</v>
      </c>
      <c r="B42" s="10" t="str">
        <f>IFERROR(__xludf.DUMMYFUNCTION("GOOGLEFINANCE(B42,""name"")"),"Ark Fintech Innovation ETF")</f>
        <v>Ark Fintech Innovation ETF</v>
      </c>
      <c r="C42" s="21">
        <f>IFERROR(__xludf.DUMMYFUNCTION("GOOGLEFINANCE(B42)"),25.97)</f>
        <v>25.97</v>
      </c>
      <c r="D42" s="23">
        <f>IFERROR(__xludf.DUMMYFUNCTION("GOOGLEFINANCE(B42,""changepct"")/100"),-0.0046)</f>
        <v>-0.0046</v>
      </c>
      <c r="E42" s="23">
        <f>IFERROR(__xludf.DUMMYFUNCTION("$D42/(index(GOOGLEFINANCE($B42,""price"",workday(today(),-F$4),today()),2,2))-1"),0.0652173913043479)</f>
        <v>0.0652173913043479</v>
      </c>
      <c r="F42" s="23">
        <f>IFERROR(__xludf.DUMMYFUNCTION("$D42/(index(GOOGLEFINANCE($B42,""price"",workday(today(),-G$4),today()),2,2))-1"),-0.105716253443526)</f>
        <v>-0.105716253443526</v>
      </c>
      <c r="G42" s="32">
        <f>IFERROR(__xludf.DUMMYFUNCTION("$D42/(index(GOOGLEFINANCE($B42,""price"",$H$4,today()),2,2))-1"),-0.105716253443526)</f>
        <v>-0.105716253443526</v>
      </c>
      <c r="H42" s="33" t="str">
        <f>IFERROR(__xludf.DUMMYFUNCTION("IF(B42="""","""",SPARKLINE(INDEX(GOOGLEFINANCE($B42,""price"",$H$4,today()),,2),{""charttype"",""line""}))"),"")</f>
        <v/>
      </c>
      <c r="I42" s="29" t="str">
        <f>IFERROR(__xludf.DUMMYFUNCTION("IF(B42="""","""",SPARKLINE(INDEX(GOOGLEFINANCE($B42,""volume"",$H$4,today()),,2),{""charttype"",""column"";""color"",""grey"";""lowcolor"",""red"";""highcolor"",""black""}))"),"")</f>
        <v/>
      </c>
      <c r="J42" s="30">
        <f t="shared" si="8"/>
        <v>0.116983882164835</v>
      </c>
      <c r="K42" s="30">
        <f t="shared" si="9"/>
        <v>-0.0539497625830391</v>
      </c>
      <c r="L42" s="32">
        <f>[1]DATA!F47</f>
        <v>27.1249615447512</v>
      </c>
      <c r="M42" s="32">
        <f>[1]DATA!G47</f>
        <v>-0.0215398711374948</v>
      </c>
      <c r="N42" s="32">
        <f>[1]DATA!H47</f>
        <v>-0.0274461763605135</v>
      </c>
    </row>
    <row r="43" ht="14.25" spans="1:14">
      <c r="A43" s="31" t="s">
        <v>1114</v>
      </c>
      <c r="B43" s="10" t="str">
        <f>IFERROR(__xludf.DUMMYFUNCTION("GOOGLEFINANCE(B43,""name"")"),"ARK Next Generation Internet ETF")</f>
        <v>ARK Next Generation Internet ETF</v>
      </c>
      <c r="C43" s="21">
        <f>IFERROR(__xludf.DUMMYFUNCTION("GOOGLEFINANCE(B43)"),73.19)</f>
        <v>73.19</v>
      </c>
      <c r="D43" s="23">
        <f>IFERROR(__xludf.DUMMYFUNCTION("GOOGLEFINANCE(B43,""changepct"")/100"),-0.0081)</f>
        <v>-0.0081</v>
      </c>
      <c r="E43" s="23">
        <f>IFERROR(__xludf.DUMMYFUNCTION("$D43/(index(GOOGLEFINANCE($B43,""price"",workday(today(),-F$4),today()),2,2))-1"),0.0753746694093446)</f>
        <v>0.0753746694093446</v>
      </c>
      <c r="F43" s="23">
        <f>IFERROR(__xludf.DUMMYFUNCTION("$D43/(index(GOOGLEFINANCE($B43,""price"",workday(today(),-G$4),today()),2,2))-1"),-0.124835585316274)</f>
        <v>-0.124835585316274</v>
      </c>
      <c r="G43" s="32">
        <f>IFERROR(__xludf.DUMMYFUNCTION("$D43/(index(GOOGLEFINANCE($B43,""price"",$H$4,today()),2,2))-1"),-0.124835585316274)</f>
        <v>-0.124835585316274</v>
      </c>
      <c r="H43" s="33" t="str">
        <f>IFERROR(__xludf.DUMMYFUNCTION("IF(B43="""","""",SPARKLINE(INDEX(GOOGLEFINANCE($B43,""price"",$H$4,today()),,2),{""charttype"",""line""}))"),"")</f>
        <v/>
      </c>
      <c r="I43" s="29" t="str">
        <f>IFERROR(__xludf.DUMMYFUNCTION("IF(B43="""","""",SPARKLINE(INDEX(GOOGLEFINANCE($B43,""volume"",$H$4,today()),,2),{""charttype"",""column"";""color"",""grey"";""lowcolor"",""red"";""highcolor"",""black""}))"),"")</f>
        <v/>
      </c>
      <c r="J43" s="30">
        <f t="shared" si="8"/>
        <v>0.127141160269832</v>
      </c>
      <c r="K43" s="30">
        <f t="shared" si="9"/>
        <v>-0.0730690944557871</v>
      </c>
      <c r="L43" s="32">
        <f>[1]DATA!F48</f>
        <v>76.0975654826487</v>
      </c>
      <c r="M43" s="32">
        <f>[1]DATA!G48</f>
        <v>-0.0292723311825029</v>
      </c>
      <c r="N43" s="32">
        <f>[1]DATA!H48</f>
        <v>-0.0217252099466776</v>
      </c>
    </row>
    <row r="44" ht="14.25" spans="1:14">
      <c r="A44" s="31" t="s">
        <v>1115</v>
      </c>
      <c r="B44" s="10" t="str">
        <f>IFERROR(__xludf.DUMMYFUNCTION("GOOGLEFINANCE(B44,""name"")"),"ARK Space Exploration &amp; Innovation ETF")</f>
        <v>ARK Space Exploration &amp; Innovation ETF</v>
      </c>
      <c r="C44" s="21">
        <f>IFERROR(__xludf.DUMMYFUNCTION("GOOGLEFINANCE(B44)"),14.39)</f>
        <v>14.39</v>
      </c>
      <c r="D44" s="23">
        <f>IFERROR(__xludf.DUMMYFUNCTION("GOOGLEFINANCE(B44,""changepct"")/100"),-0.0007)</f>
        <v>-0.0007</v>
      </c>
      <c r="E44" s="23">
        <f>IFERROR(__xludf.DUMMYFUNCTION("$D44/(index(GOOGLEFINANCE($B44,""price"",workday(today(),-F$4),today()),2,2))-1"),0.0293276108726752)</f>
        <v>0.0293276108726752</v>
      </c>
      <c r="F44" s="23">
        <f>IFERROR(__xludf.DUMMYFUNCTION("$D44/(index(GOOGLEFINANCE($B44,""price"",workday(today(),-G$4),today()),2,2))-1"),-0.0805111821086261)</f>
        <v>-0.0805111821086261</v>
      </c>
      <c r="G44" s="32">
        <f>IFERROR(__xludf.DUMMYFUNCTION("$D44/(index(GOOGLEFINANCE($B44,""price"",$H$4,today()),2,2))-1"),-0.0805111821086261)</f>
        <v>-0.0805111821086261</v>
      </c>
      <c r="H44" s="33" t="str">
        <f>IFERROR(__xludf.DUMMYFUNCTION("IF(B44="""","""",SPARKLINE(INDEX(GOOGLEFINANCE($B44,""price"",$H$4,today()),,2),{""charttype"",""line""}))"),"")</f>
        <v/>
      </c>
      <c r="I44" s="29" t="str">
        <f>IFERROR(__xludf.DUMMYFUNCTION("IF(B44="""","""",SPARKLINE(INDEX(GOOGLEFINANCE($B44,""volume"",$H$4,today()),,2),{""charttype"",""column"";""color"",""grey"";""lowcolor"",""red"";""highcolor"",""black""}))"),"")</f>
        <v/>
      </c>
      <c r="J44" s="30">
        <f t="shared" si="8"/>
        <v>0.0810941017331621</v>
      </c>
      <c r="K44" s="30">
        <f t="shared" si="9"/>
        <v>-0.0287446912481392</v>
      </c>
      <c r="L44" s="32">
        <f>[1]DATA!F49</f>
        <v>14.8873275169238</v>
      </c>
      <c r="M44" s="32">
        <f>[1]DATA!G49</f>
        <v>-0.0241268152982275</v>
      </c>
      <c r="N44" s="32">
        <f>[1]DATA!H49</f>
        <v>-0.0138742994231249</v>
      </c>
    </row>
    <row r="45" ht="14.25" spans="1:14">
      <c r="A45" s="31" t="s">
        <v>1116</v>
      </c>
      <c r="B45" s="10" t="str">
        <f>IFERROR(__xludf.DUMMYFUNCTION("GOOGLEFINANCE(B45,""name"")"),"3D Printing Etf")</f>
        <v>3D Printing Etf</v>
      </c>
      <c r="C45" s="21">
        <f>IFERROR(__xludf.DUMMYFUNCTION("GOOGLEFINANCE(B45)"),18.87)</f>
        <v>18.87</v>
      </c>
      <c r="D45" s="23">
        <f>IFERROR(__xludf.DUMMYFUNCTION("GOOGLEFINANCE(B45,""changepct"")/100"),0.0032)</f>
        <v>0.0032</v>
      </c>
      <c r="E45" s="23">
        <f>IFERROR(__xludf.DUMMYFUNCTION("$D45/(index(GOOGLEFINANCE($B45,""price"",workday(today(),-F$4),today()),2,2))-1"),0.0222101841820152)</f>
        <v>0.0222101841820152</v>
      </c>
      <c r="F45" s="23">
        <f>IFERROR(__xludf.DUMMYFUNCTION("$D45/(index(GOOGLEFINANCE($B45,""price"",workday(today(),-G$4),today()),2,2))-1"),-0.0866408518877056)</f>
        <v>-0.0866408518877056</v>
      </c>
      <c r="G45" s="32">
        <f>IFERROR(__xludf.DUMMYFUNCTION("$D45/(index(GOOGLEFINANCE($B45,""price"",$H$4,today()),2,2))-1"),-0.0866408518877056)</f>
        <v>-0.0866408518877056</v>
      </c>
      <c r="H45" s="33" t="str">
        <f>IFERROR(__xludf.DUMMYFUNCTION("IF(B45="""","""",SPARKLINE(INDEX(GOOGLEFINANCE($B45,""price"",$H$4,today()),,2),{""charttype"",""line""}))"),"")</f>
        <v/>
      </c>
      <c r="I45" s="29" t="str">
        <f>IFERROR(__xludf.DUMMYFUNCTION("IF(B45="""","""",SPARKLINE(INDEX(GOOGLEFINANCE($B45,""volume"",$H$4,today()),,2),{""charttype"",""column"";""color"",""grey"";""lowcolor"",""red"";""highcolor"",""black""}))"),"")</f>
        <v/>
      </c>
      <c r="J45" s="30">
        <f t="shared" si="8"/>
        <v>0.0739766750425021</v>
      </c>
      <c r="K45" s="30">
        <f t="shared" si="9"/>
        <v>-0.0348743610272187</v>
      </c>
      <c r="L45" s="32">
        <f>[1]DATA!F50</f>
        <v>20.6083494855649</v>
      </c>
      <c r="M45" s="32">
        <f>[1]DATA!G50</f>
        <v>-0.0336792913444345</v>
      </c>
      <c r="N45" s="32">
        <f>[1]DATA!H50</f>
        <v>-0.0304908941586024</v>
      </c>
    </row>
    <row r="46" ht="14.25" spans="1:14">
      <c r="A46" s="20" t="s">
        <v>1117</v>
      </c>
      <c r="B46" s="10"/>
      <c r="C46" s="21"/>
      <c r="D46" s="23"/>
      <c r="E46" s="23"/>
      <c r="F46" s="23"/>
      <c r="G46" s="32"/>
      <c r="H46" s="33"/>
      <c r="I46" s="29"/>
      <c r="J46" s="29"/>
      <c r="K46" s="30"/>
      <c r="L46" s="32">
        <f>[1]DATA!F51</f>
        <v>0</v>
      </c>
      <c r="M46" s="32">
        <f>[1]DATA!G51</f>
        <v>0</v>
      </c>
      <c r="N46" s="32">
        <f>[1]DATA!H51</f>
        <v>0</v>
      </c>
    </row>
    <row r="47" ht="14.25" spans="1:14">
      <c r="A47" s="10" t="s">
        <v>1118</v>
      </c>
      <c r="B47" s="10" t="str">
        <f>IFERROR(__xludf.DUMMYFUNCTION("GOOGLEFINANCE(B47,""name"")"),"Roundhill Ball Metaverse ETF")</f>
        <v>Roundhill Ball Metaverse ETF</v>
      </c>
      <c r="C47" s="21">
        <f>IFERROR(__xludf.DUMMYFUNCTION("GOOGLEFINANCE(B47)"),12.18)</f>
        <v>12.18</v>
      </c>
      <c r="D47" s="23">
        <f>IFERROR(__xludf.DUMMYFUNCTION("GOOGLEFINANCE(B47,""changepct"")/100"),0.0033)</f>
        <v>0.0033</v>
      </c>
      <c r="E47" s="23">
        <f>IFERROR(__xludf.DUMMYFUNCTION("$D47/(index(GOOGLEFINANCE($B47,""price"",workday(today(),-F$4),today()),2,2))-1"),0.0348343245539506)</f>
        <v>0.0348343245539506</v>
      </c>
      <c r="F47" s="23">
        <f>IFERROR(__xludf.DUMMYFUNCTION("$D47/(index(GOOGLEFINANCE($B47,""price"",workday(today(),-G$4),today()),2,2))-1"),-0.109649122807017)</f>
        <v>-0.109649122807017</v>
      </c>
      <c r="G47" s="32">
        <f>IFERROR(__xludf.DUMMYFUNCTION("$D47/(index(GOOGLEFINANCE($B47,""price"",$H$4,today()),2,2))-1"),-0.109649122807017)</f>
        <v>-0.109649122807017</v>
      </c>
      <c r="H47" s="33" t="str">
        <f>IFERROR(__xludf.DUMMYFUNCTION("IF(B47="""","""",SPARKLINE(INDEX(GOOGLEFINANCE($B47,""price"",$H$4,today()),,2),{""charttype"",""line""}))"),"")</f>
        <v/>
      </c>
      <c r="I47" s="29" t="str">
        <f>IFERROR(__xludf.DUMMYFUNCTION("IF(B47="""","""",SPARKLINE(INDEX(GOOGLEFINANCE($B47,""volume"",$H$4,today()),,2),{""charttype"",""column"";""color"",""grey"";""lowcolor"",""red"";""highcolor"",""black""}))"),"")</f>
        <v/>
      </c>
      <c r="J47" s="30">
        <f t="shared" ref="J47:J68" si="10">E47-$F$6</f>
        <v>0.0866008154144375</v>
      </c>
      <c r="K47" s="30">
        <f t="shared" ref="K47:K68" si="11">F47-$G$6</f>
        <v>-0.0578826319465301</v>
      </c>
      <c r="L47" s="32">
        <f>[1]DATA!F55</f>
        <v>12.4037044435153</v>
      </c>
      <c r="M47" s="32">
        <f>[1]DATA!G55</f>
        <v>-0.0245224835208481</v>
      </c>
      <c r="N47" s="32">
        <f>[1]DATA!H55</f>
        <v>-0.0148188875362215</v>
      </c>
    </row>
    <row r="48" ht="14.25" spans="1:14">
      <c r="A48" s="10" t="s">
        <v>1119</v>
      </c>
      <c r="B48" s="10" t="str">
        <f>IFERROR(__xludf.DUMMYFUNCTION("GOOGLEFINANCE(B48,""name"")"),"Renaissance IPO ETF")</f>
        <v>Renaissance IPO ETF</v>
      </c>
      <c r="C48" s="21">
        <f>IFERROR(__xludf.DUMMYFUNCTION("GOOGLEFINANCE(B48)"),38.02)</f>
        <v>38.02</v>
      </c>
      <c r="D48" s="23">
        <f>IFERROR(__xludf.DUMMYFUNCTION("GOOGLEFINANCE(B48,""changepct"")/100"),-0.0021)</f>
        <v>-0.0021</v>
      </c>
      <c r="E48" s="23">
        <f>IFERROR(__xludf.DUMMYFUNCTION("$D48/(index(GOOGLEFINANCE($B48,""price"",workday(today(),-F$4),today()),2,2))-1"),0.0614182021217197)</f>
        <v>0.0614182021217197</v>
      </c>
      <c r="F48" s="23">
        <f>IFERROR(__xludf.DUMMYFUNCTION("$D48/(index(GOOGLEFINANCE($B48,""price"",workday(today(),-G$4),today()),2,2))-1"),-0.0923848173788493)</f>
        <v>-0.0923848173788493</v>
      </c>
      <c r="G48" s="32">
        <f>IFERROR(__xludf.DUMMYFUNCTION("$D48/(index(GOOGLEFINANCE($B48,""price"",$H$4,today()),2,2))-1"),-0.0923848173788493)</f>
        <v>-0.0923848173788493</v>
      </c>
      <c r="H48" s="33" t="str">
        <f>IFERROR(__xludf.DUMMYFUNCTION("IF(B48="""","""",SPARKLINE(INDEX(GOOGLEFINANCE($B48,""price"",$H$4,today()),,2),{""charttype"",""line""}))"),"")</f>
        <v/>
      </c>
      <c r="I48" s="29" t="str">
        <f>IFERROR(__xludf.DUMMYFUNCTION("IF(B48="""","""",SPARKLINE(INDEX(GOOGLEFINANCE($B48,""volume"",$H$4,today()),,2),{""charttype"",""column"";""color"",""grey"";""lowcolor"",""red"";""highcolor"",""black""}))"),"")</f>
        <v/>
      </c>
      <c r="J48" s="30">
        <f t="shared" si="10"/>
        <v>0.113184692982207</v>
      </c>
      <c r="K48" s="30">
        <f t="shared" si="11"/>
        <v>-0.0406183265183624</v>
      </c>
      <c r="L48" s="32">
        <f>[1]DATA!F56</f>
        <v>38.8546820466764</v>
      </c>
      <c r="M48" s="32">
        <f>[1]DATA!G56</f>
        <v>-0.0208954745851806</v>
      </c>
      <c r="N48" s="32">
        <f>[1]DATA!H56</f>
        <v>-0.0156992591484043</v>
      </c>
    </row>
    <row r="49" ht="14.25" spans="1:14">
      <c r="A49" s="10" t="s">
        <v>1120</v>
      </c>
      <c r="B49" s="10" t="str">
        <f>IFERROR(__xludf.DUMMYFUNCTION("GOOGLEFINANCE(B49,""name"")"),"Global X Internet of Things ETF")</f>
        <v>Global X Internet of Things ETF</v>
      </c>
      <c r="C49" s="21">
        <f>IFERROR(__xludf.DUMMYFUNCTION("GOOGLEFINANCE(B49)"),32.51)</f>
        <v>32.51</v>
      </c>
      <c r="D49" s="23">
        <f>IFERROR(__xludf.DUMMYFUNCTION("GOOGLEFINANCE(B49,""changepct"")/100"),-0.0034)</f>
        <v>-0.0034</v>
      </c>
      <c r="E49" s="23">
        <f>IFERROR(__xludf.DUMMYFUNCTION("$D49/(index(GOOGLEFINANCE($B49,""price"",workday(today(),-F$4),today()),2,2))-1"),0.027172195892575)</f>
        <v>0.027172195892575</v>
      </c>
      <c r="F49" s="23">
        <f>IFERROR(__xludf.DUMMYFUNCTION("$D49/(index(GOOGLEFINANCE($B49,""price"",workday(today(),-G$4),today()),2,2))-1"),-0.139036016949152)</f>
        <v>-0.139036016949152</v>
      </c>
      <c r="G49" s="32">
        <f>IFERROR(__xludf.DUMMYFUNCTION("$D49/(index(GOOGLEFINANCE($B49,""price"",$H$4,today()),2,2))-1"),-0.139036016949152)</f>
        <v>-0.139036016949152</v>
      </c>
      <c r="H49" s="33" t="str">
        <f>IFERROR(__xludf.DUMMYFUNCTION("IF(B49="""","""",SPARKLINE(INDEX(GOOGLEFINANCE($B49,""price"",$H$4,today()),,2),{""charttype"",""line""}))"),"")</f>
        <v/>
      </c>
      <c r="I49" s="29" t="str">
        <f>IFERROR(__xludf.DUMMYFUNCTION("IF(B49="""","""",SPARKLINE(INDEX(GOOGLEFINANCE($B49,""volume"",$H$4,today()),,2),{""charttype"",""column"";""color"",""grey"";""lowcolor"",""red"";""highcolor"",""black""}))"),"")</f>
        <v/>
      </c>
      <c r="J49" s="30">
        <f t="shared" si="10"/>
        <v>0.0789386867530619</v>
      </c>
      <c r="K49" s="30">
        <f t="shared" si="11"/>
        <v>-0.0872695260886651</v>
      </c>
      <c r="L49" s="32">
        <f>[1]DATA!F57</f>
        <v>35.2093593059602</v>
      </c>
      <c r="M49" s="32">
        <f>[1]DATA!G57</f>
        <v>-0.0465031719263838</v>
      </c>
      <c r="N49" s="32">
        <f>[1]DATA!H57</f>
        <v>-0.033731030843178</v>
      </c>
    </row>
    <row r="50" ht="14.25" spans="1:14">
      <c r="A50" s="10" t="s">
        <v>1121</v>
      </c>
      <c r="B50" s="10" t="str">
        <f>IFERROR(__xludf.DUMMYFUNCTION("GOOGLEFINANCE(B50,""name"")"),"iShares Exponential Technologies ETF")</f>
        <v>iShares Exponential Technologies ETF</v>
      </c>
      <c r="C50" s="21">
        <f>IFERROR(__xludf.DUMMYFUNCTION("GOOGLEFINANCE(B50)"),56.34)</f>
        <v>56.34</v>
      </c>
      <c r="D50" s="23">
        <f>IFERROR(__xludf.DUMMYFUNCTION("GOOGLEFINANCE(B50,""changepct"")/100"),-0.0027)</f>
        <v>-0.0027</v>
      </c>
      <c r="E50" s="23">
        <f>IFERROR(__xludf.DUMMYFUNCTION("$D50/(index(GOOGLEFINANCE($B50,""price"",workday(today(),-F$4),today()),2,2))-1"),0.0335718216840947)</f>
        <v>0.0335718216840947</v>
      </c>
      <c r="F50" s="23">
        <f>IFERROR(__xludf.DUMMYFUNCTION("$D50/(index(GOOGLEFINANCE($B50,""price"",workday(today(),-G$4),today()),2,2))-1"),-0.0730503455083908)</f>
        <v>-0.0730503455083908</v>
      </c>
      <c r="G50" s="32">
        <f>IFERROR(__xludf.DUMMYFUNCTION("$D50/(index(GOOGLEFINANCE($B50,""price"",$H$4,today()),2,2))-1"),-0.0730503455083908)</f>
        <v>-0.0730503455083908</v>
      </c>
      <c r="H50" s="33" t="str">
        <f>IFERROR(__xludf.DUMMYFUNCTION("IF(B50="""","""",SPARKLINE(INDEX(GOOGLEFINANCE($B50,""price"",$H$4,today()),,2),{""charttype"",""line""}))"),"")</f>
        <v/>
      </c>
      <c r="I50" s="29" t="str">
        <f>IFERROR(__xludf.DUMMYFUNCTION("IF(B50="""","""",SPARKLINE(INDEX(GOOGLEFINANCE($B50,""volume"",$H$4,today()),,2),{""charttype"",""column"";""color"",""grey"";""lowcolor"",""red"";""highcolor"",""black""}))"),"")</f>
        <v/>
      </c>
      <c r="J50" s="30">
        <f t="shared" si="10"/>
        <v>0.0853383125445816</v>
      </c>
      <c r="K50" s="30">
        <f t="shared" si="11"/>
        <v>-0.0212838546479039</v>
      </c>
      <c r="L50" s="32">
        <f>[1]DATA!F58</f>
        <v>58.0644762066335</v>
      </c>
      <c r="M50" s="32">
        <f>[1]DATA!G58</f>
        <v>-0.01695851201817</v>
      </c>
      <c r="N50" s="32">
        <f>[1]DATA!H58</f>
        <v>-0.0152513337717589</v>
      </c>
    </row>
    <row r="51" ht="14.25" spans="1:14">
      <c r="A51" s="10" t="s">
        <v>1122</v>
      </c>
      <c r="B51" s="10" t="str">
        <f>IFERROR(__xludf.DUMMYFUNCTION("GOOGLEFINANCE(B51,""name"")"),"VanEck Morningstar Wide Moat ETF")</f>
        <v>VanEck Morningstar Wide Moat ETF</v>
      </c>
      <c r="C51" s="21">
        <f>IFERROR(__xludf.DUMMYFUNCTION("GOOGLEFINANCE(B51)"),88.54)</f>
        <v>88.54</v>
      </c>
      <c r="D51" s="23">
        <f>IFERROR(__xludf.DUMMYFUNCTION("GOOGLEFINANCE(B51,""changepct"")/100"),-0.0049)</f>
        <v>-0.0049</v>
      </c>
      <c r="E51" s="23">
        <f>IFERROR(__xludf.DUMMYFUNCTION("$D51/(index(GOOGLEFINANCE($B51,""price"",workday(today(),-F$4),today()),2,2))-1"),0.0149014213663458)</f>
        <v>0.0149014213663458</v>
      </c>
      <c r="F51" s="23">
        <f>IFERROR(__xludf.DUMMYFUNCTION("$D51/(index(GOOGLEFINANCE($B51,""price"",workday(today(),-G$4),today()),2,2))-1"),0.00476622787108493)</f>
        <v>0.00476622787108493</v>
      </c>
      <c r="G51" s="32">
        <f>IFERROR(__xludf.DUMMYFUNCTION("$D51/(index(GOOGLEFINANCE($B51,""price"",$H$4,today()),2,2))-1"),0.00476622787108493)</f>
        <v>0.00476622787108493</v>
      </c>
      <c r="H51" s="33" t="str">
        <f>IFERROR(__xludf.DUMMYFUNCTION("IF(B51="""","""",SPARKLINE(INDEX(GOOGLEFINANCE($B51,""price"",$H$4,today()),,2),{""charttype"",""line""}))"),"")</f>
        <v/>
      </c>
      <c r="I51" s="29" t="str">
        <f>IFERROR(__xludf.DUMMYFUNCTION("IF(B51="""","""",SPARKLINE(INDEX(GOOGLEFINANCE($B51,""volume"",$H$4,today()),,2),{""charttype"",""column"";""color"",""grey"";""lowcolor"",""red"";""highcolor"",""black""}))"),"")</f>
        <v/>
      </c>
      <c r="J51" s="30">
        <f t="shared" si="10"/>
        <v>0.0666679122268327</v>
      </c>
      <c r="K51" s="30">
        <f t="shared" si="11"/>
        <v>0.0565327187315718</v>
      </c>
      <c r="L51" s="32">
        <f>[1]DATA!F59</f>
        <v>86.7847539023362</v>
      </c>
      <c r="M51" s="32">
        <f>[1]DATA!G59</f>
        <v>-0.00241568239001172</v>
      </c>
      <c r="N51" s="32">
        <f>[1]DATA!H59</f>
        <v>0.00936262408906513</v>
      </c>
    </row>
    <row r="52" ht="14.25" spans="1:14">
      <c r="A52" s="10" t="s">
        <v>1123</v>
      </c>
      <c r="B52" s="10" t="str">
        <f>IFERROR(__xludf.DUMMYFUNCTION("GOOGLEFINANCE(B52,""name"")"),"Global X Social Media ETF")</f>
        <v>Global X Social Media ETF</v>
      </c>
      <c r="C52" s="21">
        <f>IFERROR(__xludf.DUMMYFUNCTION("GOOGLEFINANCE(B52)"),38.78)</f>
        <v>38.78</v>
      </c>
      <c r="D52" s="23">
        <f>IFERROR(__xludf.DUMMYFUNCTION("GOOGLEFINANCE(B52,""changepct"")/100"),-0.0018)</f>
        <v>-0.0018</v>
      </c>
      <c r="E52" s="23">
        <f>IFERROR(__xludf.DUMMYFUNCTION("$D52/(index(GOOGLEFINANCE($B52,""price"",workday(today(),-F$4),today()),2,2))-1"),0.024570673712021)</f>
        <v>0.024570673712021</v>
      </c>
      <c r="F52" s="23">
        <f>IFERROR(__xludf.DUMMYFUNCTION("$D52/(index(GOOGLEFINANCE($B52,""price"",workday(today(),-G$4),today()),2,2))-1"),-0.0983492211113693)</f>
        <v>-0.0983492211113693</v>
      </c>
      <c r="G52" s="32">
        <f>IFERROR(__xludf.DUMMYFUNCTION("$D52/(index(GOOGLEFINANCE($B52,""price"",$H$4,today()),2,2))-1"),-0.0983492211113693)</f>
        <v>-0.0983492211113693</v>
      </c>
      <c r="H52" s="33" t="str">
        <f>IFERROR(__xludf.DUMMYFUNCTION("IF(B52="""","""",SPARKLINE(INDEX(GOOGLEFINANCE($B52,""price"",$H$4,today()),,2),{""charttype"",""line""}))"),"")</f>
        <v/>
      </c>
      <c r="I52" s="29" t="str">
        <f>IFERROR(__xludf.DUMMYFUNCTION("IF(B52="""","""",SPARKLINE(INDEX(GOOGLEFINANCE($B52,""volume"",$H$4,today()),,2),{""charttype"",""column"";""color"",""grey"";""lowcolor"",""red"";""highcolor"",""black""}))"),"")</f>
        <v/>
      </c>
      <c r="J52" s="30">
        <f t="shared" si="10"/>
        <v>0.0763371645725079</v>
      </c>
      <c r="K52" s="30">
        <f t="shared" si="11"/>
        <v>-0.0465827302508824</v>
      </c>
      <c r="L52" s="32">
        <f>[1]DATA!F60</f>
        <v>41.0712960715929</v>
      </c>
      <c r="M52" s="32">
        <f>[1]DATA!G60</f>
        <v>-0.0324020416073522</v>
      </c>
      <c r="N52" s="32">
        <f>[1]DATA!H60</f>
        <v>-0.028605789041784</v>
      </c>
    </row>
    <row r="53" ht="14.25" spans="1:14">
      <c r="A53" s="10" t="s">
        <v>1124</v>
      </c>
      <c r="B53" s="10" t="str">
        <f>IFERROR(__xludf.DUMMYFUNCTION("GOOGLEFINANCE(B53,""name"")"),"ProShares Online Retail ETF")</f>
        <v>ProShares Online Retail ETF</v>
      </c>
      <c r="C53" s="21">
        <f>IFERROR(__xludf.DUMMYFUNCTION("GOOGLEFINANCE(B53)"),39.28)</f>
        <v>39.28</v>
      </c>
      <c r="D53" s="23">
        <f>IFERROR(__xludf.DUMMYFUNCTION("GOOGLEFINANCE(B53,""changepct"")/100"),-0.0015)</f>
        <v>-0.0015</v>
      </c>
      <c r="E53" s="23">
        <f>IFERROR(__xludf.DUMMYFUNCTION("$D53/(index(GOOGLEFINANCE($B53,""price"",workday(today(),-F$4),today()),2,2))-1"),0.0317835566062516)</f>
        <v>0.0317835566062516</v>
      </c>
      <c r="F53" s="23">
        <f>IFERROR(__xludf.DUMMYFUNCTION("$D53/(index(GOOGLEFINANCE($B53,""price"",workday(today(),-G$4),today()),2,2))-1"),-0.0569027611044417)</f>
        <v>-0.0569027611044417</v>
      </c>
      <c r="G53" s="32">
        <f>IFERROR(__xludf.DUMMYFUNCTION("$D53/(index(GOOGLEFINANCE($B53,""price"",$H$4,today()),2,2))-1"),-0.0569027611044417)</f>
        <v>-0.0569027611044417</v>
      </c>
      <c r="H53" s="33" t="str">
        <f>IFERROR(__xludf.DUMMYFUNCTION("IF(B53="""","""",SPARKLINE(INDEX(GOOGLEFINANCE($B53,""price"",$H$4,today()),,2),{""charttype"",""line""}))"),"")</f>
        <v/>
      </c>
      <c r="I53" s="29" t="str">
        <f>IFERROR(__xludf.DUMMYFUNCTION("IF(B53="""","""",SPARKLINE(INDEX(GOOGLEFINANCE($B53,""volume"",$H$4,today()),,2),{""charttype"",""column"";""color"",""grey"";""lowcolor"",""red"";""highcolor"",""black""}))"),"")</f>
        <v/>
      </c>
      <c r="J53" s="30">
        <f t="shared" si="10"/>
        <v>0.0835500474667385</v>
      </c>
      <c r="K53" s="30">
        <f t="shared" si="11"/>
        <v>-0.0051362702439548</v>
      </c>
      <c r="L53" s="32">
        <f>[1]DATA!F61</f>
        <v>39.214927001472</v>
      </c>
      <c r="M53" s="32">
        <f>[1]DATA!G61</f>
        <v>-0.016598599590165</v>
      </c>
      <c r="N53" s="32">
        <f>[1]DATA!H61</f>
        <v>-0.00557296715032069</v>
      </c>
    </row>
    <row r="54" ht="14.25" spans="1:14">
      <c r="A54" s="10" t="s">
        <v>1125</v>
      </c>
      <c r="B54" s="10" t="str">
        <f>IFERROR(__xludf.DUMMYFUNCTION("GOOGLEFINANCE(B54,""name"")"),"First Trust Cloud Computing ETF")</f>
        <v>First Trust Cloud Computing ETF</v>
      </c>
      <c r="C54" s="21">
        <f>IFERROR(__xludf.DUMMYFUNCTION("GOOGLEFINANCE(B54)"),91)</f>
        <v>91</v>
      </c>
      <c r="D54" s="23">
        <f>IFERROR(__xludf.DUMMYFUNCTION("GOOGLEFINANCE(B54,""changepct"")/100"),-0.009)</f>
        <v>-0.009</v>
      </c>
      <c r="E54" s="23">
        <f>IFERROR(__xludf.DUMMYFUNCTION("$D54/(index(GOOGLEFINANCE($B54,""price"",workday(today(),-F$4),today()),2,2))-1"),0.0526315789473683)</f>
        <v>0.0526315789473683</v>
      </c>
      <c r="F54" s="23">
        <f>IFERROR(__xludf.DUMMYFUNCTION("$D54/(index(GOOGLEFINANCE($B54,""price"",workday(today(),-G$4),today()),2,2))-1"),-0.0553306342780026)</f>
        <v>-0.0553306342780026</v>
      </c>
      <c r="G54" s="32">
        <f>IFERROR(__xludf.DUMMYFUNCTION("$D54/(index(GOOGLEFINANCE($B54,""price"",$H$4,today()),2,2))-1"),-0.0553306342780026)</f>
        <v>-0.0553306342780026</v>
      </c>
      <c r="H54" s="33" t="str">
        <f>IFERROR(__xludf.DUMMYFUNCTION("IF(B54="""","""",SPARKLINE(INDEX(GOOGLEFINANCE($B54,""price"",$H$4,today()),,2),{""charttype"",""line""}))"),"")</f>
        <v/>
      </c>
      <c r="I54" s="29" t="str">
        <f>IFERROR(__xludf.DUMMYFUNCTION("IF(B54="""","""",SPARKLINE(INDEX(GOOGLEFINANCE($B54,""volume"",$H$4,today()),,2),{""charttype"",""column"";""color"",""grey"";""lowcolor"",""red"";""highcolor"",""black""}))"),"")</f>
        <v/>
      </c>
      <c r="J54" s="30">
        <f t="shared" si="10"/>
        <v>0.104398069807855</v>
      </c>
      <c r="K54" s="30">
        <f t="shared" si="11"/>
        <v>-0.00356414341751569</v>
      </c>
      <c r="L54" s="32">
        <f>[1]DATA!F62</f>
        <v>92.0754545271333</v>
      </c>
      <c r="M54" s="32">
        <f>[1]DATA!G62</f>
        <v>-0.0109105165650974</v>
      </c>
      <c r="N54" s="32">
        <f>[1]DATA!H62</f>
        <v>-0.0108384627073488</v>
      </c>
    </row>
    <row r="55" ht="14.25" spans="1:14">
      <c r="A55" s="10" t="s">
        <v>1126</v>
      </c>
      <c r="B55" s="10" t="str">
        <f>IFERROR(__xludf.DUMMYFUNCTION("GOOGLEFINANCE(B55,""name"")"),"Global X Video Games &amp; Esports ETF")</f>
        <v>Global X Video Games &amp; Esports ETF</v>
      </c>
      <c r="C55" s="21">
        <f>IFERROR(__xludf.DUMMYFUNCTION("GOOGLEFINANCE(B55)"),21.29)</f>
        <v>21.29</v>
      </c>
      <c r="D55" s="23">
        <f>IFERROR(__xludf.DUMMYFUNCTION("GOOGLEFINANCE(B55,""changepct"")/100"),0.0043)</f>
        <v>0.0043</v>
      </c>
      <c r="E55" s="23">
        <f>IFERROR(__xludf.DUMMYFUNCTION("$D55/(index(GOOGLEFINANCE($B55,""price"",workday(today(),-F$4),today()),2,2))-1"),0.0360097323600971)</f>
        <v>0.0360097323600971</v>
      </c>
      <c r="F55" s="23">
        <f>IFERROR(__xludf.DUMMYFUNCTION("$D55/(index(GOOGLEFINANCE($B55,""price"",workday(today(),-G$4),today()),2,2))-1"),-0.0465741155396327)</f>
        <v>-0.0465741155396327</v>
      </c>
      <c r="G55" s="32">
        <f>IFERROR(__xludf.DUMMYFUNCTION("$D55/(index(GOOGLEFINANCE($B55,""price"",$H$4,today()),2,2))-1"),-0.0465741155396327)</f>
        <v>-0.0465741155396327</v>
      </c>
      <c r="H55" s="33" t="str">
        <f>IFERROR(__xludf.DUMMYFUNCTION("IF(B55="""","""",SPARKLINE(INDEX(GOOGLEFINANCE($B55,""price"",$H$4,today()),,2),{""charttype"",""line""}))"),"")</f>
        <v/>
      </c>
      <c r="I55" s="29" t="str">
        <f>IFERROR(__xludf.DUMMYFUNCTION("IF(B55="""","""",SPARKLINE(INDEX(GOOGLEFINANCE($B55,""volume"",$H$4,today()),,2),{""charttype"",""column"";""color"",""grey"";""lowcolor"",""red"";""highcolor"",""black""}))"),"")</f>
        <v/>
      </c>
      <c r="J55" s="30">
        <f t="shared" si="10"/>
        <v>0.087776223220584</v>
      </c>
      <c r="K55" s="30">
        <f t="shared" si="11"/>
        <v>0.0051923753208542</v>
      </c>
      <c r="L55" s="32">
        <f>[1]DATA!F63</f>
        <v>20.923949537937</v>
      </c>
      <c r="M55" s="32">
        <f>[1]DATA!G63</f>
        <v>-0.00658702052070541</v>
      </c>
      <c r="N55" s="32">
        <f>[1]DATA!H63</f>
        <v>0.00667939587904874</v>
      </c>
    </row>
    <row r="56" ht="14.25" spans="1:14">
      <c r="A56" s="10" t="s">
        <v>1127</v>
      </c>
      <c r="B56" s="10" t="str">
        <f>IFERROR(__xludf.DUMMYFUNCTION("GOOGLEFINANCE(B56,""name"")"),"Amplify Online Retail ETF")</f>
        <v>Amplify Online Retail ETF</v>
      </c>
      <c r="C56" s="21">
        <f>IFERROR(__xludf.DUMMYFUNCTION("GOOGLEFINANCE(B56)"),52.06)</f>
        <v>52.06</v>
      </c>
      <c r="D56" s="23">
        <f>IFERROR(__xludf.DUMMYFUNCTION("GOOGLEFINANCE(B56,""changepct"")/100"),-0.0044)</f>
        <v>-0.0044</v>
      </c>
      <c r="E56" s="23">
        <f>IFERROR(__xludf.DUMMYFUNCTION("$D56/(index(GOOGLEFINANCE($B56,""price"",workday(today(),-F$4),today()),2,2))-1"),0.016796875)</f>
        <v>0.016796875</v>
      </c>
      <c r="F56" s="23">
        <f>IFERROR(__xludf.DUMMYFUNCTION("$D56/(index(GOOGLEFINANCE($B56,""price"",workday(today(),-G$4),today()),2,2))-1"),-0.0839345416153439)</f>
        <v>-0.0839345416153439</v>
      </c>
      <c r="G56" s="32">
        <f>IFERROR(__xludf.DUMMYFUNCTION("$D56/(index(GOOGLEFINANCE($B56,""price"",$H$4,today()),2,2))-1"),-0.0839345416153439)</f>
        <v>-0.0839345416153439</v>
      </c>
      <c r="H56" s="33" t="str">
        <f>IFERROR(__xludf.DUMMYFUNCTION("IF(B56="""","""",SPARKLINE(INDEX(GOOGLEFINANCE($B56,""price"",$H$4,today()),,2),{""charttype"",""line""}))"),"")</f>
        <v/>
      </c>
      <c r="I56" s="29" t="str">
        <f>IFERROR(__xludf.DUMMYFUNCTION("IF(B56="""","""",SPARKLINE(INDEX(GOOGLEFINANCE($B56,""volume"",$H$4,today()),,2),{""charttype"",""column"";""color"",""grey"";""lowcolor"",""red"";""highcolor"",""black""}))"),"")</f>
        <v/>
      </c>
      <c r="J56" s="30">
        <f t="shared" si="10"/>
        <v>0.0685633658604869</v>
      </c>
      <c r="K56" s="30">
        <f t="shared" si="11"/>
        <v>-0.032168050754857</v>
      </c>
      <c r="L56" s="32">
        <f>[1]DATA!F64</f>
        <v>54.2075747858593</v>
      </c>
      <c r="M56" s="32">
        <f>[1]DATA!G64</f>
        <v>-0.0290144573040323</v>
      </c>
      <c r="N56" s="32">
        <f>[1]DATA!H64</f>
        <v>-0.0178714460059612</v>
      </c>
    </row>
    <row r="57" ht="14.25" spans="1:14">
      <c r="A57" s="10" t="s">
        <v>1128</v>
      </c>
      <c r="B57" s="10" t="str">
        <f>IFERROR(__xludf.DUMMYFUNCTION("GOOGLEFINANCE(B57,""name"")"),"Amplify Mobile Payments ETF")</f>
        <v>Amplify Mobile Payments ETF</v>
      </c>
      <c r="C57" s="21">
        <f>IFERROR(__xludf.DUMMYFUNCTION("GOOGLEFINANCE(B57)"),46.83)</f>
        <v>46.83</v>
      </c>
      <c r="D57" s="23">
        <f>IFERROR(__xludf.DUMMYFUNCTION("GOOGLEFINANCE(B57,""changepct"")/100"),-0.0062)</f>
        <v>-0.0062</v>
      </c>
      <c r="E57" s="23">
        <f>IFERROR(__xludf.DUMMYFUNCTION("$D57/(index(GOOGLEFINANCE($B57,""price"",workday(today(),-F$4),today()),2,2))-1"),0.0439144003566651)</f>
        <v>0.0439144003566651</v>
      </c>
      <c r="F57" s="23">
        <f>IFERROR(__xludf.DUMMYFUNCTION("$D57/(index(GOOGLEFINANCE($B57,""price"",workday(today(),-G$4),today()),2,2))-1"),-0.0456490727532097)</f>
        <v>-0.0456490727532097</v>
      </c>
      <c r="G57" s="32">
        <f>IFERROR(__xludf.DUMMYFUNCTION("$D57/(index(GOOGLEFINANCE($B57,""price"",$H$4,today()),2,2))-1"),-0.0456490727532097)</f>
        <v>-0.0456490727532097</v>
      </c>
      <c r="H57" s="33" t="str">
        <f>IFERROR(__xludf.DUMMYFUNCTION("IF(B57="""","""",SPARKLINE(INDEX(GOOGLEFINANCE($B57,""price"",$H$4,today()),,2),{""charttype"",""line""}))"),"")</f>
        <v/>
      </c>
      <c r="I57" s="29" t="str">
        <f>IFERROR(__xludf.DUMMYFUNCTION("IF(B57="""","""",SPARKLINE(INDEX(GOOGLEFINANCE($B57,""volume"",$H$4,today()),,2),{""charttype"",""column"";""color"",""grey"";""lowcolor"",""red"";""highcolor"",""black""}))"),"")</f>
        <v/>
      </c>
      <c r="J57" s="30">
        <f t="shared" si="10"/>
        <v>0.095680891217152</v>
      </c>
      <c r="K57" s="30">
        <f t="shared" si="11"/>
        <v>0.0061174181072772</v>
      </c>
      <c r="L57" s="32">
        <f>[1]DATA!F65</f>
        <v>47.5948046932433</v>
      </c>
      <c r="M57" s="32">
        <f>[1]DATA!G65</f>
        <v>-0.00836254679067516</v>
      </c>
      <c r="N57" s="32">
        <f>[1]DATA!H65</f>
        <v>-0.0110160707838476</v>
      </c>
    </row>
    <row r="58" ht="14.25" spans="1:14">
      <c r="A58" s="10" t="s">
        <v>1129</v>
      </c>
      <c r="B58" s="10" t="str">
        <f>IFERROR(__xludf.DUMMYFUNCTION("GOOGLEFINANCE(B58,""name"")"),"Global X FinTech ETF")</f>
        <v>Global X FinTech ETF</v>
      </c>
      <c r="C58" s="21">
        <f>IFERROR(__xludf.DUMMYFUNCTION("GOOGLEFINANCE(B58)"),25.17)</f>
        <v>25.17</v>
      </c>
      <c r="D58" s="23">
        <f>IFERROR(__xludf.DUMMYFUNCTION("GOOGLEFINANCE(B58,""changepct"")/100"),-0.00609999999999999)</f>
        <v>-0.00609999999999999</v>
      </c>
      <c r="E58" s="23">
        <f>IFERROR(__xludf.DUMMYFUNCTION("$D58/(index(GOOGLEFINANCE($B58,""price"",workday(today(),-F$4),today()),2,2))-1"),0.0465696465696465)</f>
        <v>0.0465696465696465</v>
      </c>
      <c r="F58" s="23">
        <f>IFERROR(__xludf.DUMMYFUNCTION("$D58/(index(GOOGLEFINANCE($B58,""price"",workday(today(),-G$4),today()),2,2))-1"),-0.0487528344671202)</f>
        <v>-0.0487528344671202</v>
      </c>
      <c r="G58" s="32">
        <f>IFERROR(__xludf.DUMMYFUNCTION("$D58/(index(GOOGLEFINANCE($B58,""price"",$H$4,today()),2,2))-1"),-0.0487528344671202)</f>
        <v>-0.0487528344671202</v>
      </c>
      <c r="H58" s="33" t="str">
        <f>IFERROR(__xludf.DUMMYFUNCTION("IF(B58="""","""",SPARKLINE(INDEX(GOOGLEFINANCE($B58,""price"",$H$4,today()),,2),{""charttype"",""line""}))"),"")</f>
        <v/>
      </c>
      <c r="I58" s="29" t="str">
        <f>IFERROR(__xludf.DUMMYFUNCTION("IF(B58="""","""",SPARKLINE(INDEX(GOOGLEFINANCE($B58,""volume"",$H$4,today()),,2),{""charttype"",""column"";""color"",""grey"";""lowcolor"",""red"";""highcolor"",""black""}))"),"")</f>
        <v/>
      </c>
      <c r="J58" s="30">
        <f t="shared" si="10"/>
        <v>0.0983361374301334</v>
      </c>
      <c r="K58" s="30">
        <f t="shared" si="11"/>
        <v>0.0030136563933667</v>
      </c>
      <c r="L58" s="32">
        <f>[1]DATA!F66</f>
        <v>25.3276376487421</v>
      </c>
      <c r="M58" s="32">
        <f>[1]DATA!G66</f>
        <v>-0.00819280599508415</v>
      </c>
      <c r="N58" s="32">
        <f>[1]DATA!H66</f>
        <v>-0.00599131980319099</v>
      </c>
    </row>
    <row r="59" ht="14.25" spans="1:14">
      <c r="A59" s="10" t="s">
        <v>1130</v>
      </c>
      <c r="B59" s="10" t="str">
        <f>IFERROR(__xludf.DUMMYFUNCTION("GOOGLEFINANCE(B59,""name"")"),"First Trust NASDAQ Cybersecurity ETF")</f>
        <v>First Trust NASDAQ Cybersecurity ETF</v>
      </c>
      <c r="C59" s="21">
        <f>IFERROR(__xludf.DUMMYFUNCTION("GOOGLEFINANCE(B59)"),54.92)</f>
        <v>54.92</v>
      </c>
      <c r="D59" s="23">
        <f>IFERROR(__xludf.DUMMYFUNCTION("GOOGLEFINANCE(B59,""changepct"")/100"),-0.0075)</f>
        <v>-0.0075</v>
      </c>
      <c r="E59" s="23">
        <f>IFERROR(__xludf.DUMMYFUNCTION("$D59/(index(GOOGLEFINANCE($B59,""price"",workday(today(),-F$4),today()),2,2))-1"),0.0541266794625718)</f>
        <v>0.0541266794625718</v>
      </c>
      <c r="F59" s="23">
        <f>IFERROR(__xludf.DUMMYFUNCTION("$D59/(index(GOOGLEFINANCE($B59,""price"",workday(today(),-G$4),today()),2,2))-1"),-0.0558707237407598)</f>
        <v>-0.0558707237407598</v>
      </c>
      <c r="G59" s="32">
        <f>IFERROR(__xludf.DUMMYFUNCTION("$D59/(index(GOOGLEFINANCE($B59,""price"",$H$4,today()),2,2))-1"),-0.0558707237407598)</f>
        <v>-0.0558707237407598</v>
      </c>
      <c r="H59" s="33" t="str">
        <f>IFERROR(__xludf.DUMMYFUNCTION("IF(B59="""","""",SPARKLINE(INDEX(GOOGLEFINANCE($B59,""price"",$H$4,today()),,2),{""charttype"",""line""}))"),"")</f>
        <v/>
      </c>
      <c r="I59" s="29" t="str">
        <f>IFERROR(__xludf.DUMMYFUNCTION("IF(B59="""","""",SPARKLINE(INDEX(GOOGLEFINANCE($B59,""volume"",$H$4,today()),,2),{""charttype"",""column"";""color"",""grey"";""lowcolor"",""red"";""highcolor"",""black""}))"),"")</f>
        <v/>
      </c>
      <c r="J59" s="30">
        <f t="shared" si="10"/>
        <v>0.105893170323059</v>
      </c>
      <c r="K59" s="30">
        <f t="shared" si="11"/>
        <v>-0.0041042328802729</v>
      </c>
      <c r="L59" s="32">
        <f>[1]DATA!F67</f>
        <v>54.8024502635533</v>
      </c>
      <c r="M59" s="32">
        <f>[1]DATA!G67</f>
        <v>0.00125396308840356</v>
      </c>
      <c r="N59" s="32">
        <f>[1]DATA!H67</f>
        <v>-0.00762541714017435</v>
      </c>
    </row>
    <row r="60" ht="14.25" spans="1:14">
      <c r="A60" s="10" t="s">
        <v>1131</v>
      </c>
      <c r="B60" s="10" t="str">
        <f>IFERROR(__xludf.DUMMYFUNCTION("GOOGLEFINANCE(B60,""name"")"),"iShares Global Infrastructure ETF")</f>
        <v>iShares Global Infrastructure ETF</v>
      </c>
      <c r="C60" s="21">
        <f>IFERROR(__xludf.DUMMYFUNCTION("GOOGLEFINANCE(B60)"),50.01)</f>
        <v>50.01</v>
      </c>
      <c r="D60" s="23">
        <f>IFERROR(__xludf.DUMMYFUNCTION("GOOGLEFINANCE(B60,""changepct"")/100"),0.002)</f>
        <v>0.002</v>
      </c>
      <c r="E60" s="23">
        <f>IFERROR(__xludf.DUMMYFUNCTION("$D60/(index(GOOGLEFINANCE($B60,""price"",workday(today(),-F$4),today()),2,2))-1"),0.0241654720458734)</f>
        <v>0.0241654720458734</v>
      </c>
      <c r="F60" s="23">
        <f>IFERROR(__xludf.DUMMYFUNCTION("$D60/(index(GOOGLEFINANCE($B60,""price"",workday(today(),-G$4),today()),2,2))-1"),0.0103030303030302)</f>
        <v>0.0103030303030302</v>
      </c>
      <c r="G60" s="32">
        <f>IFERROR(__xludf.DUMMYFUNCTION("$D60/(index(GOOGLEFINANCE($B60,""price"",$H$4,today()),2,2))-1"),0.0103030303030302)</f>
        <v>0.0103030303030302</v>
      </c>
      <c r="H60" s="33" t="str">
        <f>IFERROR(__xludf.DUMMYFUNCTION("IF(B60="""","""",SPARKLINE(INDEX(GOOGLEFINANCE($B60,""price"",$H$4,today()),,2),{""charttype"",""line""}))"),"")</f>
        <v/>
      </c>
      <c r="I60" s="29" t="str">
        <f>IFERROR(__xludf.DUMMYFUNCTION("IF(B60="""","""",SPARKLINE(INDEX(GOOGLEFINANCE($B60,""volume"",$H$4,today()),,2),{""charttype"",""column"";""color"",""grey"";""lowcolor"",""red"";""highcolor"",""black""}))"),"")</f>
        <v/>
      </c>
      <c r="J60" s="30">
        <f t="shared" si="10"/>
        <v>0.0759319629063603</v>
      </c>
      <c r="K60" s="30">
        <f t="shared" si="11"/>
        <v>0.0620695211635171</v>
      </c>
      <c r="L60" s="32">
        <f>[1]DATA!F68</f>
        <v>48.3854351603133</v>
      </c>
      <c r="M60" s="32">
        <f>[1]DATA!G68</f>
        <v>0.00805562724210213</v>
      </c>
      <c r="N60" s="32">
        <f>[1]DATA!H68</f>
        <v>0.00968249740517635</v>
      </c>
    </row>
    <row r="61" ht="14.25" spans="1:14">
      <c r="A61" s="10" t="s">
        <v>1132</v>
      </c>
      <c r="B61" s="10" t="str">
        <f>IFERROR(__xludf.DUMMYFUNCTION("GOOGLEFINANCE(B61,""name"")"),"Global X Autonomous &amp; Electric Vehicles ETF")</f>
        <v>Global X Autonomous &amp; Electric Vehicles ETF</v>
      </c>
      <c r="C61" s="21">
        <f>IFERROR(__xludf.DUMMYFUNCTION("GOOGLEFINANCE(B61)"),21.02)</f>
        <v>21.02</v>
      </c>
      <c r="D61" s="23">
        <f>IFERROR(__xludf.DUMMYFUNCTION("GOOGLEFINANCE(B61,""changepct"")/100"),-0.0092)</f>
        <v>-0.0092</v>
      </c>
      <c r="E61" s="23">
        <f>IFERROR(__xludf.DUMMYFUNCTION("$D61/(index(GOOGLEFINANCE($B61,""price"",workday(today(),-F$4),today()),2,2))-1"),0.0149686141960405)</f>
        <v>0.0149686141960405</v>
      </c>
      <c r="F61" s="23">
        <f>IFERROR(__xludf.DUMMYFUNCTION("$D61/(index(GOOGLEFINANCE($B61,""price"",workday(today(),-G$4),today()),2,2))-1"),-0.162216022319649)</f>
        <v>-0.162216022319649</v>
      </c>
      <c r="G61" s="32">
        <f>IFERROR(__xludf.DUMMYFUNCTION("$D61/(index(GOOGLEFINANCE($B61,""price"",$H$4,today()),2,2))-1"),-0.162216022319649)</f>
        <v>-0.162216022319649</v>
      </c>
      <c r="H61" s="33" t="str">
        <f>IFERROR(__xludf.DUMMYFUNCTION("IF(B61="""","""",SPARKLINE(INDEX(GOOGLEFINANCE($B61,""price"",$H$4,today()),,2),{""charttype"",""line""}))"),"")</f>
        <v/>
      </c>
      <c r="I61" s="29" t="str">
        <f>IFERROR(__xludf.DUMMYFUNCTION("IF(B61="""","""",SPARKLINE(INDEX(GOOGLEFINANCE($B61,""volume"",$H$4,today()),,2),{""charttype"",""column"";""color"",""grey"";""lowcolor"",""red"";""highcolor"",""black""}))"),"")</f>
        <v/>
      </c>
      <c r="J61" s="30">
        <f t="shared" si="10"/>
        <v>0.0667351050565274</v>
      </c>
      <c r="K61" s="30">
        <f t="shared" si="11"/>
        <v>-0.110449531459162</v>
      </c>
      <c r="L61" s="32">
        <f>[1]DATA!F69</f>
        <v>23.6511747500233</v>
      </c>
      <c r="M61" s="32">
        <f>[1]DATA!G69</f>
        <v>-0.05890820614605</v>
      </c>
      <c r="N61" s="32">
        <f>[1]DATA!H69</f>
        <v>-0.0444101006336352</v>
      </c>
    </row>
    <row r="62" ht="14.25" spans="1:14">
      <c r="A62" s="10" t="s">
        <v>1133</v>
      </c>
      <c r="B62" s="10" t="str">
        <f>IFERROR(__xludf.DUMMYFUNCTION("GOOGLEFINANCE(B62,""name"")"),"Global X Robotics and Artificial Intelligence ETF")</f>
        <v>Global X Robotics and Artificial Intelligence ETF</v>
      </c>
      <c r="C62" s="21">
        <f>IFERROR(__xludf.DUMMYFUNCTION("GOOGLEFINANCE(B62)"),29.21)</f>
        <v>29.21</v>
      </c>
      <c r="D62" s="23">
        <f>IFERROR(__xludf.DUMMYFUNCTION("GOOGLEFINANCE(B62,""changepct"")/100"),0.00609999999999999)</f>
        <v>0.00609999999999999</v>
      </c>
      <c r="E62" s="23">
        <f>IFERROR(__xludf.DUMMYFUNCTION("$D62/(index(GOOGLEFINANCE($B62,""price"",workday(today(),-F$4),today()),2,2))-1"),0.0552745664739884)</f>
        <v>0.0552745664739884</v>
      </c>
      <c r="F62" s="23">
        <f>IFERROR(__xludf.DUMMYFUNCTION("$D62/(index(GOOGLEFINANCE($B62,""price"",workday(today(),-G$4),today()),2,2))-1"),-0.0880424601935685)</f>
        <v>-0.0880424601935685</v>
      </c>
      <c r="G62" s="32">
        <f>IFERROR(__xludf.DUMMYFUNCTION("$D62/(index(GOOGLEFINANCE($B62,""price"",$H$4,today()),2,2))-1"),-0.0880424601935685)</f>
        <v>-0.0880424601935685</v>
      </c>
      <c r="H62" s="33" t="str">
        <f>IFERROR(__xludf.DUMMYFUNCTION("IF(B62="""","""",SPARKLINE(INDEX(GOOGLEFINANCE($B62,""price"",$H$4,today()),,2),{""charttype"",""line""}))"),"")</f>
        <v/>
      </c>
      <c r="I62" s="29" t="str">
        <f>IFERROR(__xludf.DUMMYFUNCTION("IF(B62="""","""",SPARKLINE(INDEX(GOOGLEFINANCE($B62,""volume"",$H$4,today()),,2),{""charttype"",""column"";""color"",""grey"";""lowcolor"",""red"";""highcolor"",""black""}))"),"")</f>
        <v/>
      </c>
      <c r="J62" s="30">
        <f t="shared" si="10"/>
        <v>0.107041057334475</v>
      </c>
      <c r="K62" s="30">
        <f t="shared" si="11"/>
        <v>-0.0362759693330816</v>
      </c>
      <c r="L62" s="32">
        <f>[1]DATA!F70</f>
        <v>30.2423851095683</v>
      </c>
      <c r="M62" s="32">
        <f>[1]DATA!G70</f>
        <v>-0.0152799332936381</v>
      </c>
      <c r="N62" s="32">
        <f>[1]DATA!H70</f>
        <v>-0.0248096168154218</v>
      </c>
    </row>
    <row r="63" ht="14.25" spans="1:14">
      <c r="A63" s="10" t="s">
        <v>1134</v>
      </c>
      <c r="B63" s="10" t="str">
        <f>IFERROR(__xludf.DUMMYFUNCTION("GOOGLEFINANCE(B63,""name"")"),"ROBO Global Robotics and Automation Index ETF")</f>
        <v>ROBO Global Robotics and Automation Index ETF</v>
      </c>
      <c r="C63" s="21">
        <f>IFERROR(__xludf.DUMMYFUNCTION("GOOGLEFINANCE(B63)"),52.23)</f>
        <v>52.23</v>
      </c>
      <c r="D63" s="23">
        <f>IFERROR(__xludf.DUMMYFUNCTION("GOOGLEFINANCE(B63,""changepct"")/100"),0)</f>
        <v>0</v>
      </c>
      <c r="E63" s="23">
        <f>IFERROR(__xludf.DUMMYFUNCTION("$D63/(index(GOOGLEFINANCE($B63,""price"",workday(today(),-F$4),today()),2,2))-1"),0.0330300632911391)</f>
        <v>0.0330300632911391</v>
      </c>
      <c r="F63" s="23">
        <f>IFERROR(__xludf.DUMMYFUNCTION("$D63/(index(GOOGLEFINANCE($B63,""price"",workday(today(),-G$4),today()),2,2))-1"),-0.0943298075255766)</f>
        <v>-0.0943298075255766</v>
      </c>
      <c r="G63" s="32">
        <f>IFERROR(__xludf.DUMMYFUNCTION("$D63/(index(GOOGLEFINANCE($B63,""price"",$H$4,today()),2,2))-1"),-0.0943298075255766)</f>
        <v>-0.0943298075255766</v>
      </c>
      <c r="H63" s="33" t="str">
        <f>IFERROR(__xludf.DUMMYFUNCTION("IF(B63="""","""",SPARKLINE(INDEX(GOOGLEFINANCE($B63,""price"",$H$4,today()),,2),{""charttype"",""line""}))"),"")</f>
        <v/>
      </c>
      <c r="I63" s="29" t="str">
        <f>IFERROR(__xludf.DUMMYFUNCTION("IF(B63="""","""",SPARKLINE(INDEX(GOOGLEFINANCE($B63,""volume"",$H$4,today()),,2),{""charttype"",""column"";""color"",""grey"";""lowcolor"",""red"";""highcolor"",""black""}))"),"")</f>
        <v/>
      </c>
      <c r="J63" s="30">
        <f t="shared" si="10"/>
        <v>0.084796554151626</v>
      </c>
      <c r="K63" s="30">
        <f t="shared" si="11"/>
        <v>-0.0425633166650897</v>
      </c>
      <c r="L63" s="32">
        <f>[1]DATA!F71</f>
        <v>55.2499539038755</v>
      </c>
      <c r="M63" s="32">
        <f>[1]DATA!G71</f>
        <v>-0.0270880612669552</v>
      </c>
      <c r="N63" s="32">
        <f>[1]DATA!H71</f>
        <v>-0.0234257614363867</v>
      </c>
    </row>
    <row r="64" ht="14.25" spans="1:14">
      <c r="A64" s="10" t="s">
        <v>1135</v>
      </c>
      <c r="B64" s="10" t="str">
        <f>IFERROR(__xludf.DUMMYFUNCTION("GOOGLEFINANCE(B64,""name"")"),"VanEck Agribusiness ETF")</f>
        <v>VanEck Agribusiness ETF</v>
      </c>
      <c r="C64" s="21">
        <f>IFERROR(__xludf.DUMMYFUNCTION("GOOGLEFINANCE(B64)"),69.49)</f>
        <v>69.49</v>
      </c>
      <c r="D64" s="23">
        <f>IFERROR(__xludf.DUMMYFUNCTION("GOOGLEFINANCE(B64,""changepct"")/100"),-0.0039)</f>
        <v>-0.0039</v>
      </c>
      <c r="E64" s="23">
        <f>IFERROR(__xludf.DUMMYFUNCTION("$D64/(index(GOOGLEFINANCE($B64,""price"",workday(today(),-F$4),today()),2,2))-1"),0.015341905318527)</f>
        <v>0.015341905318527</v>
      </c>
      <c r="F64" s="23">
        <f>IFERROR(__xludf.DUMMYFUNCTION("$D64/(index(GOOGLEFINANCE($B64,""price"",workday(today(),-G$4),today()),2,2))-1"),-0.0179479932165066)</f>
        <v>-0.0179479932165066</v>
      </c>
      <c r="G64" s="32">
        <f>IFERROR(__xludf.DUMMYFUNCTION("$D64/(index(GOOGLEFINANCE($B64,""price"",$H$4,today()),2,2))-1"),-0.0179479932165066)</f>
        <v>-0.0179479932165066</v>
      </c>
      <c r="H64" s="33" t="str">
        <f>IFERROR(__xludf.DUMMYFUNCTION("IF(B64="""","""",SPARKLINE(INDEX(GOOGLEFINANCE($B64,""price"",$H$4,today()),,2),{""charttype"",""line""}))"),"")</f>
        <v/>
      </c>
      <c r="I64" s="29" t="str">
        <f>IFERROR(__xludf.DUMMYFUNCTION("IF(B64="""","""",SPARKLINE(INDEX(GOOGLEFINANCE($B64,""volume"",$H$4,today()),,2),{""charttype"",""column"";""color"",""grey"";""lowcolor"",""red"";""highcolor"",""black""}))"),"")</f>
        <v/>
      </c>
      <c r="J64" s="30">
        <f t="shared" si="10"/>
        <v>0.0671083961790139</v>
      </c>
      <c r="K64" s="30">
        <f t="shared" si="11"/>
        <v>0.0338184976439803</v>
      </c>
      <c r="L64" s="32">
        <f>[1]DATA!F72</f>
        <v>72.02082263615</v>
      </c>
      <c r="M64" s="32">
        <f>[1]DATA!G72</f>
        <v>-0.0113543809639344</v>
      </c>
      <c r="N64" s="32">
        <f>[1]DATA!H72</f>
        <v>-0.0106414537524535</v>
      </c>
    </row>
    <row r="65" ht="14.25" spans="1:14">
      <c r="A65" s="10" t="s">
        <v>976</v>
      </c>
      <c r="B65" s="10" t="str">
        <f>IFERROR(__xludf.DUMMYFUNCTION("GOOGLEFINANCE(B65,""name"")"),"Global X Marijuana Life Sciences Index ETF")</f>
        <v>Global X Marijuana Life Sciences Index ETF</v>
      </c>
      <c r="C65" s="21">
        <f>IFERROR(__xludf.DUMMYFUNCTION("GOOGLEFINANCE(B65)"),10.11)</f>
        <v>10.11</v>
      </c>
      <c r="D65" s="23">
        <f>IFERROR(__xludf.DUMMYFUNCTION("GOOGLEFINANCE(B65,""changepct"")/100"),-0.0098)</f>
        <v>-0.0098</v>
      </c>
      <c r="E65" s="23">
        <f>IFERROR(__xludf.DUMMYFUNCTION("$D65/(index(GOOGLEFINANCE($B65,""price"",workday(today(),-F$4),today()),2,2))-1"),-0.0165369649805446)</f>
        <v>-0.0165369649805446</v>
      </c>
      <c r="F65" s="23">
        <f>IFERROR(__xludf.DUMMYFUNCTION("$D65/(index(GOOGLEFINANCE($B65,""price"",workday(today(),-G$4),today()),2,2))-1"),-0.043519394512772)</f>
        <v>-0.043519394512772</v>
      </c>
      <c r="G65" s="32">
        <f>IFERROR(__xludf.DUMMYFUNCTION("$D65/(index(GOOGLEFINANCE($B65,""price"",$H$4,today()),2,2))-1"),-0.043519394512772)</f>
        <v>-0.043519394512772</v>
      </c>
      <c r="H65" s="33" t="str">
        <f>IFERROR(__xludf.DUMMYFUNCTION("IF(B65="""","""",SPARKLINE(INDEX(GOOGLEFINANCE($B65,""price"",$H$4,today()),,2),{""charttype"",""line""}))"),"")</f>
        <v/>
      </c>
      <c r="I65" s="29" t="str">
        <f>IFERROR(__xludf.DUMMYFUNCTION("IF(B65="""","""",SPARKLINE(INDEX(GOOGLEFINANCE($B65,""volume"",$H$4,today()),,2),{""charttype"",""column"";""color"",""grey"";""lowcolor"",""red"";""highcolor"",""black""}))"),"")</f>
        <v/>
      </c>
      <c r="J65" s="30">
        <f t="shared" si="10"/>
        <v>0.0352295258799423</v>
      </c>
      <c r="K65" s="30">
        <f t="shared" si="11"/>
        <v>0.0082470963477149</v>
      </c>
      <c r="L65" s="32">
        <f>[1]DATA!F73</f>
        <v>10.2510585423157</v>
      </c>
      <c r="M65" s="32">
        <f>[1]DATA!G73</f>
        <v>-0.0390184441705378</v>
      </c>
      <c r="N65" s="32">
        <f>[1]DATA!H73</f>
        <v>0.00636926702518263</v>
      </c>
    </row>
    <row r="66" ht="14.25" spans="1:14">
      <c r="A66" s="10" t="s">
        <v>1136</v>
      </c>
      <c r="B66" s="10" t="str">
        <f>IFERROR(__xludf.DUMMYFUNCTION("GOOGLEFINANCE(B66,""name"")"),"Invesco Solar ETF")</f>
        <v>Invesco Solar ETF</v>
      </c>
      <c r="C66" s="21">
        <f>IFERROR(__xludf.DUMMYFUNCTION("GOOGLEFINANCE(B66)"),39.13)</f>
        <v>39.13</v>
      </c>
      <c r="D66" s="23">
        <f>IFERROR(__xludf.DUMMYFUNCTION("GOOGLEFINANCE(B66,""changepct"")/100"),-0.0066)</f>
        <v>-0.0066</v>
      </c>
      <c r="E66" s="23">
        <f>IFERROR(__xludf.DUMMYFUNCTION("$D66/(index(GOOGLEFINANCE($B66,""price"",workday(today(),-F$4),today()),2,2))-1"),0.000255623721881592)</f>
        <v>0.000255623721881592</v>
      </c>
      <c r="F66" s="23">
        <f>IFERROR(__xludf.DUMMYFUNCTION("$D66/(index(GOOGLEFINANCE($B66,""price"",workday(today(),-G$4),today()),2,2))-1"),-0.0658868465027452)</f>
        <v>-0.0658868465027452</v>
      </c>
      <c r="G66" s="32">
        <f>IFERROR(__xludf.DUMMYFUNCTION("$D66/(index(GOOGLEFINANCE($B66,""price"",$H$4,today()),2,2))-1"),-0.0658868465027452)</f>
        <v>-0.0658868465027452</v>
      </c>
      <c r="H66" s="33" t="str">
        <f>IFERROR(__xludf.DUMMYFUNCTION("IF(B66="""","""",SPARKLINE(INDEX(GOOGLEFINANCE($B66,""price"",$H$4,today()),,2),{""charttype"",""line""}))"),"")</f>
        <v/>
      </c>
      <c r="I66" s="29" t="str">
        <f>IFERROR(__xludf.DUMMYFUNCTION("IF(B66="""","""",SPARKLINE(INDEX(GOOGLEFINANCE($B66,""volume"",$H$4,today()),,2),{""charttype"",""column"";""color"",""grey"";""lowcolor"",""red"";""highcolor"",""black""}))"),"")</f>
        <v/>
      </c>
      <c r="J66" s="30">
        <f t="shared" si="10"/>
        <v>0.0520221145823685</v>
      </c>
      <c r="K66" s="30">
        <f t="shared" si="11"/>
        <v>-0.0141203556422583</v>
      </c>
      <c r="L66" s="32">
        <f>[1]DATA!F74</f>
        <v>43.5993262094378</v>
      </c>
      <c r="M66" s="32">
        <f>[1]DATA!G74</f>
        <v>-0.0393593431057777</v>
      </c>
      <c r="N66" s="32">
        <f>[1]DATA!H74</f>
        <v>-0.0344486360524052</v>
      </c>
    </row>
    <row r="67" ht="14.25" spans="1:14">
      <c r="A67" s="10" t="s">
        <v>1137</v>
      </c>
      <c r="B67" s="10" t="str">
        <f>IFERROR(__xludf.DUMMYFUNCTION("GOOGLEFINANCE(B67,""name"")"),"First Trust NASDAQ Clean Edge Green Energy Idx Fd")</f>
        <v>First Trust NASDAQ Clean Edge Green Energy Idx Fd</v>
      </c>
      <c r="C67" s="21">
        <f>IFERROR(__xludf.DUMMYFUNCTION("GOOGLEFINANCE(B67)"),32.12)</f>
        <v>32.12</v>
      </c>
      <c r="D67" s="23">
        <f>IFERROR(__xludf.DUMMYFUNCTION("GOOGLEFINANCE(B67,""changepct"")/100"),-0.015)</f>
        <v>-0.015</v>
      </c>
      <c r="E67" s="23">
        <f>IFERROR(__xludf.DUMMYFUNCTION("$D67/(index(GOOGLEFINANCE($B67,""price"",workday(today(),-F$4),today()),2,2))-1"),-0.00802964793082161)</f>
        <v>-0.00802964793082161</v>
      </c>
      <c r="F67" s="23">
        <f>IFERROR(__xludf.DUMMYFUNCTION("$D67/(index(GOOGLEFINANCE($B67,""price"",workday(today(),-G$4),today()),2,2))-1"),-0.15161119915478)</f>
        <v>-0.15161119915478</v>
      </c>
      <c r="G67" s="32">
        <f>IFERROR(__xludf.DUMMYFUNCTION("$D67/(index(GOOGLEFINANCE($B67,""price"",$H$4,today()),2,2))-1"),-0.15161119915478)</f>
        <v>-0.15161119915478</v>
      </c>
      <c r="H67" s="33" t="str">
        <f>IFERROR(__xludf.DUMMYFUNCTION("IF(B67="""","""",SPARKLINE(INDEX(GOOGLEFINANCE($B67,""price"",$H$4,today()),,2),{""charttype"",""line""}))"),"")</f>
        <v/>
      </c>
      <c r="I67" s="29" t="str">
        <f>IFERROR(__xludf.DUMMYFUNCTION("IF(B67="""","""",SPARKLINE(INDEX(GOOGLEFINANCE($B67,""volume"",$H$4,today()),,2),{""charttype"",""column"";""color"",""grey"";""lowcolor"",""red"";""highcolor"",""black""}))"),"")</f>
        <v/>
      </c>
      <c r="J67" s="30">
        <f t="shared" si="10"/>
        <v>0.0437368429296653</v>
      </c>
      <c r="K67" s="30">
        <f t="shared" si="11"/>
        <v>-0.0998447082942931</v>
      </c>
      <c r="L67" s="32">
        <f>[1]DATA!F75</f>
        <v>35.7203012980953</v>
      </c>
      <c r="M67" s="32">
        <f>[1]DATA!G75</f>
        <v>-0.0659031488148596</v>
      </c>
      <c r="N67" s="32">
        <f>[1]DATA!H75</f>
        <v>-0.0246051162405341</v>
      </c>
    </row>
    <row r="68" ht="14.25" spans="1:14">
      <c r="A68" s="10" t="s">
        <v>1138</v>
      </c>
      <c r="B68" s="10" t="str">
        <f>IFERROR(__xludf.DUMMYFUNCTION("GOOGLEFINANCE(B68,""name"")"),"Invesco WilderHill Clean Energy ETF")</f>
        <v>Invesco WilderHill Clean Energy ETF</v>
      </c>
      <c r="C68" s="21">
        <f>IFERROR(__xludf.DUMMYFUNCTION("GOOGLEFINANCE(B68)"),17.83)</f>
        <v>17.83</v>
      </c>
      <c r="D68" s="23">
        <f>IFERROR(__xludf.DUMMYFUNCTION("GOOGLEFINANCE(B68,""changepct"")/100"),-0.016)</f>
        <v>-0.016</v>
      </c>
      <c r="E68" s="23">
        <f>IFERROR(__xludf.DUMMYFUNCTION("$D68/(index(GOOGLEFINANCE($B68,""price"",workday(today(),-F$4),today()),2,2))-1"),-0.0571126388154417)</f>
        <v>-0.0571126388154417</v>
      </c>
      <c r="F68" s="23">
        <f>IFERROR(__xludf.DUMMYFUNCTION("$D68/(index(GOOGLEFINANCE($B68,""price"",workday(today(),-G$4),today()),2,2))-1"),-0.224107919930374)</f>
        <v>-0.224107919930374</v>
      </c>
      <c r="G68" s="32">
        <f>IFERROR(__xludf.DUMMYFUNCTION("$D68/(index(GOOGLEFINANCE($B68,""price"",$H$4,today()),2,2))-1"),-0.224107919930374)</f>
        <v>-0.224107919930374</v>
      </c>
      <c r="H68" s="33" t="str">
        <f>IFERROR(__xludf.DUMMYFUNCTION("IF(B68="""","""",SPARKLINE(INDEX(GOOGLEFINANCE($B68,""price"",$H$4,today()),,2),{""charttype"",""line""}))"),"")</f>
        <v/>
      </c>
      <c r="I68" s="29" t="str">
        <f>IFERROR(__xludf.DUMMYFUNCTION("IF(B68="""","""",SPARKLINE(INDEX(GOOGLEFINANCE($B68,""volume"",$H$4,today()),,2),{""charttype"",""column"";""color"",""grey"";""lowcolor"",""red"";""highcolor"",""black""}))"),"")</f>
        <v/>
      </c>
      <c r="J68" s="30">
        <f t="shared" si="10"/>
        <v>-0.0053461479549548</v>
      </c>
      <c r="K68" s="30">
        <f t="shared" si="11"/>
        <v>-0.172341429069887</v>
      </c>
      <c r="L68" s="32">
        <f>[1]DATA!F76</f>
        <v>22.2567006890627</v>
      </c>
      <c r="M68" s="32">
        <f>[1]DATA!G76</f>
        <v>-0.108498924491979</v>
      </c>
      <c r="N68" s="32">
        <f>[1]DATA!H76</f>
        <v>-0.0501464238579121</v>
      </c>
    </row>
    <row r="69" ht="14.25" spans="1:14">
      <c r="A69" s="20" t="s">
        <v>1139</v>
      </c>
      <c r="B69" s="10"/>
      <c r="C69" s="21"/>
      <c r="D69" s="23"/>
      <c r="E69" s="23"/>
      <c r="F69" s="23"/>
      <c r="G69" s="32"/>
      <c r="H69" s="33"/>
      <c r="I69" s="29"/>
      <c r="J69" s="29"/>
      <c r="K69" s="30"/>
      <c r="L69" s="32">
        <f>[1]DATA!F77</f>
        <v>0</v>
      </c>
      <c r="M69" s="32">
        <f>[1]DATA!G77</f>
        <v>0</v>
      </c>
      <c r="N69" s="32">
        <f>[1]DATA!H77</f>
        <v>0</v>
      </c>
    </row>
    <row r="70" ht="14.25" spans="1:14">
      <c r="A70" s="10" t="s">
        <v>1140</v>
      </c>
      <c r="B70" s="10" t="str">
        <f>IFERROR(__xludf.DUMMYFUNCTION("GOOGLEFINANCE(B70,""name"")"),"Amplify Ai Powered Equity ETF")</f>
        <v>Amplify Ai Powered Equity ETF</v>
      </c>
      <c r="C70" s="21">
        <f>IFERROR(__xludf.DUMMYFUNCTION("GOOGLEFINANCE(B70)"),34.55)</f>
        <v>34.55</v>
      </c>
      <c r="D70" s="23">
        <f>IFERROR(__xludf.DUMMYFUNCTION("GOOGLEFINANCE(B70,""changepct"")/100"),-0.002)</f>
        <v>-0.002</v>
      </c>
      <c r="E70" s="23">
        <f>IFERROR(__xludf.DUMMYFUNCTION("$D70/(index(GOOGLEFINANCE($B70,""price"",workday(today(),-F$4),today()),2,2))-1"),0.0384730988878867)</f>
        <v>0.0384730988878867</v>
      </c>
      <c r="F70" s="23">
        <f>IFERROR(__xludf.DUMMYFUNCTION("$D70/(index(GOOGLEFINANCE($B70,""price"",workday(today(),-G$4),today()),2,2))-1"),-0.0881499076273424)</f>
        <v>-0.0881499076273424</v>
      </c>
      <c r="G70" s="32">
        <f>IFERROR(__xludf.DUMMYFUNCTION("$D70/(index(GOOGLEFINANCE($B70,""price"",$H$4,today()),2,2))-1"),-0.0881499076273424)</f>
        <v>-0.0881499076273424</v>
      </c>
      <c r="H70" s="33" t="str">
        <f>IFERROR(__xludf.DUMMYFUNCTION("IF(B70="""","""",SPARKLINE(INDEX(GOOGLEFINANCE($B70,""price"",$H$4,today()),,2),{""charttype"",""line""}))"),"")</f>
        <v/>
      </c>
      <c r="I70" s="29" t="str">
        <f>IFERROR(__xludf.DUMMYFUNCTION("IF(B70="""","""",SPARKLINE(INDEX(GOOGLEFINANCE($B70,""volume"",$H$4,today()),,2),{""charttype"",""column"";""color"",""grey"";""lowcolor"",""red"";""highcolor"",""black""}))"),"")</f>
        <v/>
      </c>
      <c r="J70" s="30">
        <f t="shared" ref="J70:J74" si="12">E70-$F$6</f>
        <v>0.0902395897483736</v>
      </c>
      <c r="K70" s="30">
        <f t="shared" ref="K70:K74" si="13">F70-$G$6</f>
        <v>-0.0363834167668555</v>
      </c>
      <c r="L70" s="32">
        <f>[1]DATA!F78</f>
        <v>35.3139506368822</v>
      </c>
      <c r="M70" s="32">
        <f>[1]DATA!G78</f>
        <v>-0.019702604312734</v>
      </c>
      <c r="N70" s="32">
        <f>[1]DATA!H78</f>
        <v>-0.0122538842861352</v>
      </c>
    </row>
    <row r="71" ht="14.25" spans="1:14">
      <c r="A71" s="10" t="s">
        <v>1141</v>
      </c>
      <c r="B71" s="10" t="str">
        <f>IFERROR(__xludf.DUMMYFUNCTION("GOOGLEFINANCE(B71,""name"")"),"Innovator IBD 50 ETF")</f>
        <v>Innovator IBD 50 ETF</v>
      </c>
      <c r="C71" s="21">
        <f>IFERROR(__xludf.DUMMYFUNCTION("GOOGLEFINANCE(B71)"),25.11)</f>
        <v>25.11</v>
      </c>
      <c r="D71" s="23">
        <f>IFERROR(__xludf.DUMMYFUNCTION("GOOGLEFINANCE(B71,""changepct"")/100"),0)</f>
        <v>0</v>
      </c>
      <c r="E71" s="23">
        <f>IFERROR(__xludf.DUMMYFUNCTION("$D71/(index(GOOGLEFINANCE($B71,""price"",workday(today(),-F$4),today()),2,2))-1"),0.0432073120066471)</f>
        <v>0.0432073120066471</v>
      </c>
      <c r="F71" s="23">
        <f>IFERROR(__xludf.DUMMYFUNCTION("$D71/(index(GOOGLEFINANCE($B71,""price"",workday(today(),-G$4),today()),2,2))-1"),-0.121413575927221)</f>
        <v>-0.121413575927221</v>
      </c>
      <c r="G71" s="32">
        <f>IFERROR(__xludf.DUMMYFUNCTION("$D71/(index(GOOGLEFINANCE($B71,""price"",$H$4,today()),2,2))-1"),-0.121413575927221)</f>
        <v>-0.121413575927221</v>
      </c>
      <c r="H71" s="33" t="str">
        <f>IFERROR(__xludf.DUMMYFUNCTION("IF(B71="""","""",SPARKLINE(INDEX(GOOGLEFINANCE($B71,""price"",$H$4,today()),,2),{""charttype"",""line""}))"),"")</f>
        <v/>
      </c>
      <c r="I71" s="29" t="str">
        <f>IFERROR(__xludf.DUMMYFUNCTION("IF(B71="""","""",SPARKLINE(INDEX(GOOGLEFINANCE($B71,""volume"",$H$4,today()),,2),{""charttype"",""column"";""color"",""grey"";""lowcolor"",""red"";""highcolor"",""black""}))"),"")</f>
        <v/>
      </c>
      <c r="J71" s="30">
        <f t="shared" si="12"/>
        <v>0.094973802867134</v>
      </c>
      <c r="K71" s="30">
        <f t="shared" si="13"/>
        <v>-0.0696470850667341</v>
      </c>
      <c r="L71" s="32">
        <f>[1]DATA!F79</f>
        <v>26.6776644736803</v>
      </c>
      <c r="M71" s="32">
        <f>[1]DATA!G79</f>
        <v>-0.0299377430966133</v>
      </c>
      <c r="N71" s="32">
        <f>[1]DATA!H79</f>
        <v>-0.0346728764417934</v>
      </c>
    </row>
    <row r="72" ht="14.25" spans="1:14">
      <c r="A72" s="10" t="s">
        <v>1140</v>
      </c>
      <c r="B72" s="10" t="str">
        <f>IFERROR(__xludf.DUMMYFUNCTION("GOOGLEFINANCE(B72,""name"")"),"Amplify Ai Powered Equity ETF")</f>
        <v>Amplify Ai Powered Equity ETF</v>
      </c>
      <c r="C72" s="21">
        <f>IFERROR(__xludf.DUMMYFUNCTION("GOOGLEFINANCE(B72)"),34.55)</f>
        <v>34.55</v>
      </c>
      <c r="D72" s="23">
        <f>IFERROR(__xludf.DUMMYFUNCTION("GOOGLEFINANCE(B72,""changepct"")/100"),-0.002)</f>
        <v>-0.002</v>
      </c>
      <c r="E72" s="23">
        <f>IFERROR(__xludf.DUMMYFUNCTION("$D72/(index(GOOGLEFINANCE($B72,""price"",workday(today(),-F$4),today()),2,2))-1"),0.0384730988878867)</f>
        <v>0.0384730988878867</v>
      </c>
      <c r="F72" s="23">
        <f>IFERROR(__xludf.DUMMYFUNCTION("$D72/(index(GOOGLEFINANCE($B72,""price"",workday(today(),-G$4),today()),2,2))-1"),-0.0881499076273424)</f>
        <v>-0.0881499076273424</v>
      </c>
      <c r="G72" s="32">
        <f>IFERROR(__xludf.DUMMYFUNCTION("$D72/(index(GOOGLEFINANCE($B72,""price"",$H$4,today()),2,2))-1"),-0.0881499076273424)</f>
        <v>-0.0881499076273424</v>
      </c>
      <c r="H72" s="33" t="str">
        <f>IFERROR(__xludf.DUMMYFUNCTION("IF(B72="""","""",SPARKLINE(INDEX(GOOGLEFINANCE($B72,""price"",$H$4,today()),,2),{""charttype"",""line""}))"),"")</f>
        <v/>
      </c>
      <c r="I72" s="29" t="str">
        <f>IFERROR(__xludf.DUMMYFUNCTION("IF(B72="""","""",SPARKLINE(INDEX(GOOGLEFINANCE($B72,""volume"",$H$4,today()),,2),{""charttype"",""column"";""color"",""grey"";""lowcolor"",""red"";""highcolor"",""black""}))"),"")</f>
        <v/>
      </c>
      <c r="J72" s="30">
        <f t="shared" si="12"/>
        <v>0.0902395897483736</v>
      </c>
      <c r="K72" s="30">
        <f t="shared" si="13"/>
        <v>-0.0363834167668555</v>
      </c>
      <c r="L72" s="32">
        <f>[1]DATA!F80</f>
        <v>35.3139506368822</v>
      </c>
      <c r="M72" s="32">
        <f>[1]DATA!G80</f>
        <v>-0.019702604312734</v>
      </c>
      <c r="N72" s="32">
        <f>[1]DATA!H80</f>
        <v>-0.0122538842861352</v>
      </c>
    </row>
    <row r="73" ht="14.25" spans="1:14">
      <c r="A73" s="10" t="s">
        <v>1142</v>
      </c>
      <c r="B73" s="10" t="str">
        <f>IFERROR(__xludf.DUMMYFUNCTION("GOOGLEFINANCE(B73,""name"")"),"WisdomTree US AI Enhanced Value Fund")</f>
        <v>WisdomTree US AI Enhanced Value Fund</v>
      </c>
      <c r="C73" s="21">
        <f>IFERROR(__xludf.DUMMYFUNCTION("GOOGLEFINANCE(B73)"),104.29)</f>
        <v>104.29</v>
      </c>
      <c r="D73" s="23">
        <f>IFERROR(__xludf.DUMMYFUNCTION("GOOGLEFINANCE(B73,""changepct"")/100"),0)</f>
        <v>0</v>
      </c>
      <c r="E73" s="23">
        <f>IFERROR(__xludf.DUMMYFUNCTION("$D73/(index(GOOGLEFINANCE($B73,""price"",workday(today(),-F$4),today()),2,2))-1"),0.01825815270455)</f>
        <v>0.01825815270455</v>
      </c>
      <c r="F73" s="23">
        <f>IFERROR(__xludf.DUMMYFUNCTION("$D73/(index(GOOGLEFINANCE($B73,""price"",workday(today(),-G$4),today()),2,2))-1"),0.0223507499264778)</f>
        <v>0.0223507499264778</v>
      </c>
      <c r="G73" s="32">
        <f>IFERROR(__xludf.DUMMYFUNCTION("$D73/(index(GOOGLEFINANCE($B73,""price"",$H$4,today()),2,2))-1"),0.0223507499264778)</f>
        <v>0.0223507499264778</v>
      </c>
      <c r="H73" s="33" t="str">
        <f>IFERROR(__xludf.DUMMYFUNCTION("IF(B73="""","""",SPARKLINE(INDEX(GOOGLEFINANCE($B73,""price"",$H$4,today()),,2),{""charttype"",""line""}))"),"")</f>
        <v/>
      </c>
      <c r="I73" s="29" t="str">
        <f>IFERROR(__xludf.DUMMYFUNCTION("IF(B73="""","""",SPARKLINE(INDEX(GOOGLEFINANCE($B73,""volume"",$H$4,today()),,2),{""charttype"",""column"";""color"",""grey"";""lowcolor"",""red"";""highcolor"",""black""}))"),"")</f>
        <v/>
      </c>
      <c r="J73" s="30">
        <f t="shared" si="12"/>
        <v>0.0700246435650369</v>
      </c>
      <c r="K73" s="30">
        <f t="shared" si="13"/>
        <v>0.0741172407869647</v>
      </c>
      <c r="L73" s="32">
        <f>[1]DATA!F81</f>
        <v>100.213728733414</v>
      </c>
      <c r="M73" s="32">
        <f>[1]DATA!G81</f>
        <v>0.00764737983083272</v>
      </c>
      <c r="N73" s="32">
        <f>[1]DATA!H81</f>
        <v>0.0155802381486481</v>
      </c>
    </row>
    <row r="74" ht="14.25" spans="1:14">
      <c r="A74" s="10" t="s">
        <v>1143</v>
      </c>
      <c r="B74" s="10" t="str">
        <f>IFERROR(__xludf.DUMMYFUNCTION("GOOGLEFINANCE(B74,""name"")"),"SPDR S&amp;P Kensho New Economies Composite ETF")</f>
        <v>SPDR S&amp;P Kensho New Economies Composite ETF</v>
      </c>
      <c r="C74" s="21">
        <f>IFERROR(__xludf.DUMMYFUNCTION("GOOGLEFINANCE(B74)"),45.43)</f>
        <v>45.43</v>
      </c>
      <c r="D74" s="23">
        <f>IFERROR(__xludf.DUMMYFUNCTION("GOOGLEFINANCE(B74,""changepct"")/100"),-0.0079)</f>
        <v>-0.0079</v>
      </c>
      <c r="E74" s="23">
        <f>IFERROR(__xludf.DUMMYFUNCTION("$D74/(index(GOOGLEFINANCE($B74,""price"",workday(today(),-F$4),today()),2,2))-1"),0.020669512469108)</f>
        <v>0.020669512469108</v>
      </c>
      <c r="F74" s="23">
        <f>IFERROR(__xludf.DUMMYFUNCTION("$D74/(index(GOOGLEFINANCE($B74,""price"",workday(today(),-G$4),today()),2,2))-1"),-0.073802242609582)</f>
        <v>-0.073802242609582</v>
      </c>
      <c r="G74" s="32">
        <f>IFERROR(__xludf.DUMMYFUNCTION("$D74/(index(GOOGLEFINANCE($B74,""price"",$H$4,today()),2,2))-1"),-0.073802242609582)</f>
        <v>-0.073802242609582</v>
      </c>
      <c r="H74" s="33" t="str">
        <f>IFERROR(__xludf.DUMMYFUNCTION("IF(B74="""","""",SPARKLINE(INDEX(GOOGLEFINANCE($B74,""price"",$H$4,today()),,2),{""charttype"",""line""}))"),"")</f>
        <v/>
      </c>
      <c r="I74" s="29" t="str">
        <f>IFERROR(__xludf.DUMMYFUNCTION("IF(B74="""","""",SPARKLINE(INDEX(GOOGLEFINANCE($B74,""volume"",$H$4,today()),,2),{""charttype"",""column"";""color"",""grey"";""lowcolor"",""red"";""highcolor"",""black""}))"),"")</f>
        <v/>
      </c>
      <c r="J74" s="30">
        <f t="shared" si="12"/>
        <v>0.0724360033295949</v>
      </c>
      <c r="K74" s="30">
        <f t="shared" si="13"/>
        <v>-0.0220357517490951</v>
      </c>
      <c r="L74" s="32">
        <f>[1]DATA!F82</f>
        <v>46.3106181964748</v>
      </c>
      <c r="M74" s="32">
        <f>[1]DATA!G82</f>
        <v>-0.0258542344272407</v>
      </c>
      <c r="N74" s="32">
        <f>[1]DATA!H82</f>
        <v>-0.00417634731117049</v>
      </c>
    </row>
    <row r="75" ht="14.25" spans="1:14">
      <c r="A75" s="20" t="s">
        <v>1144</v>
      </c>
      <c r="B75" s="10"/>
      <c r="C75" s="21"/>
      <c r="D75" s="23"/>
      <c r="E75" s="23"/>
      <c r="F75" s="23"/>
      <c r="G75" s="32"/>
      <c r="H75" s="33"/>
      <c r="I75" s="29"/>
      <c r="J75" s="29"/>
      <c r="K75" s="30"/>
      <c r="L75" s="32">
        <f>[1]DATA!F83</f>
        <v>0</v>
      </c>
      <c r="M75" s="32">
        <f>[1]DATA!G83</f>
        <v>0</v>
      </c>
      <c r="N75" s="32">
        <f>[1]DATA!H83</f>
        <v>0</v>
      </c>
    </row>
    <row r="76" ht="14.25" spans="1:14">
      <c r="A76" s="10" t="s">
        <v>1034</v>
      </c>
      <c r="B76" s="10" t="str">
        <f>IFERROR(__xludf.DUMMYFUNCTION("GOOGLEFINANCE(B76,""name"")"),"iShares 20+ Year Treasury Bond ETF")</f>
        <v>iShares 20+ Year Treasury Bond ETF</v>
      </c>
      <c r="C76" s="21">
        <f>IFERROR(__xludf.DUMMYFUNCTION("GOOGLEFINANCE(B76)"),96.72)</f>
        <v>96.72</v>
      </c>
      <c r="D76" s="23">
        <f>IFERROR(__xludf.DUMMYFUNCTION("GOOGLEFINANCE(B76,""changepct"")/100"),0.00469999999999999)</f>
        <v>0.00469999999999999</v>
      </c>
      <c r="E76" s="23">
        <f>IFERROR(__xludf.DUMMYFUNCTION("$D76/(index(GOOGLEFINANCE($B76,""price"",workday(today(),-F$4),today()),2,2))-1"),-0.0210526315789473)</f>
        <v>-0.0210526315789473</v>
      </c>
      <c r="F76" s="23">
        <f>IFERROR(__xludf.DUMMYFUNCTION("$D76/(index(GOOGLEFINANCE($B76,""price"",workday(today(),-G$4),today()),2,2))-1"),0.0415679517553306)</f>
        <v>0.0415679517553306</v>
      </c>
      <c r="G76" s="32">
        <f>IFERROR(__xludf.DUMMYFUNCTION("$D76/(index(GOOGLEFINANCE($B76,""price"",$H$4,today()),2,2))-1"),0.0415679517553306)</f>
        <v>0.0415679517553306</v>
      </c>
      <c r="H76" s="33" t="str">
        <f>IFERROR(__xludf.DUMMYFUNCTION("IF(B76="""","""",SPARKLINE(INDEX(GOOGLEFINANCE($B76,""price"",$H$4,today()),,2),{""charttype"",""line""}))"),"")</f>
        <v/>
      </c>
      <c r="I76" s="29" t="str">
        <f>IFERROR(__xludf.DUMMYFUNCTION("IF(B76="""","""",SPARKLINE(INDEX(GOOGLEFINANCE($B76,""volume"",$H$4,today()),,2),{""charttype"",""column"";""color"",""grey"";""lowcolor"",""red"";""highcolor"",""black""}))"),"")</f>
        <v/>
      </c>
      <c r="J76" s="30">
        <f t="shared" ref="J76:J83" si="14">E76-$F$6</f>
        <v>0.0307138592815396</v>
      </c>
      <c r="K76" s="30">
        <f t="shared" ref="K76:K83" si="15">F76-$G$6</f>
        <v>0.0933344426158175</v>
      </c>
      <c r="L76" s="32">
        <f>[1]DATA!F84</f>
        <v>93.0844277141621</v>
      </c>
      <c r="M76" s="32">
        <f>[1]DATA!G84</f>
        <v>0.0178876230413741</v>
      </c>
      <c r="N76" s="32">
        <f>[1]DATA!H84</f>
        <v>0.0162123835783603</v>
      </c>
    </row>
    <row r="77" ht="14.25" spans="1:14">
      <c r="A77" s="10" t="s">
        <v>1015</v>
      </c>
      <c r="B77" s="10" t="str">
        <f>IFERROR(__xludf.DUMMYFUNCTION("GOOGLEFINANCE(B77,""name"")"),"iShares Preferred and Income Securities ETF")</f>
        <v>iShares Preferred and Income Securities ETF</v>
      </c>
      <c r="C77" s="21">
        <f>IFERROR(__xludf.DUMMYFUNCTION("GOOGLEFINANCE(B77)"),31.39)</f>
        <v>31.39</v>
      </c>
      <c r="D77" s="23">
        <f>IFERROR(__xludf.DUMMYFUNCTION("GOOGLEFINANCE(B77,""changepct"")/100"),-0.0058)</f>
        <v>-0.0058</v>
      </c>
      <c r="E77" s="23">
        <f>IFERROR(__xludf.DUMMYFUNCTION("$D77/(index(GOOGLEFINANCE($B77,""price"",workday(today(),-F$4),today()),2,2))-1"),0.00673508659397059)</f>
        <v>0.00673508659397059</v>
      </c>
      <c r="F77" s="23">
        <f>IFERROR(__xludf.DUMMYFUNCTION("$D77/(index(GOOGLEFINANCE($B77,""price"",workday(today(),-G$4),today()),2,2))-1"),-0.017219787100814)</f>
        <v>-0.017219787100814</v>
      </c>
      <c r="G77" s="32">
        <f>IFERROR(__xludf.DUMMYFUNCTION("$D77/(index(GOOGLEFINANCE($B77,""price"",$H$4,today()),2,2))-1"),-0.017219787100814)</f>
        <v>-0.017219787100814</v>
      </c>
      <c r="H77" s="33" t="str">
        <f>IFERROR(__xludf.DUMMYFUNCTION("IF(B77="""","""",SPARKLINE(INDEX(GOOGLEFINANCE($B77,""price"",$H$4,today()),,2),{""charttype"",""line""}))"),"")</f>
        <v/>
      </c>
      <c r="I77" s="29" t="str">
        <f>IFERROR(__xludf.DUMMYFUNCTION("IF(B77="""","""",SPARKLINE(INDEX(GOOGLEFINANCE($B77,""volume"",$H$4,today()),,2),{""charttype"",""column"";""color"",""grey"";""lowcolor"",""red"";""highcolor"",""black""}))"),"")</f>
        <v/>
      </c>
      <c r="J77" s="30">
        <f t="shared" si="14"/>
        <v>0.0585015774544575</v>
      </c>
      <c r="K77" s="30">
        <f t="shared" si="15"/>
        <v>0.0345467037596729</v>
      </c>
      <c r="L77" s="32">
        <f>[1]DATA!F85</f>
        <v>31.5300025458914</v>
      </c>
      <c r="M77" s="32">
        <f>[1]DATA!G85</f>
        <v>-0.00629480339311634</v>
      </c>
      <c r="N77" s="32">
        <f>[1]DATA!H85</f>
        <v>-0.000613398525656903</v>
      </c>
    </row>
    <row r="78" ht="14.25" spans="1:14">
      <c r="A78" s="10" t="s">
        <v>1007</v>
      </c>
      <c r="B78" s="10" t="str">
        <f>IFERROR(__xludf.DUMMYFUNCTION("GOOGLEFINANCE(B78,""name"")"),"Vanguard Real Estate Index Fund ETF")</f>
        <v>Vanguard Real Estate Index Fund ETF</v>
      </c>
      <c r="C78" s="21">
        <f>IFERROR(__xludf.DUMMYFUNCTION("GOOGLEFINANCE(B78)"),90.15)</f>
        <v>90.15</v>
      </c>
      <c r="D78" s="23">
        <f>IFERROR(__xludf.DUMMYFUNCTION("GOOGLEFINANCE(B78,""changepct"")/100"),-0.0103)</f>
        <v>-0.0103</v>
      </c>
      <c r="E78" s="23">
        <f>IFERROR(__xludf.DUMMYFUNCTION("$D78/(index(GOOGLEFINANCE($B78,""price"",workday(today(),-F$4),today()),2,2))-1"),0.016805774870291)</f>
        <v>0.016805774870291</v>
      </c>
      <c r="F78" s="23">
        <f>IFERROR(__xludf.DUMMYFUNCTION("$D78/(index(GOOGLEFINANCE($B78,""price"",workday(today(),-G$4),today()),2,2))-1"),0.0238500851788756)</f>
        <v>0.0238500851788756</v>
      </c>
      <c r="G78" s="32">
        <f>IFERROR(__xludf.DUMMYFUNCTION("$D78/(index(GOOGLEFINANCE($B78,""price"",$H$4,today()),2,2))-1"),0.0238500851788756)</f>
        <v>0.0238500851788756</v>
      </c>
      <c r="H78" s="33" t="str">
        <f>IFERROR(__xludf.DUMMYFUNCTION("IF(B78="""","""",SPARKLINE(INDEX(GOOGLEFINANCE($B78,""price"",$H$4,today()),,2),{""charttype"",""line""}))"),"")</f>
        <v/>
      </c>
      <c r="I78" s="29" t="str">
        <f>IFERROR(__xludf.DUMMYFUNCTION("IF(B78="""","""",SPARKLINE(INDEX(GOOGLEFINANCE($B78,""volume"",$H$4,today()),,2),{""charttype"",""column"";""color"",""grey"";""lowcolor"",""red"";""highcolor"",""black""}))"),"")</f>
        <v/>
      </c>
      <c r="J78" s="30">
        <f t="shared" si="14"/>
        <v>0.0685722657307779</v>
      </c>
      <c r="K78" s="30">
        <f t="shared" si="15"/>
        <v>0.0756165760393625</v>
      </c>
      <c r="L78" s="32">
        <f>[1]DATA!F86</f>
        <v>85.2622900420557</v>
      </c>
      <c r="M78" s="32">
        <f>[1]DATA!G86</f>
        <v>0.00887957384024594</v>
      </c>
      <c r="N78" s="32">
        <f>[1]DATA!H86</f>
        <v>0.0302261669801876</v>
      </c>
    </row>
    <row r="79" ht="14.25" spans="1:14">
      <c r="A79" s="10" t="s">
        <v>1089</v>
      </c>
      <c r="B79" s="10" t="str">
        <f>IFERROR(__xludf.DUMMYFUNCTION("GOOGLEFINANCE(B79,""name"")"),"Invesco S&amp;P 500 High Beta ETF")</f>
        <v>Invesco S&amp;P 500 High Beta ETF</v>
      </c>
      <c r="C79" s="21">
        <f>IFERROR(__xludf.DUMMYFUNCTION("GOOGLEFINANCE(B79)"),80.24)</f>
        <v>80.24</v>
      </c>
      <c r="D79" s="23">
        <f>IFERROR(__xludf.DUMMYFUNCTION("GOOGLEFINANCE(B79,""changepct"")/100"),-0.005)</f>
        <v>-0.005</v>
      </c>
      <c r="E79" s="23">
        <f>IFERROR(__xludf.DUMMYFUNCTION("$D79/(index(GOOGLEFINANCE($B79,""price"",workday(today(),-F$4),today()),2,2))-1"),0.0266120777891505)</f>
        <v>0.0266120777891505</v>
      </c>
      <c r="F79" s="23">
        <f>IFERROR(__xludf.DUMMYFUNCTION("$D79/(index(GOOGLEFINANCE($B79,""price"",workday(today(),-G$4),today()),2,2))-1"),-0.0942544305226324)</f>
        <v>-0.0942544305226324</v>
      </c>
      <c r="G79" s="32">
        <f>IFERROR(__xludf.DUMMYFUNCTION("$D79/(index(GOOGLEFINANCE($B79,""price"",$H$4,today()),2,2))-1"),-0.0942544305226324)</f>
        <v>-0.0942544305226324</v>
      </c>
      <c r="H79" s="33" t="str">
        <f>IFERROR(__xludf.DUMMYFUNCTION("IF(B79="""","""",SPARKLINE(INDEX(GOOGLEFINANCE($B79,""price"",$H$4,today()),,2),{""charttype"",""line""}))"),"")</f>
        <v/>
      </c>
      <c r="I79" s="29" t="str">
        <f>IFERROR(__xludf.DUMMYFUNCTION("IF(B79="""","""",SPARKLINE(INDEX(GOOGLEFINANCE($B79,""volume"",$H$4,today()),,2),{""charttype"",""column"";""color"",""grey"";""lowcolor"",""red"";""highcolor"",""black""}))"),"")</f>
        <v/>
      </c>
      <c r="J79" s="30">
        <f t="shared" si="14"/>
        <v>0.0783785686496374</v>
      </c>
      <c r="K79" s="30">
        <f t="shared" si="15"/>
        <v>-0.0424879396621455</v>
      </c>
      <c r="L79" s="32">
        <f>[1]DATA!F87</f>
        <v>83.1363718036444</v>
      </c>
      <c r="M79" s="32">
        <f>[1]DATA!G87</f>
        <v>-0.0291071935221705</v>
      </c>
      <c r="N79" s="32">
        <f>[1]DATA!H87</f>
        <v>-0.0147059623663223</v>
      </c>
    </row>
    <row r="80" ht="14.25" spans="1:14">
      <c r="A80" s="10" t="s">
        <v>1016</v>
      </c>
      <c r="B80" s="10" t="str">
        <f>IFERROR(__xludf.DUMMYFUNCTION("GOOGLEFINANCE(B80,""name"")"),"SPDR Portfolio S&amp;P 500 High Dividend ETF")</f>
        <v>SPDR Portfolio S&amp;P 500 High Dividend ETF</v>
      </c>
      <c r="C80" s="21">
        <f>IFERROR(__xludf.DUMMYFUNCTION("GOOGLEFINANCE(B80)"),42.5)</f>
        <v>42.5</v>
      </c>
      <c r="D80" s="23">
        <f>IFERROR(__xludf.DUMMYFUNCTION("GOOGLEFINANCE(B80,""changepct"")/100"),-0.0072)</f>
        <v>-0.0072</v>
      </c>
      <c r="E80" s="23">
        <f>IFERROR(__xludf.DUMMYFUNCTION("$D80/(index(GOOGLEFINANCE($B80,""price"",workday(today(),-F$4),today()),2,2))-1"),0.0157743785850859)</f>
        <v>0.0157743785850859</v>
      </c>
      <c r="F80" s="23">
        <f>IFERROR(__xludf.DUMMYFUNCTION("$D80/(index(GOOGLEFINANCE($B80,""price"",workday(today(),-G$4),today()),2,2))-1"),0.0208983905837136)</f>
        <v>0.0208983905837136</v>
      </c>
      <c r="G80" s="32">
        <f>IFERROR(__xludf.DUMMYFUNCTION("$D80/(index(GOOGLEFINANCE($B80,""price"",$H$4,today()),2,2))-1"),0.0208983905837136)</f>
        <v>0.0208983905837136</v>
      </c>
      <c r="H80" s="33" t="str">
        <f>IFERROR(__xludf.DUMMYFUNCTION("IF(B80="""","""",SPARKLINE(INDEX(GOOGLEFINANCE($B80,""price"",$H$4,today()),,2),{""charttype"",""line""}))"),"")</f>
        <v/>
      </c>
      <c r="I80" s="29" t="str">
        <f>IFERROR(__xludf.DUMMYFUNCTION("IF(B80="""","""",SPARKLINE(INDEX(GOOGLEFINANCE($B80,""volume"",$H$4,today()),,2),{""charttype"",""column"";""color"",""grey"";""lowcolor"",""red"";""highcolor"",""black""}))"),"")</f>
        <v/>
      </c>
      <c r="J80" s="30">
        <f t="shared" si="14"/>
        <v>0.0675408694455728</v>
      </c>
      <c r="K80" s="30">
        <f t="shared" si="15"/>
        <v>0.0726648814442005</v>
      </c>
      <c r="L80" s="32">
        <f>[1]DATA!F88</f>
        <v>40.5209729103061</v>
      </c>
      <c r="M80" s="32">
        <f>[1]DATA!G88</f>
        <v>0.0033137910439764</v>
      </c>
      <c r="N80" s="32">
        <f>[1]DATA!H88</f>
        <v>0.0229296507612102</v>
      </c>
    </row>
    <row r="81" ht="14.25" spans="1:14">
      <c r="A81" s="10" t="s">
        <v>1145</v>
      </c>
      <c r="B81" s="10" t="str">
        <f>IFERROR(__xludf.DUMMYFUNCTION("GOOGLEFINANCE(B81,""name"")"),"SPDR S&amp;P Bank ETF")</f>
        <v>SPDR S&amp;P Bank ETF</v>
      </c>
      <c r="C81" s="21">
        <f>IFERROR(__xludf.DUMMYFUNCTION("GOOGLEFINANCE(B81)"),48.94)</f>
        <v>48.94</v>
      </c>
      <c r="D81" s="23">
        <f>IFERROR(__xludf.DUMMYFUNCTION("GOOGLEFINANCE(B81,""changepct"")/100"),-0.0089)</f>
        <v>-0.0089</v>
      </c>
      <c r="E81" s="23">
        <f>IFERROR(__xludf.DUMMYFUNCTION("$D81/(index(GOOGLEFINANCE($B81,""price"",workday(today(),-F$4),today()),2,2))-1"),0.00886415172129462)</f>
        <v>0.00886415172129462</v>
      </c>
      <c r="F81" s="23">
        <f>IFERROR(__xludf.DUMMYFUNCTION("$D81/(index(GOOGLEFINANCE($B81,""price"",workday(today(),-G$4),today()),2,2))-1"),-0.0270377733598409)</f>
        <v>-0.0270377733598409</v>
      </c>
      <c r="G81" s="32">
        <f>IFERROR(__xludf.DUMMYFUNCTION("$D81/(index(GOOGLEFINANCE($B81,""price"",$H$4,today()),2,2))-1"),-0.0270377733598409)</f>
        <v>-0.0270377733598409</v>
      </c>
      <c r="H81" s="33" t="str">
        <f>IFERROR(__xludf.DUMMYFUNCTION("IF(B81="""","""",SPARKLINE(INDEX(GOOGLEFINANCE($B81,""price"",$H$4,today()),,2),{""charttype"",""line""}))"),"")</f>
        <v/>
      </c>
      <c r="I81" s="29" t="str">
        <f>IFERROR(__xludf.DUMMYFUNCTION("IF(B81="""","""",SPARKLINE(INDEX(GOOGLEFINANCE($B81,""volume"",$H$4,today()),,2),{""charttype"",""column"";""color"",""grey"";""lowcolor"",""red"";""highcolor"",""black""}))"),"")</f>
        <v/>
      </c>
      <c r="J81" s="30">
        <f t="shared" si="14"/>
        <v>0.0606306425817815</v>
      </c>
      <c r="K81" s="30">
        <f t="shared" si="15"/>
        <v>0.024728717500646</v>
      </c>
      <c r="L81" s="32">
        <f>[1]DATA!F89</f>
        <v>46.9073578654036</v>
      </c>
      <c r="M81" s="32">
        <f>[1]DATA!G89</f>
        <v>-0.0259490125881406</v>
      </c>
      <c r="N81" s="32">
        <f>[1]DATA!H89</f>
        <v>0.0344003638281912</v>
      </c>
    </row>
    <row r="82" ht="14.25" spans="1:14">
      <c r="A82" s="10" t="s">
        <v>1108</v>
      </c>
      <c r="B82" s="10" t="str">
        <f>IFERROR(__xludf.DUMMYFUNCTION("GOOGLEFINANCE(B82,""name"")"),"iShares Russell 2000 Growth ETF")</f>
        <v>iShares Russell 2000 Growth ETF</v>
      </c>
      <c r="C82" s="21">
        <f>IFERROR(__xludf.DUMMYFUNCTION("GOOGLEFINANCE(B82)"),262.25)</f>
        <v>262.25</v>
      </c>
      <c r="D82" s="23">
        <f>IFERROR(__xludf.DUMMYFUNCTION("GOOGLEFINANCE(B82,""changepct"")/100"),-0.0056)</f>
        <v>-0.0056</v>
      </c>
      <c r="E82" s="23">
        <f>IFERROR(__xludf.DUMMYFUNCTION("$D82/(index(GOOGLEFINANCE($B82,""price"",workday(today(),-F$4),today()),2,2))-1"),0.0199914433510948)</f>
        <v>0.0199914433510948</v>
      </c>
      <c r="F82" s="23">
        <f>IFERROR(__xludf.DUMMYFUNCTION("$D82/(index(GOOGLEFINANCE($B82,""price"",workday(today(),-G$4),today()),2,2))-1"),-0.0674229223711816)</f>
        <v>-0.0674229223711816</v>
      </c>
      <c r="G82" s="32">
        <f>IFERROR(__xludf.DUMMYFUNCTION("$D82/(index(GOOGLEFINANCE($B82,""price"",$H$4,today()),2,2))-1"),-0.0674229223711816)</f>
        <v>-0.0674229223711816</v>
      </c>
      <c r="H82" s="33" t="str">
        <f>IFERROR(__xludf.DUMMYFUNCTION("IF(B82="""","""",SPARKLINE(INDEX(GOOGLEFINANCE($B82,""price"",$H$4,today()),,2),{""charttype"",""line""}))"),"")</f>
        <v/>
      </c>
      <c r="I82" s="29" t="str">
        <f>IFERROR(__xludf.DUMMYFUNCTION("IF(B82="""","""",SPARKLINE(INDEX(GOOGLEFINANCE($B82,""volume"",$H$4,today()),,2),{""charttype"",""column"";""color"",""grey"";""lowcolor"",""red"";""highcolor"",""black""}))"),"")</f>
        <v/>
      </c>
      <c r="J82" s="30">
        <f t="shared" si="14"/>
        <v>0.0717579342115817</v>
      </c>
      <c r="K82" s="30">
        <f t="shared" si="15"/>
        <v>-0.0156564315106947</v>
      </c>
      <c r="L82" s="32">
        <f>[1]DATA!F90</f>
        <v>262.209438219228</v>
      </c>
      <c r="M82" s="32">
        <f>[1]DATA!G90</f>
        <v>-0.0256700814741948</v>
      </c>
      <c r="N82" s="32">
        <f>[1]DATA!H90</f>
        <v>0.00679265743638605</v>
      </c>
    </row>
    <row r="83" ht="14.25" spans="1:14">
      <c r="A83" s="10" t="s">
        <v>1086</v>
      </c>
      <c r="B83" s="10" t="str">
        <f>IFERROR(__xludf.DUMMYFUNCTION("GOOGLEFINANCE(B83,""name"")"),"iShares Russell 2000 ETF")</f>
        <v>iShares Russell 2000 ETF</v>
      </c>
      <c r="C83" s="21">
        <f>IFERROR(__xludf.DUMMYFUNCTION("GOOGLEFINANCE(B83)"),204.67)</f>
        <v>204.67</v>
      </c>
      <c r="D83" s="23">
        <f>IFERROR(__xludf.DUMMYFUNCTION("GOOGLEFINANCE(B83,""changepct"")/100"),-0.0087)</f>
        <v>-0.0087</v>
      </c>
      <c r="E83" s="23">
        <f>IFERROR(__xludf.DUMMYFUNCTION("$D83/(index(GOOGLEFINANCE($B83,""price"",workday(today(),-F$4),today()),2,2))-1"),0.012215628090999)</f>
        <v>0.012215628090999</v>
      </c>
      <c r="F83" s="23">
        <f>IFERROR(__xludf.DUMMYFUNCTION("$D83/(index(GOOGLEFINANCE($B83,""price"",workday(today(),-G$4),today()),2,2))-1"),-0.0576453796215296)</f>
        <v>-0.0576453796215296</v>
      </c>
      <c r="G83" s="32">
        <f>IFERROR(__xludf.DUMMYFUNCTION("$D83/(index(GOOGLEFINANCE($B83,""price"",$H$4,today()),2,2))-1"),-0.0576453796215296)</f>
        <v>-0.0576453796215296</v>
      </c>
      <c r="H83" s="33" t="str">
        <f>IFERROR(__xludf.DUMMYFUNCTION("IF(B83="""","""",SPARKLINE(INDEX(GOOGLEFINANCE($B83,""price"",$H$4,today()),,2),{""charttype"",""line""}))"),"")</f>
        <v/>
      </c>
      <c r="I83" s="29" t="str">
        <f>IFERROR(__xludf.DUMMYFUNCTION("IF(B83="""","""",SPARKLINE(INDEX(GOOGLEFINANCE($B83,""volume"",$H$4,today()),,2),{""charttype"",""column"";""color"",""grey"";""lowcolor"",""red"";""highcolor"",""black""}))"),"")</f>
        <v/>
      </c>
      <c r="J83" s="30">
        <f t="shared" si="14"/>
        <v>0.0639821189514859</v>
      </c>
      <c r="K83" s="30">
        <f t="shared" si="15"/>
        <v>-0.0058788887610427</v>
      </c>
      <c r="L83" s="32">
        <f>[1]DATA!F91</f>
        <v>204.487307973051</v>
      </c>
      <c r="M83" s="32">
        <f>[1]DATA!G91</f>
        <v>-0.0289897146262048</v>
      </c>
      <c r="N83" s="32">
        <f>[1]DATA!H91</f>
        <v>0.0111327662557828</v>
      </c>
    </row>
    <row r="84" ht="14.25" spans="1:14">
      <c r="A84" s="20" t="s">
        <v>1146</v>
      </c>
      <c r="B84" s="10"/>
      <c r="C84" s="21"/>
      <c r="D84" s="23"/>
      <c r="E84" s="23"/>
      <c r="F84" s="23"/>
      <c r="G84" s="32"/>
      <c r="H84" s="33"/>
      <c r="I84" s="29"/>
      <c r="J84" s="29"/>
      <c r="K84" s="30"/>
      <c r="L84" s="10"/>
      <c r="M84" s="10"/>
      <c r="N84" s="10"/>
    </row>
    <row r="85" ht="14.25" spans="1:14">
      <c r="A85" s="10" t="s">
        <v>1147</v>
      </c>
      <c r="B85" s="10" t="str">
        <f>IFERROR(__xludf.DUMMYFUNCTION("GOOGLEFINANCE(B85,""name"")"),"Grayscale Bitcoin Trust (Btc)")</f>
        <v>Grayscale Bitcoin Trust (Btc)</v>
      </c>
      <c r="C85" s="21">
        <f>IFERROR(__xludf.DUMMYFUNCTION("GOOGLEFINANCE(B85)"),47.12)</f>
        <v>47.12</v>
      </c>
      <c r="D85" s="23">
        <f>IFERROR(__xludf.DUMMYFUNCTION("GOOGLEFINANCE(B85,""changepct"")/100"),-0.0266)</f>
        <v>-0.0266</v>
      </c>
      <c r="E85" s="23">
        <f>IFERROR(__xludf.DUMMYFUNCTION("$D85/(index(GOOGLEFINANCE($B85,""price"",workday(today(),-F$4),today()),2,2))-1"),0.105584232754575)</f>
        <v>0.105584232754575</v>
      </c>
      <c r="F85" s="23">
        <f>IFERROR(__xludf.DUMMYFUNCTION("$D85/(index(GOOGLEFINANCE($B85,""price"",workday(today(),-G$4),today()),2,2))-1"),-0.162906377686978)</f>
        <v>-0.162906377686978</v>
      </c>
      <c r="G85" s="32">
        <f>IFERROR(__xludf.DUMMYFUNCTION("$D85/(index(GOOGLEFINANCE($B85,""price"",$H$4,today()),2,2))-1"),-0.162906377686978)</f>
        <v>-0.162906377686978</v>
      </c>
      <c r="H85" s="33" t="str">
        <f>IFERROR(__xludf.DUMMYFUNCTION("IF(B85="""","""",SPARKLINE(INDEX(GOOGLEFINANCE($B85,""price"",$H$4,today()),,2),{""charttype"",""line""}))"),"")</f>
        <v/>
      </c>
      <c r="I85" s="29" t="str">
        <f>IFERROR(__xludf.DUMMYFUNCTION("IF(B85="""","""",SPARKLINE(INDEX(GOOGLEFINANCE($B85,""volume"",$H$4,today()),,2),{""charttype"",""column"";""color"",""grey"";""lowcolor"",""red"";""highcolor"",""black""}))"),"")</f>
        <v/>
      </c>
      <c r="J85" s="30">
        <f t="shared" ref="J85:J90" si="16">E85-$F$6</f>
        <v>0.157350723615062</v>
      </c>
      <c r="K85" s="30">
        <f t="shared" ref="K85:K90" si="17">F85-$G$6</f>
        <v>-0.111139886826491</v>
      </c>
      <c r="L85" s="10"/>
      <c r="M85" s="10"/>
      <c r="N85" s="10"/>
    </row>
    <row r="86" ht="14.25" spans="1:14">
      <c r="A86" s="10" t="s">
        <v>1148</v>
      </c>
      <c r="B86" s="10" t="str">
        <f>IFERROR(__xludf.DUMMYFUNCTION("GOOGLEFINANCE(B86,""name"")"),"Fidelity Advantage Bitcoin ETF")</f>
        <v>Fidelity Advantage Bitcoin ETF</v>
      </c>
      <c r="C86" s="21">
        <f>IFERROR(__xludf.DUMMYFUNCTION("GOOGLEFINANCE(B86)"),27.01)</f>
        <v>27.01</v>
      </c>
      <c r="D86" s="23">
        <f>IFERROR(__xludf.DUMMYFUNCTION("GOOGLEFINANCE(B86,""changepct"")/100"),-0.0231)</f>
        <v>-0.0231</v>
      </c>
      <c r="E86" s="23">
        <f>IFERROR(__xludf.DUMMYFUNCTION("$D86/(index(GOOGLEFINANCE($B86,""price"",workday(today(),-F$4),today()),2,2))-1"),0.0388461538461539)</f>
        <v>0.0388461538461539</v>
      </c>
      <c r="F86" s="23">
        <f>IFERROR(__xludf.DUMMYFUNCTION("$D86/(index(GOOGLEFINANCE($B86,""price"",workday(today(),-G$4),today()),2,2))-1"),-0.0628036086051352)</f>
        <v>-0.0628036086051352</v>
      </c>
      <c r="G86" s="32">
        <f>IFERROR(__xludf.DUMMYFUNCTION("$D86/(index(GOOGLEFINANCE($B86,""price"",$H$4,today()),2,2))-1"),-0.0628036086051352)</f>
        <v>-0.0628036086051352</v>
      </c>
      <c r="H86" s="33" t="str">
        <f>IFERROR(__xludf.DUMMYFUNCTION("IF(B86="""","""",SPARKLINE(INDEX(GOOGLEFINANCE($B86,""price"",$H$4,today()),,2),{""charttype"",""line""}))"),"")</f>
        <v/>
      </c>
      <c r="I86" s="29" t="str">
        <f>IFERROR(__xludf.DUMMYFUNCTION("IF(B86="""","""",SPARKLINE(INDEX(GOOGLEFINANCE($B86,""volume"",$H$4,today()),,2),{""charttype"",""column"";""color"",""grey"";""lowcolor"",""red"";""highcolor"",""black""}))"),"")</f>
        <v/>
      </c>
      <c r="J86" s="30">
        <f t="shared" si="16"/>
        <v>0.0906126447066408</v>
      </c>
      <c r="K86" s="30">
        <f t="shared" si="17"/>
        <v>-0.0110371177446483</v>
      </c>
      <c r="L86" s="10"/>
      <c r="M86" s="10"/>
      <c r="N86" s="10"/>
    </row>
    <row r="87" ht="14.25" spans="1:14">
      <c r="A87" s="10" t="s">
        <v>1149</v>
      </c>
      <c r="B87" s="10" t="str">
        <f>IFERROR(__xludf.DUMMYFUNCTION("GOOGLEFINANCE(B87,""name"")"),"ARK 21Shares Bitcoin ETF")</f>
        <v>ARK 21Shares Bitcoin ETF</v>
      </c>
      <c r="C87" s="21">
        <f>IFERROR(__xludf.DUMMYFUNCTION("GOOGLEFINANCE(B87)"),59.4)</f>
        <v>59.4</v>
      </c>
      <c r="D87" s="23">
        <f>IFERROR(__xludf.DUMMYFUNCTION("GOOGLEFINANCE(B87,""changepct"")/100"),-0.0217)</f>
        <v>-0.0217</v>
      </c>
      <c r="E87" s="23">
        <f>IFERROR(__xludf.DUMMYFUNCTION("$D87/(index(GOOGLEFINANCE($B87,""price"",workday(today(),-F$4),today()),2,2))-1"),0.111526946107784)</f>
        <v>0.111526946107784</v>
      </c>
      <c r="F87" s="23">
        <f>IFERROR(__xludf.DUMMYFUNCTION("$D87/(index(GOOGLEFINANCE($B87,""price"",workday(today(),-G$4),today()),2,2))-1"),-0.0639773085408131)</f>
        <v>-0.0639773085408131</v>
      </c>
      <c r="G87" s="32">
        <f>IFERROR(__xludf.DUMMYFUNCTION("$D87/(index(GOOGLEFINANCE($B87,""price"",$H$4,today()),2,2))-1"),-0.0639773085408131)</f>
        <v>-0.0639773085408131</v>
      </c>
      <c r="H87" s="33" t="str">
        <f>IFERROR(__xludf.DUMMYFUNCTION("IF(B87="""","""",SPARKLINE(INDEX(GOOGLEFINANCE($B87,""price"",$H$4,today()),,2),{""charttype"",""line""}))"),"")</f>
        <v/>
      </c>
      <c r="I87" s="29" t="str">
        <f>IFERROR(__xludf.DUMMYFUNCTION("IF(B87="""","""",SPARKLINE(INDEX(GOOGLEFINANCE($B87,""volume"",$H$4,today()),,2),{""charttype"",""column"";""color"",""grey"";""lowcolor"",""red"";""highcolor"",""black""}))"),"")</f>
        <v/>
      </c>
      <c r="J87" s="30">
        <f t="shared" si="16"/>
        <v>0.163293436968271</v>
      </c>
      <c r="K87" s="30">
        <f t="shared" si="17"/>
        <v>-0.0122108176803262</v>
      </c>
      <c r="L87" s="10"/>
      <c r="M87" s="10"/>
      <c r="N87" s="10"/>
    </row>
    <row r="88" ht="14.25" spans="1:14">
      <c r="A88" s="10" t="s">
        <v>1150</v>
      </c>
      <c r="B88" s="10" t="str">
        <f>IFERROR(__xludf.DUMMYFUNCTION("GOOGLEFINANCE(B88,""name"")"),"Bitwise Bitcoin ETF")</f>
        <v>Bitwise Bitcoin ETF</v>
      </c>
      <c r="C88" s="21">
        <f>IFERROR(__xludf.DUMMYFUNCTION("GOOGLEFINANCE(B88)"),32.23)</f>
        <v>32.23</v>
      </c>
      <c r="D88" s="23">
        <f>IFERROR(__xludf.DUMMYFUNCTION("GOOGLEFINANCE(B88,""changepct"")/100"),-0.0254)</f>
        <v>-0.0254</v>
      </c>
      <c r="E88" s="23">
        <f>IFERROR(__xludf.DUMMYFUNCTION("$D88/(index(GOOGLEFINANCE($B88,""price"",workday(today(),-F$4),today()),2,2))-1"),0.10566037735849)</f>
        <v>0.10566037735849</v>
      </c>
      <c r="F88" s="23">
        <f>IFERROR(__xludf.DUMMYFUNCTION("$D88/(index(GOOGLEFINANCE($B88,""price"",workday(today(),-G$4),today()),2,2))-1"),-0.0679583574320417)</f>
        <v>-0.0679583574320417</v>
      </c>
      <c r="G88" s="32">
        <f>IFERROR(__xludf.DUMMYFUNCTION("$D88/(index(GOOGLEFINANCE($B88,""price"",$H$4,today()),2,2))-1"),-0.0679583574320417)</f>
        <v>-0.0679583574320417</v>
      </c>
      <c r="H88" s="33" t="str">
        <f>IFERROR(__xludf.DUMMYFUNCTION("IF(B88="""","""",SPARKLINE(INDEX(GOOGLEFINANCE($B88,""price"",$H$4,today()),,2),{""charttype"",""line""}))"),"")</f>
        <v/>
      </c>
      <c r="I88" s="29" t="str">
        <f>IFERROR(__xludf.DUMMYFUNCTION("IF(B88="""","""",SPARKLINE(INDEX(GOOGLEFINANCE($B88,""volume"",$H$4,today()),,2),{""charttype"",""column"";""color"",""grey"";""lowcolor"",""red"";""highcolor"",""black""}))"),"")</f>
        <v/>
      </c>
      <c r="J88" s="30">
        <f t="shared" si="16"/>
        <v>0.157426868218977</v>
      </c>
      <c r="K88" s="30">
        <f t="shared" si="17"/>
        <v>-0.0161918665715548</v>
      </c>
      <c r="L88" s="10"/>
      <c r="M88" s="10"/>
      <c r="N88" s="10"/>
    </row>
    <row r="89" ht="14.25" spans="1:14">
      <c r="A89" s="10" t="s">
        <v>1151</v>
      </c>
      <c r="B89" s="10" t="str">
        <f>IFERROR(__xludf.DUMMYFUNCTION("GOOGLEFINANCE(B89,""name"")"),"ProShares Bitcoin Strategy ETF")</f>
        <v>ProShares Bitcoin Strategy ETF</v>
      </c>
      <c r="C89" s="21">
        <f>IFERROR(__xludf.DUMMYFUNCTION("GOOGLEFINANCE(B89)"),19.25)</f>
        <v>19.25</v>
      </c>
      <c r="D89" s="23">
        <f>IFERROR(__xludf.DUMMYFUNCTION("GOOGLEFINANCE(B89,""changepct"")/100"),-0.0278)</f>
        <v>-0.0278</v>
      </c>
      <c r="E89" s="23">
        <f>IFERROR(__xludf.DUMMYFUNCTION("$D89/(index(GOOGLEFINANCE($B89,""price"",workday(today(),-F$4),today()),2,2))-1"),0.105686387133831)</f>
        <v>0.105686387133831</v>
      </c>
      <c r="F89" s="23">
        <f>IFERROR(__xludf.DUMMYFUNCTION("$D89/(index(GOOGLEFINANCE($B89,""price"",workday(today(),-G$4),today()),2,2))-1"),-0.133273300315173)</f>
        <v>-0.133273300315173</v>
      </c>
      <c r="G89" s="32">
        <f>IFERROR(__xludf.DUMMYFUNCTION("$D89/(index(GOOGLEFINANCE($B89,""price"",$H$4,today()),2,2))-1"),-0.133273300315173)</f>
        <v>-0.133273300315173</v>
      </c>
      <c r="H89" s="33" t="str">
        <f>IFERROR(__xludf.DUMMYFUNCTION("IF(B89="""","""",SPARKLINE(INDEX(GOOGLEFINANCE($B89,""price"",$H$4,today()),,2),{""charttype"",""line""}))"),"")</f>
        <v/>
      </c>
      <c r="I89" s="29" t="str">
        <f>IFERROR(__xludf.DUMMYFUNCTION("IF(B89="""","""",SPARKLINE(INDEX(GOOGLEFINANCE($B89,""volume"",$H$4,today()),,2),{""charttype"",""column"";""color"",""grey"";""lowcolor"",""red"";""highcolor"",""black""}))"),"")</f>
        <v/>
      </c>
      <c r="J89" s="30">
        <f t="shared" si="16"/>
        <v>0.157452877994318</v>
      </c>
      <c r="K89" s="30">
        <f t="shared" si="17"/>
        <v>-0.0815068094546861</v>
      </c>
      <c r="L89" s="10"/>
      <c r="M89" s="10"/>
      <c r="N89" s="10"/>
    </row>
    <row r="90" ht="14.25" spans="1:14">
      <c r="A90" s="10" t="s">
        <v>1152</v>
      </c>
      <c r="B90" s="10" t="str">
        <f>IFERROR(__xludf.DUMMYFUNCTION("GOOGLEFINANCE(B90,""name"")"),"iShares Bitcoin Trust ETF")</f>
        <v>iShares Bitcoin Trust ETF</v>
      </c>
      <c r="C90" s="21">
        <f>IFERROR(__xludf.DUMMYFUNCTION("GOOGLEFINANCE(B90)"),33.66)</f>
        <v>33.66</v>
      </c>
      <c r="D90" s="23">
        <f>IFERROR(__xludf.DUMMYFUNCTION("GOOGLEFINANCE(B90,""changepct"")/100"),-0.0271)</f>
        <v>-0.0271</v>
      </c>
      <c r="E90" s="23">
        <f>IFERROR(__xludf.DUMMYFUNCTION("$D90/(index(GOOGLEFINANCE($B90,""price"",workday(today(),-F$4),today()),2,2))-1"),0.104330708661417)</f>
        <v>0.104330708661417</v>
      </c>
      <c r="F90" s="23">
        <f>IFERROR(__xludf.DUMMYFUNCTION("$D90/(index(GOOGLEFINANCE($B90,""price"",workday(today(),-G$4),today()),2,2))-1"),-0.0688796680497926)</f>
        <v>-0.0688796680497926</v>
      </c>
      <c r="G90" s="32">
        <f>IFERROR(__xludf.DUMMYFUNCTION("$D90/(index(GOOGLEFINANCE($B90,""price"",$H$4,today()),2,2))-1"),-0.0688796680497926)</f>
        <v>-0.0688796680497926</v>
      </c>
      <c r="H90" s="33" t="str">
        <f>IFERROR(__xludf.DUMMYFUNCTION("IF(B90="""","""",SPARKLINE(INDEX(GOOGLEFINANCE($B90,""price"",$H$4,today()),,2),{""charttype"",""line""}))"),"")</f>
        <v/>
      </c>
      <c r="I90" s="29" t="str">
        <f>IFERROR(__xludf.DUMMYFUNCTION("IF(B90="""","""",SPARKLINE(INDEX(GOOGLEFINANCE($B90,""volume"",$H$4,today()),,2),{""charttype"",""column"";""color"",""grey"";""lowcolor"",""red"";""highcolor"",""black""}))"),"")</f>
        <v/>
      </c>
      <c r="J90" s="30">
        <f t="shared" si="16"/>
        <v>0.156097199521904</v>
      </c>
      <c r="K90" s="30">
        <f t="shared" si="17"/>
        <v>-0.0171131771893057</v>
      </c>
      <c r="L90" s="10"/>
      <c r="M90" s="10"/>
      <c r="N90" s="10"/>
    </row>
  </sheetData>
  <mergeCells count="1">
    <mergeCell ref="G4:I4"/>
  </mergeCells>
  <conditionalFormatting sqref="D5:D90">
    <cfRule type="colorScale" priority="1">
      <colorScale>
        <cfvo type="formula" val="-0.03"/>
        <cfvo type="formula" val="0"/>
        <cfvo type="formula" val="0.03"/>
        <color rgb="FFEA4335"/>
        <color rgb="FFFFFFFF"/>
        <color rgb="FF57BB8A"/>
      </colorScale>
    </cfRule>
  </conditionalFormatting>
  <conditionalFormatting sqref="D7:D90">
    <cfRule type="colorScale" priority="3">
      <colorScale>
        <cfvo type="formula" val="-0.05"/>
        <cfvo type="formula" val="0"/>
        <cfvo type="formula" val="0.5"/>
        <color rgb="FFEA4335"/>
        <color rgb="FFFFFFFF"/>
        <color rgb="FF34A853"/>
      </colorScale>
    </cfRule>
  </conditionalFormatting>
  <conditionalFormatting sqref="G6:G90">
    <cfRule type="colorScale" priority="7">
      <colorScale>
        <cfvo type="formula" val="-0.2"/>
        <cfvo type="formula" val="0"/>
        <cfvo type="formula" val="0.2"/>
        <color rgb="FFEA4335"/>
        <color rgb="FFFFFFFF"/>
        <color rgb="FF57BB8A"/>
      </colorScale>
    </cfRule>
  </conditionalFormatting>
  <conditionalFormatting sqref="J5:K90 L76:N76">
    <cfRule type="colorScale" priority="2">
      <colorScale>
        <cfvo type="formula" val="-0.1"/>
        <cfvo type="formula" val="0"/>
        <cfvo type="formula" val="0.1"/>
        <color rgb="FFEA4335"/>
        <color rgb="FFFFFFFF"/>
        <color rgb="FF57BB8A"/>
      </colorScale>
    </cfRule>
  </conditionalFormatting>
  <conditionalFormatting sqref="E6:F90">
    <cfRule type="colorScale" priority="8">
      <colorScale>
        <cfvo type="formula" val="-0.1"/>
        <cfvo type="formula" val="0"/>
        <cfvo type="formula" val="0.1"/>
        <color rgb="FFEA4335"/>
        <color rgb="FFFFFFFF"/>
        <color rgb="FF57BB8A"/>
      </colorScale>
    </cfRule>
  </conditionalFormatting>
  <conditionalFormatting sqref="L6:N83">
    <cfRule type="cellIs" dxfId="0" priority="6" operator="lessThan">
      <formula>0</formula>
    </cfRule>
    <cfRule type="cellIs" dxfId="1" priority="5" operator="greaterThan">
      <formula>0</formula>
    </cfRule>
    <cfRule type="cellIs" dxfId="2" priority="4" operator="equal">
      <formula>0</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4"/>
  <sheetViews>
    <sheetView topLeftCell="A60" workbookViewId="0">
      <selection activeCell="S32" sqref="S32"/>
    </sheetView>
  </sheetViews>
  <sheetFormatPr defaultColWidth="9.14285714285714" defaultRowHeight="12.75"/>
  <sheetData>
    <row r="1" ht="27" spans="1:14">
      <c r="A1" s="4" t="s">
        <v>934</v>
      </c>
      <c r="B1" s="5"/>
      <c r="C1" s="6"/>
      <c r="D1" s="6"/>
      <c r="E1" s="7"/>
      <c r="F1" s="7"/>
      <c r="G1" s="8"/>
      <c r="H1" s="8"/>
      <c r="I1" s="26"/>
      <c r="J1" s="26"/>
      <c r="K1" s="14"/>
      <c r="L1" s="14"/>
      <c r="M1" s="14"/>
      <c r="N1" s="14"/>
    </row>
    <row r="2" spans="1:14">
      <c r="A2" s="9">
        <f>[1]Assets!A2</f>
        <v>0</v>
      </c>
      <c r="B2" s="10" t="str">
        <f>[1]Assets!B2</f>
        <v>© 2024 TheMarketMemo</v>
      </c>
      <c r="C2" s="11"/>
      <c r="D2" s="11"/>
      <c r="E2" s="12"/>
      <c r="F2" s="12"/>
      <c r="G2" s="13"/>
      <c r="H2" s="13"/>
      <c r="I2" s="26"/>
      <c r="J2" s="26"/>
      <c r="K2" s="14"/>
      <c r="L2" s="14"/>
      <c r="M2" s="14"/>
      <c r="N2" s="14"/>
    </row>
    <row r="3" spans="1:14">
      <c r="A3" s="14">
        <f>[1]Assets!A3</f>
        <v>0</v>
      </c>
      <c r="B3" s="5"/>
      <c r="C3" s="5"/>
      <c r="D3" s="5"/>
      <c r="E3" s="5"/>
      <c r="F3" s="5"/>
      <c r="G3" s="5"/>
      <c r="H3" s="5"/>
      <c r="I3" s="26"/>
      <c r="J3" s="26"/>
      <c r="K3" s="14"/>
      <c r="L3" s="14"/>
      <c r="M3" s="14"/>
      <c r="N3" s="14"/>
    </row>
    <row r="4" spans="1:14">
      <c r="A4" s="15" t="s">
        <v>938</v>
      </c>
      <c r="B4" s="16" t="str">
        <f>[1]Assets!B4</f>
        <v>Ticker</v>
      </c>
      <c r="C4" s="17" t="s">
        <v>939</v>
      </c>
      <c r="D4" s="17" t="s">
        <v>940</v>
      </c>
      <c r="E4" s="18">
        <v>5</v>
      </c>
      <c r="F4" s="18">
        <v>20</v>
      </c>
      <c r="G4" s="19">
        <f>[1]Structure!G4</f>
        <v>20</v>
      </c>
      <c r="H4" s="5"/>
      <c r="I4" s="5"/>
      <c r="J4" s="27" t="s">
        <v>941</v>
      </c>
      <c r="K4" s="27" t="s">
        <v>942</v>
      </c>
      <c r="L4" s="28" t="s">
        <v>1076</v>
      </c>
      <c r="M4" s="28" t="s">
        <v>1077</v>
      </c>
      <c r="N4" s="28" t="s">
        <v>1078</v>
      </c>
    </row>
    <row r="5" spans="1:14">
      <c r="A5" s="20" t="s">
        <v>1153</v>
      </c>
      <c r="B5" s="21"/>
      <c r="C5" s="21"/>
      <c r="D5" s="21"/>
      <c r="E5" s="10"/>
      <c r="F5" s="10"/>
      <c r="G5" s="10"/>
      <c r="H5" s="10"/>
      <c r="I5" s="29"/>
      <c r="J5" s="30"/>
      <c r="K5" s="10"/>
      <c r="L5" s="10"/>
      <c r="M5" s="10"/>
      <c r="N5" s="10"/>
    </row>
    <row r="6" ht="14.25" spans="1:14">
      <c r="A6" s="10" t="s">
        <v>1154</v>
      </c>
      <c r="B6" s="22" t="str">
        <f>IFERROR(__xludf.DUMMYFUNCTION("GOOGLEFINANCE(B6,""name"")"),"Communication Services Select Sector SPDR Fund")</f>
        <v>Communication Services Select Sector SPDR Fund</v>
      </c>
      <c r="C6" s="21">
        <f>IFERROR(__xludf.DUMMYFUNCTION("GOOGLEFINANCE(B6)"),84.59)</f>
        <v>84.59</v>
      </c>
      <c r="D6" s="23">
        <f>IFERROR(__xludf.DUMMYFUNCTION("GOOGLEFINANCE(B6,""changepct"")/100"),-0.0073)</f>
        <v>-0.0073</v>
      </c>
      <c r="E6" s="23">
        <f>IFERROR(__xludf.DUMMYFUNCTION("$D6/(index(GOOGLEFINANCE($B6,""price"",workday(today(),-F$4),today()),2,2))-1"),0.027700157939497)</f>
        <v>0.027700157939497</v>
      </c>
      <c r="F6" s="23">
        <f>IFERROR(__xludf.DUMMYFUNCTION("$D6/(index(GOOGLEFINANCE($B6,""price"",workday(today(),-G$4),today()),2,2))-1"),-0.0234356961440775)</f>
        <v>-0.0234356961440775</v>
      </c>
      <c r="G6" s="24">
        <f>IFERROR(__xludf.DUMMYFUNCTION("$D6/(index(GOOGLEFINANCE($B6,""price"",$H$4,today()),2,2))-1"),-0.0234356961440775)</f>
        <v>-0.0234356961440775</v>
      </c>
      <c r="H6" s="25" t="str">
        <f>IFERROR(__xludf.DUMMYFUNCTION("IF(B6="""","""",SPARKLINE(INDEX(GOOGLEFINANCE($B6,""price"",$H$4,today()),,2), {""charttype"",""line""}))"),"")</f>
        <v/>
      </c>
      <c r="I6" s="29" t="str">
        <f>IFERROR(__xludf.DUMMYFUNCTION("IF(B6="""","""",SPARKLINE(INDEX(GOOGLEFINANCE($B6,""volume"",$H$4,today()),,2), {""charttype"",""column"";""color"",""grey"";""highcolor"",""balck"";""lowcolor"",""red""}))"),"")</f>
        <v/>
      </c>
      <c r="J6" s="30">
        <f>E6-[1]Structure!$F$6</f>
        <v>-0.000946287706713501</v>
      </c>
      <c r="K6" s="30">
        <f>F6-[1]Structure!$G$6</f>
        <v>0.0283307947164094</v>
      </c>
      <c r="L6" s="23">
        <f>[1]DATA!O11</f>
        <v>82.003807577656</v>
      </c>
      <c r="M6" s="23">
        <f>[1]DATA!P11</f>
        <v>-7.01059426650818e-6</v>
      </c>
      <c r="N6" s="23">
        <f>[1]DATA!Q11</f>
        <v>0.00524434437760313</v>
      </c>
    </row>
    <row r="7" ht="14.25" spans="1:14">
      <c r="A7" s="20" t="s">
        <v>1155</v>
      </c>
      <c r="B7" s="22"/>
      <c r="C7" s="21"/>
      <c r="D7" s="23"/>
      <c r="E7" s="23"/>
      <c r="F7" s="23"/>
      <c r="G7" s="24"/>
      <c r="H7" s="25"/>
      <c r="I7" s="29"/>
      <c r="J7" s="30"/>
      <c r="K7" s="30"/>
      <c r="L7" s="23">
        <f>[1]DATA!O12</f>
        <v>0</v>
      </c>
      <c r="M7" s="23">
        <f>[1]DATA!P12</f>
        <v>0</v>
      </c>
      <c r="N7" s="23">
        <f>[1]DATA!Q12</f>
        <v>0</v>
      </c>
    </row>
    <row r="8" ht="14.25" spans="1:14">
      <c r="A8" s="10" t="s">
        <v>1156</v>
      </c>
      <c r="B8" s="22" t="str">
        <f>IFERROR(__xludf.DUMMYFUNCTION("GOOGLEFINANCE(B8,""name"")"),"Consumer Discretionary Select Sector SPDR Fund")</f>
        <v>Consumer Discretionary Select Sector SPDR Fund</v>
      </c>
      <c r="C8" s="21">
        <f>IFERROR(__xludf.DUMMYFUNCTION("GOOGLEFINANCE(B8)"),173.66)</f>
        <v>173.66</v>
      </c>
      <c r="D8" s="23">
        <f>IFERROR(__xludf.DUMMYFUNCTION("GOOGLEFINANCE(B8,""changepct"")/100"),-0.0039)</f>
        <v>-0.0039</v>
      </c>
      <c r="E8" s="23">
        <f>IFERROR(__xludf.DUMMYFUNCTION("$D8/(index(GOOGLEFINANCE($B8,""price"",workday(today(),-F$4),today()),2,2))-1"),0.0144876737936674)</f>
        <v>0.0144876737936674</v>
      </c>
      <c r="F8" s="23">
        <f>IFERROR(__xludf.DUMMYFUNCTION("$D8/(index(GOOGLEFINANCE($B8,""price"",workday(today(),-G$4),today()),2,2))-1"),-0.0920688032624039)</f>
        <v>-0.0920688032624039</v>
      </c>
      <c r="G8" s="24">
        <f>IFERROR(__xludf.DUMMYFUNCTION("$D8/(index(GOOGLEFINANCE($B8,""price"",$H$4,today()),2,2))-1"),-0.0920688032624039)</f>
        <v>-0.0920688032624039</v>
      </c>
      <c r="H8" s="25" t="str">
        <f>IFERROR(__xludf.DUMMYFUNCTION("IF(B8="""","""",SPARKLINE(INDEX(GOOGLEFINANCE($B8,""price"",$H$4,today()),,2), {""charttype"",""line""}))"),"")</f>
        <v/>
      </c>
      <c r="I8" s="29" t="str">
        <f>IFERROR(__xludf.DUMMYFUNCTION("IF(B8="""","""",SPARKLINE(INDEX(GOOGLEFINANCE($B8,""volume"",$H$4,today()),,2), {""charttype"",""column"";""color"",""grey"";""highcolor"",""balck"";""lowcolor"",""red""}))"),"")</f>
        <v/>
      </c>
      <c r="J8" s="30">
        <f>E8-[1]Structure!$F$6</f>
        <v>-0.0141587718525431</v>
      </c>
      <c r="K8" s="30">
        <f>F8-[1]Structure!$G$6</f>
        <v>-0.040302312401917</v>
      </c>
      <c r="L8" s="23">
        <f>[1]DATA!O13</f>
        <v>179.423543223075</v>
      </c>
      <c r="M8" s="23">
        <f>[1]DATA!P13</f>
        <v>-0.0324717273055833</v>
      </c>
      <c r="N8" s="23">
        <f>[1]DATA!Q13</f>
        <v>-0.0092020266685543</v>
      </c>
    </row>
    <row r="9" ht="14.25" spans="1:14">
      <c r="A9" s="10" t="s">
        <v>1157</v>
      </c>
      <c r="B9" s="22" t="str">
        <f>IFERROR(__xludf.DUMMYFUNCTION("GOOGLEFINANCE(B9,""name"")"),"iShares US Home Construction ETF")</f>
        <v>iShares US Home Construction ETF</v>
      </c>
      <c r="C9" s="21">
        <f>IFERROR(__xludf.DUMMYFUNCTION("GOOGLEFINANCE(B9)"),111.24)</f>
        <v>111.24</v>
      </c>
      <c r="D9" s="23">
        <f>IFERROR(__xludf.DUMMYFUNCTION("GOOGLEFINANCE(B9,""changepct"")/100"),-0.0066)</f>
        <v>-0.0066</v>
      </c>
      <c r="E9" s="23">
        <f>IFERROR(__xludf.DUMMYFUNCTION("$D9/(index(GOOGLEFINANCE($B9,""price"",workday(today(),-F$4),today()),2,2))-1"),-0.0121658822484681)</f>
        <v>-0.0121658822484681</v>
      </c>
      <c r="F9" s="23">
        <f>IFERROR(__xludf.DUMMYFUNCTION("$D9/(index(GOOGLEFINANCE($B9,""price"",workday(today(),-G$4),today()),2,2))-1"),0.0254424778761062)</f>
        <v>0.0254424778761062</v>
      </c>
      <c r="G9" s="24">
        <f>IFERROR(__xludf.DUMMYFUNCTION("$D9/(index(GOOGLEFINANCE($B9,""price"",$H$4,today()),2,2))-1"),0.0254424778761062)</f>
        <v>0.0254424778761062</v>
      </c>
      <c r="H9" s="25" t="str">
        <f>IFERROR(__xludf.DUMMYFUNCTION("IF(B9="""","""",SPARKLINE(INDEX(GOOGLEFINANCE($B9,""price"",$H$4,today()),,2), {""charttype"",""line""}))"),"")</f>
        <v/>
      </c>
      <c r="I9" s="29" t="str">
        <f>IFERROR(__xludf.DUMMYFUNCTION("IF(B9="""","""",SPARKLINE(INDEX(GOOGLEFINANCE($B9,""volume"",$H$4,today()),,2), {""charttype"",""column"";""color"",""grey"";""highcolor"",""balck"";""lowcolor"",""red""}))"),"")</f>
        <v/>
      </c>
      <c r="J9" s="30">
        <f>E9-[1]Structure!$F$6</f>
        <v>-0.0408123278946786</v>
      </c>
      <c r="K9" s="30">
        <f>F9-[1]Structure!$G$6</f>
        <v>0.0772089687365931</v>
      </c>
      <c r="L9" s="23">
        <f>[1]DATA!O14</f>
        <v>106.114294380703</v>
      </c>
      <c r="M9" s="23">
        <f>[1]DATA!P14</f>
        <v>-0.0129015218264578</v>
      </c>
      <c r="N9" s="23">
        <f>[1]DATA!Q14</f>
        <v>0.0323386005430781</v>
      </c>
    </row>
    <row r="10" ht="14.25" spans="1:14">
      <c r="A10" s="10" t="s">
        <v>1158</v>
      </c>
      <c r="B10" s="22" t="str">
        <f>IFERROR(__xludf.DUMMYFUNCTION("GOOGLEFINANCE(B10,""name"")"),"SPDR S&amp;P Homebuilders ETF")</f>
        <v>SPDR S&amp;P Homebuilders ETF</v>
      </c>
      <c r="C10" s="21">
        <f>IFERROR(__xludf.DUMMYFUNCTION("GOOGLEFINANCE(B10)"),107.02)</f>
        <v>107.02</v>
      </c>
      <c r="D10" s="23">
        <f>IFERROR(__xludf.DUMMYFUNCTION("GOOGLEFINANCE(B10,""changepct"")/100"),-0.0089)</f>
        <v>-0.0089</v>
      </c>
      <c r="E10" s="23">
        <f>IFERROR(__xludf.DUMMYFUNCTION("$D10/(index(GOOGLEFINANCE($B10,""price"",workday(today(),-F$4),today()),2,2))-1"),-0.00769587389893366)</f>
        <v>-0.00769587389893366</v>
      </c>
      <c r="F10" s="23">
        <f>IFERROR(__xludf.DUMMYFUNCTION("$D10/(index(GOOGLEFINANCE($B10,""price"",workday(today(),-G$4),today()),2,2))-1"),-0.015817546441052)</f>
        <v>-0.015817546441052</v>
      </c>
      <c r="G10" s="24">
        <f>IFERROR(__xludf.DUMMYFUNCTION("$D10/(index(GOOGLEFINANCE($B10,""price"",$H$4,today()),2,2))-1"),-0.015817546441052)</f>
        <v>-0.015817546441052</v>
      </c>
      <c r="H10" s="25" t="str">
        <f>IFERROR(__xludf.DUMMYFUNCTION("IF(B10="""","""",SPARKLINE(INDEX(GOOGLEFINANCE($B10,""price"",$H$4,today()),,2), {""charttype"",""line""}))"),"")</f>
        <v/>
      </c>
      <c r="I10" s="29" t="str">
        <f>IFERROR(__xludf.DUMMYFUNCTION("IF(B10="""","""",SPARKLINE(INDEX(GOOGLEFINANCE($B10,""volume"",$H$4,today()),,2), {""charttype"",""column"";""color"",""grey"";""highcolor"",""balck"";""lowcolor"",""red""}))"),"")</f>
        <v/>
      </c>
      <c r="J10" s="30">
        <f>E10-[1]Structure!$F$6</f>
        <v>-0.0363423195451442</v>
      </c>
      <c r="K10" s="30">
        <f>F10-[1]Structure!$G$6</f>
        <v>0.0359489444194349</v>
      </c>
      <c r="L10" s="23">
        <f>[1]DATA!O15</f>
        <v>104.048027455092</v>
      </c>
      <c r="M10" s="23">
        <f>[1]DATA!P15</f>
        <v>-0.0251259967636997</v>
      </c>
      <c r="N10" s="23">
        <f>[1]DATA!Q15</f>
        <v>0.02260540797134</v>
      </c>
    </row>
    <row r="11" ht="14.25" spans="1:14">
      <c r="A11" s="10" t="s">
        <v>1159</v>
      </c>
      <c r="B11" s="22" t="str">
        <f>IFERROR(__xludf.DUMMYFUNCTION("GOOGLEFINANCE(B11,""name"")"),"Invesco Leisure and Entertainment ETF")</f>
        <v>Invesco Leisure and Entertainment ETF</v>
      </c>
      <c r="C11" s="21">
        <f>IFERROR(__xludf.DUMMYFUNCTION("GOOGLEFINANCE(B11)"),43.3)</f>
        <v>43.3</v>
      </c>
      <c r="D11" s="23">
        <f>IFERROR(__xludf.DUMMYFUNCTION("GOOGLEFINANCE(B11,""changepct"")/100"),-0.00709999999999999)</f>
        <v>-0.00709999999999999</v>
      </c>
      <c r="E11" s="23">
        <f>IFERROR(__xludf.DUMMYFUNCTION("$D11/(index(GOOGLEFINANCE($B11,""price"",workday(today(),-F$4),today()),2,2))-1"),0.0209856165998585)</f>
        <v>0.0209856165998585</v>
      </c>
      <c r="F11" s="23">
        <f>IFERROR(__xludf.DUMMYFUNCTION("$D11/(index(GOOGLEFINANCE($B11,""price"",workday(today(),-G$4),today()),2,2))-1"),-0.0556161395856052)</f>
        <v>-0.0556161395856052</v>
      </c>
      <c r="G11" s="24">
        <f>IFERROR(__xludf.DUMMYFUNCTION("$D11/(index(GOOGLEFINANCE($B11,""price"",$H$4,today()),2,2))-1"),-0.0556161395856052)</f>
        <v>-0.0556161395856052</v>
      </c>
      <c r="H11" s="25" t="str">
        <f>IFERROR(__xludf.DUMMYFUNCTION("IF(B11="""","""",SPARKLINE(INDEX(GOOGLEFINANCE($B11,""price"",$H$4,today()),,2), {""charttype"",""line""}))"),"")</f>
        <v/>
      </c>
      <c r="I11" s="29" t="str">
        <f>IFERROR(__xludf.DUMMYFUNCTION("IF(B11="""","""",SPARKLINE(INDEX(GOOGLEFINANCE($B11,""volume"",$H$4,today()),,2), {""charttype"",""column"";""color"",""grey"";""highcolor"",""balck"";""lowcolor"",""red""}))"),"")</f>
        <v/>
      </c>
      <c r="J11" s="30">
        <f>E11-[1]Structure!$F$6</f>
        <v>-0.007660829046352</v>
      </c>
      <c r="K11" s="30">
        <f>F11-[1]Structure!$G$6</f>
        <v>-0.0038496487251183</v>
      </c>
      <c r="L11" s="23">
        <f>[1]DATA!O16</f>
        <v>44.1147103111629</v>
      </c>
      <c r="M11" s="23">
        <f>[1]DATA!P16</f>
        <v>-0.0193056134587123</v>
      </c>
      <c r="N11" s="23">
        <f>[1]DATA!Q16</f>
        <v>-0.00835893021279046</v>
      </c>
    </row>
    <row r="12" ht="14.25" spans="1:14">
      <c r="A12" s="20" t="s">
        <v>1160</v>
      </c>
      <c r="B12" s="22"/>
      <c r="C12" s="21"/>
      <c r="D12" s="23"/>
      <c r="E12" s="23"/>
      <c r="F12" s="23"/>
      <c r="G12" s="24"/>
      <c r="H12" s="25"/>
      <c r="I12" s="29"/>
      <c r="J12" s="30"/>
      <c r="K12" s="30"/>
      <c r="L12" s="23">
        <f>[1]DATA!O17</f>
        <v>0</v>
      </c>
      <c r="M12" s="23">
        <f>[1]DATA!P17</f>
        <v>0</v>
      </c>
      <c r="N12" s="23">
        <f>[1]DATA!Q17</f>
        <v>0</v>
      </c>
    </row>
    <row r="13" ht="14.25" spans="1:14">
      <c r="A13" s="10" t="s">
        <v>1161</v>
      </c>
      <c r="B13" s="22" t="str">
        <f>IFERROR(__xludf.DUMMYFUNCTION("GOOGLEFINANCE(B13,""name"")"),"Consumer Staples Select Sector SPDR Fund")</f>
        <v>Consumer Staples Select Sector SPDR Fund</v>
      </c>
      <c r="C13" s="21">
        <f>IFERROR(__xludf.DUMMYFUNCTION("GOOGLEFINANCE(B13)"),78.77)</f>
        <v>78.77</v>
      </c>
      <c r="D13" s="23">
        <f>IFERROR(__xludf.DUMMYFUNCTION("GOOGLEFINANCE(B13,""changepct"")/100"),-0.0048)</f>
        <v>-0.0048</v>
      </c>
      <c r="E13" s="23">
        <f>IFERROR(__xludf.DUMMYFUNCTION("$D13/(index(GOOGLEFINANCE($B13,""price"",workday(today(),-F$4),today()),2,2))-1"),0.0137709137709136)</f>
        <v>0.0137709137709136</v>
      </c>
      <c r="F13" s="23">
        <f>IFERROR(__xludf.DUMMYFUNCTION("$D13/(index(GOOGLEFINANCE($B13,""price"",workday(today(),-G$4),today()),2,2))-1"),0.0229870129870128)</f>
        <v>0.0229870129870128</v>
      </c>
      <c r="G13" s="24">
        <f>IFERROR(__xludf.DUMMYFUNCTION("$D13/(index(GOOGLEFINANCE($B13,""price"",$H$4,today()),2,2))-1"),0.0229870129870128)</f>
        <v>0.0229870129870128</v>
      </c>
      <c r="H13" s="25" t="str">
        <f>IFERROR(__xludf.DUMMYFUNCTION("IF(B13="""","""",SPARKLINE(INDEX(GOOGLEFINANCE($B13,""price"",$H$4,today()),,2), {""charttype"",""line""}))"),"")</f>
        <v/>
      </c>
      <c r="I13" s="29" t="str">
        <f>IFERROR(__xludf.DUMMYFUNCTION("IF(B13="""","""",SPARKLINE(INDEX(GOOGLEFINANCE($B13,""volume"",$H$4,today()),,2), {""charttype"",""column"";""color"",""grey"";""highcolor"",""balck"";""lowcolor"",""red""}))"),"")</f>
        <v/>
      </c>
      <c r="J13" s="30">
        <f>E13-[1]Structure!$F$6</f>
        <v>-0.0148755318752969</v>
      </c>
      <c r="K13" s="30">
        <f>F13-[1]Structure!$G$6</f>
        <v>0.0747535038474997</v>
      </c>
      <c r="L13" s="23">
        <f>[1]DATA!O18</f>
        <v>76.3945860744328</v>
      </c>
      <c r="M13" s="23">
        <f>[1]DATA!P18</f>
        <v>0.00630753826642594</v>
      </c>
      <c r="N13" s="23">
        <f>[1]DATA!Q18</f>
        <v>0.0101710800791378</v>
      </c>
    </row>
    <row r="14" ht="14.25" spans="1:14">
      <c r="A14" s="10" t="s">
        <v>1162</v>
      </c>
      <c r="B14" s="22" t="str">
        <f>IFERROR(__xludf.DUMMYFUNCTION("GOOGLEFINANCE(B14,""name"")"),"SPDR S&amp;P Retail ETF")</f>
        <v>SPDR S&amp;P Retail ETF</v>
      </c>
      <c r="C14" s="21">
        <f>IFERROR(__xludf.DUMMYFUNCTION("GOOGLEFINANCE(B14)"),72.85)</f>
        <v>72.85</v>
      </c>
      <c r="D14" s="23">
        <f>IFERROR(__xludf.DUMMYFUNCTION("GOOGLEFINANCE(B14,""changepct"")/100"),-0.0074)</f>
        <v>-0.0074</v>
      </c>
      <c r="E14" s="23">
        <f>IFERROR(__xludf.DUMMYFUNCTION("$D14/(index(GOOGLEFINANCE($B14,""price"",workday(today(),-F$4),today()),2,2))-1"),0.00649350649350655)</f>
        <v>0.00649350649350655</v>
      </c>
      <c r="F14" s="23">
        <f>IFERROR(__xludf.DUMMYFUNCTION("$D14/(index(GOOGLEFINANCE($B14,""price"",workday(today(),-G$4),today()),2,2))-1"),-0.0467155194975138)</f>
        <v>-0.0467155194975138</v>
      </c>
      <c r="G14" s="24">
        <f>IFERROR(__xludf.DUMMYFUNCTION("$D14/(index(GOOGLEFINANCE($B14,""price"",$H$4,today()),2,2))-1"),-0.0467155194975138)</f>
        <v>-0.0467155194975138</v>
      </c>
      <c r="H14" s="25" t="str">
        <f>IFERROR(__xludf.DUMMYFUNCTION("IF(B14="""","""",SPARKLINE(INDEX(GOOGLEFINANCE($B14,""price"",$H$4,today()),,2), {""charttype"",""line""}))"),"")</f>
        <v/>
      </c>
      <c r="I14" s="29" t="str">
        <f>IFERROR(__xludf.DUMMYFUNCTION("IF(B14="""","""",SPARKLINE(INDEX(GOOGLEFINANCE($B14,""volume"",$H$4,today()),,2), {""charttype"",""column"";""color"",""grey"";""highcolor"",""balck"";""lowcolor"",""red""}))"),"")</f>
        <v/>
      </c>
      <c r="J14" s="30">
        <f>E14-[1]Structure!$F$6</f>
        <v>-0.022152939152704</v>
      </c>
      <c r="K14" s="30">
        <f>F14-[1]Structure!$G$6</f>
        <v>0.0050509713629731</v>
      </c>
      <c r="L14" s="23">
        <f>[1]DATA!O19</f>
        <v>74.0677212432636</v>
      </c>
      <c r="M14" s="23">
        <f>[1]DATA!P19</f>
        <v>-0.0241072882259277</v>
      </c>
      <c r="N14" s="23">
        <f>[1]DATA!Q19</f>
        <v>-0.00526781777129511</v>
      </c>
    </row>
    <row r="15" ht="14.25" spans="1:14">
      <c r="A15" s="20" t="s">
        <v>1163</v>
      </c>
      <c r="B15" s="22"/>
      <c r="C15" s="21"/>
      <c r="D15" s="23"/>
      <c r="E15" s="23"/>
      <c r="F15" s="23"/>
      <c r="G15" s="24"/>
      <c r="H15" s="25"/>
      <c r="I15" s="29"/>
      <c r="J15" s="30"/>
      <c r="K15" s="30"/>
      <c r="L15" s="23">
        <f>[1]DATA!O20</f>
        <v>0</v>
      </c>
      <c r="M15" s="23">
        <f>[1]DATA!P20</f>
        <v>0</v>
      </c>
      <c r="N15" s="23">
        <f>[1]DATA!Q20</f>
        <v>0</v>
      </c>
    </row>
    <row r="16" ht="14.25" spans="1:14">
      <c r="A16" s="10" t="s">
        <v>1164</v>
      </c>
      <c r="B16" s="22" t="str">
        <f>IFERROR(__xludf.DUMMYFUNCTION("GOOGLEFINANCE(B16,""name"")"),"Energy Select Sector SPDR Fund")</f>
        <v>Energy Select Sector SPDR Fund</v>
      </c>
      <c r="C16" s="21">
        <f>IFERROR(__xludf.DUMMYFUNCTION("GOOGLEFINANCE(B16)"),89.64)</f>
        <v>89.64</v>
      </c>
      <c r="D16" s="23">
        <f>IFERROR(__xludf.DUMMYFUNCTION("GOOGLEFINANCE(B16,""changepct"")/100"),0.0026)</f>
        <v>0.0026</v>
      </c>
      <c r="E16" s="23">
        <f>IFERROR(__xludf.DUMMYFUNCTION("$D16/(index(GOOGLEFINANCE($B16,""price"",workday(today(),-F$4),today()),2,2))-1"),0.0368999421631)</f>
        <v>0.0368999421631</v>
      </c>
      <c r="F16" s="23">
        <f>IFERROR(__xludf.DUMMYFUNCTION("$D16/(index(GOOGLEFINANCE($B16,""price"",workday(today(),-G$4),today()),2,2))-1"),-0.0244857982370225)</f>
        <v>-0.0244857982370225</v>
      </c>
      <c r="G16" s="24">
        <f>IFERROR(__xludf.DUMMYFUNCTION("$D16/(index(GOOGLEFINANCE($B16,""price"",$H$4,today()),2,2))-1"),-0.0244857982370225)</f>
        <v>-0.0244857982370225</v>
      </c>
      <c r="H16" s="25" t="str">
        <f>IFERROR(__xludf.DUMMYFUNCTION("IF(B16="""","""",SPARKLINE(INDEX(GOOGLEFINANCE($B16,""price"",$H$4,today()),,2), {""charttype"",""line""}))"),"")</f>
        <v/>
      </c>
      <c r="I16" s="29" t="str">
        <f>IFERROR(__xludf.DUMMYFUNCTION("IF(B16="""","""",SPARKLINE(INDEX(GOOGLEFINANCE($B16,""volume"",$H$4,today()),,2), {""charttype"",""column"";""color"",""grey"";""highcolor"",""balck"";""lowcolor"",""red""}))"),"")</f>
        <v/>
      </c>
      <c r="J16" s="30">
        <f>E16-[1]Structure!$F$6</f>
        <v>0.0082534965168895</v>
      </c>
      <c r="K16" s="30">
        <f>F16-[1]Structure!$G$6</f>
        <v>0.0272806926234644</v>
      </c>
      <c r="L16" s="23">
        <f>[1]DATA!O21</f>
        <v>90.3945040132882</v>
      </c>
      <c r="M16" s="23">
        <f>[1]DATA!P21</f>
        <v>-0.00341365811700516</v>
      </c>
      <c r="N16" s="23">
        <f>[1]DATA!Q21</f>
        <v>-0.00862354533504519</v>
      </c>
    </row>
    <row r="17" ht="14.25" spans="1:14">
      <c r="A17" s="10" t="s">
        <v>1165</v>
      </c>
      <c r="B17" s="22" t="str">
        <f>IFERROR(__xludf.DUMMYFUNCTION("GOOGLEFINANCE(B17,""name"")"),"FlexShs Morningstar Glbl Upsteam Ntrl Res Idx Fd")</f>
        <v>FlexShs Morningstar Glbl Upsteam Ntrl Res Idx Fd</v>
      </c>
      <c r="C17" s="21">
        <f>IFERROR(__xludf.DUMMYFUNCTION("GOOGLEFINANCE(B17)"),39.46)</f>
        <v>39.46</v>
      </c>
      <c r="D17" s="23">
        <f>IFERROR(__xludf.DUMMYFUNCTION("GOOGLEFINANCE(B17,""changepct"")/100"),0.0056)</f>
        <v>0.0056</v>
      </c>
      <c r="E17" s="23">
        <f>IFERROR(__xludf.DUMMYFUNCTION("$D17/(index(GOOGLEFINANCE($B17,""price"",workday(today(),-F$4),today()),2,2))-1"),0.024668917164373)</f>
        <v>0.024668917164373</v>
      </c>
      <c r="F17" s="23">
        <f>IFERROR(__xludf.DUMMYFUNCTION("$D17/(index(GOOGLEFINANCE($B17,""price"",workday(today(),-G$4),today()),2,2))-1"),-0.0408361691784151)</f>
        <v>-0.0408361691784151</v>
      </c>
      <c r="G17" s="24">
        <f>IFERROR(__xludf.DUMMYFUNCTION("$D17/(index(GOOGLEFINANCE($B17,""price"",$H$4,today()),2,2))-1"),-0.0408361691784151)</f>
        <v>-0.0408361691784151</v>
      </c>
      <c r="H17" s="25" t="str">
        <f>IFERROR(__xludf.DUMMYFUNCTION("IF(B17="""","""",SPARKLINE(INDEX(GOOGLEFINANCE($B17,""price"",$H$4,today()),,2), {""charttype"",""line""}))"),"")</f>
        <v/>
      </c>
      <c r="I17" s="29" t="str">
        <f>IFERROR(__xludf.DUMMYFUNCTION("IF(B17="""","""",SPARKLINE(INDEX(GOOGLEFINANCE($B17,""volume"",$H$4,today()),,2), {""charttype"",""column"";""color"",""grey"";""highcolor"",""balck"";""lowcolor"",""red""}))"),"")</f>
        <v/>
      </c>
      <c r="J17" s="30">
        <f>E17-[1]Structure!$F$6</f>
        <v>-0.0039775284818375</v>
      </c>
      <c r="K17" s="30">
        <f>F17-[1]Structure!$G$6</f>
        <v>0.0109303216820718</v>
      </c>
      <c r="L17" s="23">
        <f>[1]DATA!O22</f>
        <v>40.5704177264714</v>
      </c>
      <c r="M17" s="23">
        <f>[1]DATA!P22</f>
        <v>-0.00773864601420979</v>
      </c>
      <c r="N17" s="23">
        <f>[1]DATA!Q22</f>
        <v>-0.016577051602787</v>
      </c>
    </row>
    <row r="18" ht="14.25" spans="1:14">
      <c r="A18" s="10" t="s">
        <v>1166</v>
      </c>
      <c r="B18" s="22" t="str">
        <f>IFERROR(__xludf.DUMMYFUNCTION("GOOGLEFINANCE(B18,""name"")"),"SPDR S&amp;P Oil &amp; Gas Exploration &amp; Production ETF")</f>
        <v>SPDR S&amp;P Oil &amp; Gas Exploration &amp; Production ETF</v>
      </c>
      <c r="C18" s="21">
        <f>IFERROR(__xludf.DUMMYFUNCTION("GOOGLEFINANCE(B18)"),138.21)</f>
        <v>138.21</v>
      </c>
      <c r="D18" s="23">
        <f>IFERROR(__xludf.DUMMYFUNCTION("GOOGLEFINANCE(B18,""changepct"")/100"),0.013)</f>
        <v>0.013</v>
      </c>
      <c r="E18" s="23">
        <f>IFERROR(__xludf.DUMMYFUNCTION("$D18/(index(GOOGLEFINANCE($B18,""price"",workday(today(),-F$4),today()),2,2))-1"),0.0550381679389313)</f>
        <v>0.0550381679389313</v>
      </c>
      <c r="F18" s="23">
        <f>IFERROR(__xludf.DUMMYFUNCTION("$D18/(index(GOOGLEFINANCE($B18,""price"",workday(today(),-G$4),today()),2,2))-1"),-0.0672200850374568)</f>
        <v>-0.0672200850374568</v>
      </c>
      <c r="G18" s="24">
        <f>IFERROR(__xludf.DUMMYFUNCTION("$D18/(index(GOOGLEFINANCE($B18,""price"",$H$4,today()),2,2))-1"),-0.0672200850374568)</f>
        <v>-0.0672200850374568</v>
      </c>
      <c r="H18" s="25" t="str">
        <f>IFERROR(__xludf.DUMMYFUNCTION("IF(B18="""","""",SPARKLINE(INDEX(GOOGLEFINANCE($B18,""price"",$H$4,today()),,2), {""charttype"",""line""}))"),"")</f>
        <v/>
      </c>
      <c r="I18" s="29" t="str">
        <f>IFERROR(__xludf.DUMMYFUNCTION("IF(B18="""","""",SPARKLINE(INDEX(GOOGLEFINANCE($B18,""volume"",$H$4,today()),,2), {""charttype"",""column"";""color"",""grey"";""highcolor"",""balck"";""lowcolor"",""red""}))"),"")</f>
        <v/>
      </c>
      <c r="J18" s="30">
        <f>E18-[1]Structure!$F$6</f>
        <v>0.0263917222927208</v>
      </c>
      <c r="K18" s="30">
        <f>F18-[1]Structure!$G$6</f>
        <v>-0.0154535941769699</v>
      </c>
      <c r="L18" s="23">
        <f>[1]DATA!O23</f>
        <v>144.807108912522</v>
      </c>
      <c r="M18" s="23">
        <f>[1]DATA!P23</f>
        <v>-0.0120097297923448</v>
      </c>
      <c r="N18" s="23">
        <f>[1]DATA!Q23</f>
        <v>-0.0284220145953597</v>
      </c>
    </row>
    <row r="19" ht="14.25" spans="1:14">
      <c r="A19" s="10" t="s">
        <v>1137</v>
      </c>
      <c r="B19" s="22" t="str">
        <f>IFERROR(__xludf.DUMMYFUNCTION("GOOGLEFINANCE(B19,""name"")"),"First Trust NASDAQ Clean Edge Green Energy Idx Fd")</f>
        <v>First Trust NASDAQ Clean Edge Green Energy Idx Fd</v>
      </c>
      <c r="C19" s="21">
        <f>IFERROR(__xludf.DUMMYFUNCTION("GOOGLEFINANCE(B19)"),32.12)</f>
        <v>32.12</v>
      </c>
      <c r="D19" s="23">
        <f>IFERROR(__xludf.DUMMYFUNCTION("GOOGLEFINANCE(B19,""changepct"")/100"),-0.015)</f>
        <v>-0.015</v>
      </c>
      <c r="E19" s="23">
        <f>IFERROR(__xludf.DUMMYFUNCTION("$D19/(index(GOOGLEFINANCE($B19,""price"",workday(today(),-F$4),today()),2,2))-1"),-0.00802964793082161)</f>
        <v>-0.00802964793082161</v>
      </c>
      <c r="F19" s="23">
        <f>IFERROR(__xludf.DUMMYFUNCTION("$D19/(index(GOOGLEFINANCE($B19,""price"",workday(today(),-G$4),today()),2,2))-1"),-0.15161119915478)</f>
        <v>-0.15161119915478</v>
      </c>
      <c r="G19" s="24">
        <f>IFERROR(__xludf.DUMMYFUNCTION("$D19/(index(GOOGLEFINANCE($B19,""price"",$H$4,today()),2,2))-1"),-0.15161119915478)</f>
        <v>-0.15161119915478</v>
      </c>
      <c r="H19" s="25" t="str">
        <f>IFERROR(__xludf.DUMMYFUNCTION("IF(B19="""","""",SPARKLINE(INDEX(GOOGLEFINANCE($B19,""price"",$H$4,today()),,2), {""charttype"",""line""}))"),"")</f>
        <v/>
      </c>
      <c r="I19" s="29" t="str">
        <f>IFERROR(__xludf.DUMMYFUNCTION("IF(B19="""","""",SPARKLINE(INDEX(GOOGLEFINANCE($B19,""volume"",$H$4,today()),,2), {""charttype"",""column"";""color"",""grey"";""highcolor"",""balck"";""lowcolor"",""red""}))"),"")</f>
        <v/>
      </c>
      <c r="J19" s="30">
        <f>E19-[1]Structure!$F$6</f>
        <v>-0.0366760935770321</v>
      </c>
      <c r="K19" s="30">
        <f>F19-[1]Structure!$G$6</f>
        <v>-0.0998447082942931</v>
      </c>
      <c r="L19" s="23">
        <f>[1]DATA!O24</f>
        <v>35.7203012980953</v>
      </c>
      <c r="M19" s="23">
        <f>[1]DATA!P24</f>
        <v>-0.0659031488148596</v>
      </c>
      <c r="N19" s="23">
        <f>[1]DATA!Q24</f>
        <v>-0.0246051162405341</v>
      </c>
    </row>
    <row r="20" ht="14.25" spans="1:14">
      <c r="A20" s="10" t="s">
        <v>1167</v>
      </c>
      <c r="B20" s="22" t="str">
        <f>IFERROR(__xludf.DUMMYFUNCTION("GOOGLEFINANCE(B20,""name"")"),"VanEck Oil Services ETF")</f>
        <v>VanEck Oil Services ETF</v>
      </c>
      <c r="C20" s="21">
        <f>IFERROR(__xludf.DUMMYFUNCTION("GOOGLEFINANCE(B20)"),300.45)</f>
        <v>300.45</v>
      </c>
      <c r="D20" s="23">
        <f>IFERROR(__xludf.DUMMYFUNCTION("GOOGLEFINANCE(B20,""changepct"")/100"),0.0092)</f>
        <v>0.0092</v>
      </c>
      <c r="E20" s="23">
        <f>IFERROR(__xludf.DUMMYFUNCTION("$D20/(index(GOOGLEFINANCE($B20,""price"",workday(today(),-F$4),today()),2,2))-1"),0.0163041639887697)</f>
        <v>0.0163041639887697</v>
      </c>
      <c r="F20" s="23">
        <f>IFERROR(__xludf.DUMMYFUNCTION("$D20/(index(GOOGLEFINANCE($B20,""price"",workday(today(),-G$4),today()),2,2))-1"),-0.0873606512560372)</f>
        <v>-0.0873606512560372</v>
      </c>
      <c r="G20" s="24">
        <f>IFERROR(__xludf.DUMMYFUNCTION("$D20/(index(GOOGLEFINANCE($B20,""price"",$H$4,today()),2,2))-1"),-0.0873606512560372)</f>
        <v>-0.0873606512560372</v>
      </c>
      <c r="H20" s="25" t="str">
        <f>IFERROR(__xludf.DUMMYFUNCTION("IF(B20="""","""",SPARKLINE(INDEX(GOOGLEFINANCE($B20,""price"",$H$4,today()),,2), {""charttype"",""line""}))"),"")</f>
        <v/>
      </c>
      <c r="I20" s="29" t="str">
        <f>IFERROR(__xludf.DUMMYFUNCTION("IF(B20="""","""",SPARKLINE(INDEX(GOOGLEFINANCE($B20,""volume"",$H$4,today()),,2), {""charttype"",""column"";""color"",""grey"";""highcolor"",""balck"";""lowcolor"",""red""}))"),"")</f>
        <v/>
      </c>
      <c r="J20" s="30">
        <f>E20-[1]Structure!$F$6</f>
        <v>-0.0123422816574408</v>
      </c>
      <c r="K20" s="30">
        <f>F20-[1]Structure!$G$6</f>
        <v>-0.0355941603955503</v>
      </c>
      <c r="L20" s="23">
        <f>[1]DATA!O25</f>
        <v>315.56088040353</v>
      </c>
      <c r="M20" s="23">
        <f>[1]DATA!P25</f>
        <v>-0.0352907527762208</v>
      </c>
      <c r="N20" s="23">
        <f>[1]DATA!Q25</f>
        <v>-0.0117040375761157</v>
      </c>
    </row>
    <row r="21" ht="14.25" spans="1:14">
      <c r="A21" s="10" t="s">
        <v>1136</v>
      </c>
      <c r="B21" s="22" t="str">
        <f>IFERROR(__xludf.DUMMYFUNCTION("GOOGLEFINANCE(B21,""name"")"),"Invesco Solar ETF")</f>
        <v>Invesco Solar ETF</v>
      </c>
      <c r="C21" s="21">
        <f>IFERROR(__xludf.DUMMYFUNCTION("GOOGLEFINANCE(B21)"),39.13)</f>
        <v>39.13</v>
      </c>
      <c r="D21" s="23">
        <f>IFERROR(__xludf.DUMMYFUNCTION("GOOGLEFINANCE(B21,""changepct"")/100"),-0.0066)</f>
        <v>-0.0066</v>
      </c>
      <c r="E21" s="23">
        <f>IFERROR(__xludf.DUMMYFUNCTION("$D21/(index(GOOGLEFINANCE($B21,""price"",workday(today(),-F$4),today()),2,2))-1"),0.000255623721881592)</f>
        <v>0.000255623721881592</v>
      </c>
      <c r="F21" s="23">
        <f>IFERROR(__xludf.DUMMYFUNCTION("$D21/(index(GOOGLEFINANCE($B21,""price"",workday(today(),-G$4),today()),2,2))-1"),-0.0658868465027452)</f>
        <v>-0.0658868465027452</v>
      </c>
      <c r="G21" s="24">
        <f>IFERROR(__xludf.DUMMYFUNCTION("$D21/(index(GOOGLEFINANCE($B21,""price"",$H$4,today()),2,2))-1"),-0.0658868465027452)</f>
        <v>-0.0658868465027452</v>
      </c>
      <c r="H21" s="25" t="str">
        <f>IFERROR(__xludf.DUMMYFUNCTION("IF(B21="""","""",SPARKLINE(INDEX(GOOGLEFINANCE($B21,""price"",$H$4,today()),,2), {""charttype"",""line""}))"),"")</f>
        <v/>
      </c>
      <c r="I21" s="29" t="str">
        <f>IFERROR(__xludf.DUMMYFUNCTION("IF(B21="""","""",SPARKLINE(INDEX(GOOGLEFINANCE($B21,""volume"",$H$4,today()),,2), {""charttype"",""column"";""color"",""grey"";""highcolor"",""balck"";""lowcolor"",""red""}))"),"")</f>
        <v/>
      </c>
      <c r="J21" s="30">
        <f>E21-[1]Structure!$F$6</f>
        <v>-0.0283908219243289</v>
      </c>
      <c r="K21" s="30">
        <f>F21-[1]Structure!$G$6</f>
        <v>-0.0141203556422583</v>
      </c>
      <c r="L21" s="23">
        <f>[1]DATA!O26</f>
        <v>43.5993262094378</v>
      </c>
      <c r="M21" s="23">
        <f>[1]DATA!P26</f>
        <v>-0.0393593431057777</v>
      </c>
      <c r="N21" s="23">
        <f>[1]DATA!Q26</f>
        <v>-0.0344486360524052</v>
      </c>
    </row>
    <row r="22" ht="14.25" spans="1:14">
      <c r="A22" s="20" t="s">
        <v>1168</v>
      </c>
      <c r="B22" s="22"/>
      <c r="C22" s="21"/>
      <c r="D22" s="23"/>
      <c r="E22" s="23"/>
      <c r="F22" s="23"/>
      <c r="G22" s="24"/>
      <c r="H22" s="25"/>
      <c r="I22" s="29"/>
      <c r="J22" s="30"/>
      <c r="K22" s="30"/>
      <c r="L22" s="23">
        <f>[1]DATA!O27</f>
        <v>0</v>
      </c>
      <c r="M22" s="23">
        <f>[1]DATA!P27</f>
        <v>0</v>
      </c>
      <c r="N22" s="23">
        <f>[1]DATA!Q27</f>
        <v>0</v>
      </c>
    </row>
    <row r="23" ht="14.25" spans="1:14">
      <c r="A23" s="10" t="s">
        <v>1169</v>
      </c>
      <c r="B23" s="22" t="str">
        <f>IFERROR(__xludf.DUMMYFUNCTION("GOOGLEFINANCE(B23,""name"")"),"Financial Select Sector SPDR Fund")</f>
        <v>Financial Select Sector SPDR Fund</v>
      </c>
      <c r="C23" s="21">
        <f>IFERROR(__xludf.DUMMYFUNCTION("GOOGLEFINANCE(B23)"),42.15)</f>
        <v>42.15</v>
      </c>
      <c r="D23" s="23">
        <f>IFERROR(__xludf.DUMMYFUNCTION("GOOGLEFINANCE(B23,""changepct"")/100"),-0.0059)</f>
        <v>-0.0059</v>
      </c>
      <c r="E23" s="23">
        <f>IFERROR(__xludf.DUMMYFUNCTION("$D23/(index(GOOGLEFINANCE($B23,""price"",workday(today(),-F$4),today()),2,2))-1"),0.0320763956904994)</f>
        <v>0.0320763956904994</v>
      </c>
      <c r="F23" s="23">
        <f>IFERROR(__xludf.DUMMYFUNCTION("$D23/(index(GOOGLEFINANCE($B23,""price"",workday(today(),-G$4),today()),2,2))-1"),-0.0197674418604651)</f>
        <v>-0.0197674418604651</v>
      </c>
      <c r="G23" s="24">
        <f>IFERROR(__xludf.DUMMYFUNCTION("$D23/(index(GOOGLEFINANCE($B23,""price"",$H$4,today()),2,2))-1"),-0.0197674418604651)</f>
        <v>-0.0197674418604651</v>
      </c>
      <c r="H23" s="25" t="str">
        <f>IFERROR(__xludf.DUMMYFUNCTION("IF(B23="""","""",SPARKLINE(INDEX(GOOGLEFINANCE($B23,""price"",$H$4,today()),,2), {""charttype"",""line""}))"),"")</f>
        <v/>
      </c>
      <c r="I23" s="29" t="str">
        <f>IFERROR(__xludf.DUMMYFUNCTION("IF(B23="""","""",SPARKLINE(INDEX(GOOGLEFINANCE($B23,""volume"",$H$4,today()),,2), {""charttype"",""column"";""color"",""grey"";""highcolor"",""balck"";""lowcolor"",""red""}))"),"")</f>
        <v/>
      </c>
      <c r="J23" s="30">
        <f>E23-[1]Structure!$F$6</f>
        <v>0.0034299500442889</v>
      </c>
      <c r="K23" s="30">
        <f>F23-[1]Structure!$G$6</f>
        <v>0.0319990490000218</v>
      </c>
      <c r="L23" s="23">
        <f>[1]DATA!O28</f>
        <v>41.0223885925287</v>
      </c>
      <c r="M23" s="23">
        <f>[1]DATA!P28</f>
        <v>-0.00507624320546239</v>
      </c>
      <c r="N23" s="23">
        <f>[1]DATA!Q28</f>
        <v>0.0100175128140052</v>
      </c>
    </row>
    <row r="24" ht="14.25" spans="1:14">
      <c r="A24" s="10" t="s">
        <v>1170</v>
      </c>
      <c r="B24" s="22" t="str">
        <f>IFERROR(__xludf.DUMMYFUNCTION("GOOGLEFINANCE(B24,""name"")"),"Vanguard Financials Index Fund ETF")</f>
        <v>Vanguard Financials Index Fund ETF</v>
      </c>
      <c r="C24" s="21">
        <f>IFERROR(__xludf.DUMMYFUNCTION("GOOGLEFINANCE(B24)"),102.16)</f>
        <v>102.16</v>
      </c>
      <c r="D24" s="23">
        <f>IFERROR(__xludf.DUMMYFUNCTION("GOOGLEFINANCE(B24,""changepct"")/100"),-0.0058)</f>
        <v>-0.0058</v>
      </c>
      <c r="E24" s="23">
        <f>IFERROR(__xludf.DUMMYFUNCTION("$D24/(index(GOOGLEFINANCE($B24,""price"",workday(today(),-F$4),today()),2,2))-1"),0.0291125214062657)</f>
        <v>0.0291125214062657</v>
      </c>
      <c r="F24" s="23">
        <f>IFERROR(__xludf.DUMMYFUNCTION("$D24/(index(GOOGLEFINANCE($B24,""price"",workday(today(),-G$4),today()),2,2))-1"),-0.0235136685146244)</f>
        <v>-0.0235136685146244</v>
      </c>
      <c r="G24" s="24">
        <f>IFERROR(__xludf.DUMMYFUNCTION("$D24/(index(GOOGLEFINANCE($B24,""price"",$H$4,today()),2,2))-1"),-0.0235136685146244)</f>
        <v>-0.0235136685146244</v>
      </c>
      <c r="H24" s="25" t="str">
        <f>IFERROR(__xludf.DUMMYFUNCTION("IF(B24="""","""",SPARKLINE(INDEX(GOOGLEFINANCE($B24,""price"",$H$4,today()),,2), {""charttype"",""line""}))"),"")</f>
        <v/>
      </c>
      <c r="I24" s="29" t="str">
        <f>IFERROR(__xludf.DUMMYFUNCTION("IF(B24="""","""",SPARKLINE(INDEX(GOOGLEFINANCE($B24,""volume"",$H$4,today()),,2), {""charttype"",""column"";""color"",""grey"";""highcolor"",""balck"";""lowcolor"",""red""}))"),"")</f>
        <v/>
      </c>
      <c r="J24" s="30">
        <f>E24-[1]Structure!$F$6</f>
        <v>0.000466075760055199</v>
      </c>
      <c r="K24" s="30">
        <f>F24-[1]Structure!$G$6</f>
        <v>0.0282528223458625</v>
      </c>
      <c r="L24" s="23">
        <f>[1]DATA!O29</f>
        <v>99.679490595698</v>
      </c>
      <c r="M24" s="23">
        <f>[1]DATA!P29</f>
        <v>-0.00845948733907826</v>
      </c>
      <c r="N24" s="23">
        <f>[1]DATA!Q29</f>
        <v>0.010382709845571</v>
      </c>
    </row>
    <row r="25" ht="14.25" spans="1:14">
      <c r="A25" s="10" t="s">
        <v>1171</v>
      </c>
      <c r="B25" s="22" t="str">
        <f>IFERROR(__xludf.DUMMYFUNCTION("GOOGLEFINANCE(B25,""name"")"),"SPDR S&amp;P Regional Banking ETF")</f>
        <v>SPDR S&amp;P Regional Banking ETF</v>
      </c>
      <c r="C25" s="21">
        <f>IFERROR(__xludf.DUMMYFUNCTION("GOOGLEFINANCE(B25)"),52.34)</f>
        <v>52.34</v>
      </c>
      <c r="D25" s="23">
        <f>IFERROR(__xludf.DUMMYFUNCTION("GOOGLEFINANCE(B25,""changepct"")/100"),-0.0089)</f>
        <v>-0.0089</v>
      </c>
      <c r="E25" s="23">
        <f>IFERROR(__xludf.DUMMYFUNCTION("$D25/(index(GOOGLEFINANCE($B25,""price"",workday(today(),-F$4),today()),2,2))-1"),-0.000191021967526183)</f>
        <v>-0.000191021967526183</v>
      </c>
      <c r="F25" s="23">
        <f>IFERROR(__xludf.DUMMYFUNCTION("$D25/(index(GOOGLEFINANCE($B25,""price"",workday(today(),-G$4),today()),2,2))-1"),-0.0236896101473604)</f>
        <v>-0.0236896101473604</v>
      </c>
      <c r="G25" s="24">
        <f>IFERROR(__xludf.DUMMYFUNCTION("$D25/(index(GOOGLEFINANCE($B25,""price"",$H$4,today()),2,2))-1"),-0.0236896101473604)</f>
        <v>-0.0236896101473604</v>
      </c>
      <c r="H25" s="25" t="str">
        <f>IFERROR(__xludf.DUMMYFUNCTION("IF(B25="""","""",SPARKLINE(INDEX(GOOGLEFINANCE($B25,""price"",$H$4,today()),,2), {""charttype"",""line""}))"),"")</f>
        <v/>
      </c>
      <c r="I25" s="29" t="str">
        <f>IFERROR(__xludf.DUMMYFUNCTION("IF(B25="""","""",SPARKLINE(INDEX(GOOGLEFINANCE($B25,""volume"",$H$4,today()),,2), {""charttype"",""column"";""color"",""grey"";""highcolor"",""balck"";""lowcolor"",""red""}))"),"")</f>
        <v/>
      </c>
      <c r="J25" s="30">
        <f>E25-[1]Structure!$F$6</f>
        <v>-0.0288374676137367</v>
      </c>
      <c r="K25" s="30">
        <f>F25-[1]Structure!$G$6</f>
        <v>0.0280768807131265</v>
      </c>
      <c r="L25" s="23">
        <f>[1]DATA!O30</f>
        <v>50.381277125386</v>
      </c>
      <c r="M25" s="23">
        <f>[1]DATA!P30</f>
        <v>-0.0295219211261992</v>
      </c>
      <c r="N25" s="23">
        <f>[1]DATA!Q30</f>
        <v>0.0389816746287417</v>
      </c>
    </row>
    <row r="26" ht="14.25" spans="1:14">
      <c r="A26" s="10" t="s">
        <v>1145</v>
      </c>
      <c r="B26" s="22" t="str">
        <f>IFERROR(__xludf.DUMMYFUNCTION("GOOGLEFINANCE(B26,""name"")"),"SPDR S&amp;P Bank ETF")</f>
        <v>SPDR S&amp;P Bank ETF</v>
      </c>
      <c r="C26" s="21">
        <f>IFERROR(__xludf.DUMMYFUNCTION("GOOGLEFINANCE(B26)"),48.94)</f>
        <v>48.94</v>
      </c>
      <c r="D26" s="23">
        <f>IFERROR(__xludf.DUMMYFUNCTION("GOOGLEFINANCE(B26,""changepct"")/100"),-0.0089)</f>
        <v>-0.0089</v>
      </c>
      <c r="E26" s="23">
        <f>IFERROR(__xludf.DUMMYFUNCTION("$D26/(index(GOOGLEFINANCE($B26,""price"",workday(today(),-F$4),today()),2,2))-1"),0.00886415172129462)</f>
        <v>0.00886415172129462</v>
      </c>
      <c r="F26" s="23">
        <f>IFERROR(__xludf.DUMMYFUNCTION("$D26/(index(GOOGLEFINANCE($B26,""price"",workday(today(),-G$4),today()),2,2))-1"),-0.0270377733598409)</f>
        <v>-0.0270377733598409</v>
      </c>
      <c r="G26" s="24">
        <f>IFERROR(__xludf.DUMMYFUNCTION("$D26/(index(GOOGLEFINANCE($B26,""price"",$H$4,today()),2,2))-1"),-0.0270377733598409)</f>
        <v>-0.0270377733598409</v>
      </c>
      <c r="H26" s="25" t="str">
        <f>IFERROR(__xludf.DUMMYFUNCTION("IF(B26="""","""",SPARKLINE(INDEX(GOOGLEFINANCE($B26,""price"",$H$4,today()),,2), {""charttype"",""line""}))"),"")</f>
        <v/>
      </c>
      <c r="I26" s="29" t="str">
        <f>IFERROR(__xludf.DUMMYFUNCTION("IF(B26="""","""",SPARKLINE(INDEX(GOOGLEFINANCE($B26,""volume"",$H$4,today()),,2), {""charttype"",""column"";""color"",""grey"";""highcolor"",""balck"";""lowcolor"",""red""}))"),"")</f>
        <v/>
      </c>
      <c r="J26" s="30">
        <f>E26-[1]Structure!$F$6</f>
        <v>-0.0197822939249159</v>
      </c>
      <c r="K26" s="30">
        <f>F26-[1]Structure!$G$6</f>
        <v>0.024728717500646</v>
      </c>
      <c r="L26" s="23">
        <f>[1]DATA!O31</f>
        <v>46.9073578654036</v>
      </c>
      <c r="M26" s="23">
        <f>[1]DATA!P31</f>
        <v>-0.0259490125881406</v>
      </c>
      <c r="N26" s="23">
        <f>[1]DATA!Q31</f>
        <v>0.0344003638281912</v>
      </c>
    </row>
    <row r="27" ht="14.25" spans="1:14">
      <c r="A27" s="10" t="s">
        <v>1172</v>
      </c>
      <c r="B27" s="22" t="str">
        <f>IFERROR(__xludf.DUMMYFUNCTION("GOOGLEFINANCE(B27,""name"")"),"iShares US Broker-Dealers &amp; Securities Exch ETF")</f>
        <v>iShares US Broker-Dealers &amp; Securities Exch ETF</v>
      </c>
      <c r="C27" s="21">
        <f>IFERROR(__xludf.DUMMYFUNCTION("GOOGLEFINANCE(B27)"),120.11)</f>
        <v>120.11</v>
      </c>
      <c r="D27" s="23">
        <f>IFERROR(__xludf.DUMMYFUNCTION("GOOGLEFINANCE(B27,""changepct"")/100"),-0.0044)</f>
        <v>-0.0044</v>
      </c>
      <c r="E27" s="23">
        <f>IFERROR(__xludf.DUMMYFUNCTION("$D27/(index(GOOGLEFINANCE($B27,""price"",workday(today(),-F$4),today()),2,2))-1"),0.0378467121748897)</f>
        <v>0.0378467121748897</v>
      </c>
      <c r="F27" s="23">
        <f>IFERROR(__xludf.DUMMYFUNCTION("$D27/(index(GOOGLEFINANCE($B27,""price"",workday(today(),-G$4),today()),2,2))-1"),-0.031527173036607)</f>
        <v>-0.031527173036607</v>
      </c>
      <c r="G27" s="24">
        <f>IFERROR(__xludf.DUMMYFUNCTION("$D27/(index(GOOGLEFINANCE($B27,""price"",$H$4,today()),2,2))-1"),-0.031527173036607)</f>
        <v>-0.031527173036607</v>
      </c>
      <c r="H27" s="25" t="str">
        <f>IFERROR(__xludf.DUMMYFUNCTION("IF(B27="""","""",SPARKLINE(INDEX(GOOGLEFINANCE($B27,""price"",$H$4,today()),,2), {""charttype"",""line""}))"),"")</f>
        <v/>
      </c>
      <c r="I27" s="29" t="str">
        <f>IFERROR(__xludf.DUMMYFUNCTION("IF(B27="""","""",SPARKLINE(INDEX(GOOGLEFINANCE($B27,""volume"",$H$4,today()),,2), {""charttype"",""column"";""color"",""grey"";""highcolor"",""balck"";""lowcolor"",""red""}))"),"")</f>
        <v/>
      </c>
      <c r="J27" s="30">
        <f>E27-[1]Structure!$F$6</f>
        <v>0.0092002665286792</v>
      </c>
      <c r="K27" s="30">
        <f>F27-[1]Structure!$G$6</f>
        <v>0.0202393178238799</v>
      </c>
      <c r="L27" s="23">
        <f>[1]DATA!O32</f>
        <v>115.489103957813</v>
      </c>
      <c r="M27" s="23">
        <f>[1]DATA!P32</f>
        <v>-0.0032926403108901</v>
      </c>
      <c r="N27" s="23">
        <f>[1]DATA!Q32</f>
        <v>0.0136992054587061</v>
      </c>
    </row>
    <row r="28" ht="14.25" spans="1:14">
      <c r="A28" s="10" t="s">
        <v>1173</v>
      </c>
      <c r="B28" s="22" t="str">
        <f>IFERROR(__xludf.DUMMYFUNCTION("GOOGLEFINANCE(B28,""name"")"),"SPDR S&amp;P Insurance ETF")</f>
        <v>SPDR S&amp;P Insurance ETF</v>
      </c>
      <c r="C28" s="21">
        <f>IFERROR(__xludf.DUMMYFUNCTION("GOOGLEFINANCE(B28)"),52.45)</f>
        <v>52.45</v>
      </c>
      <c r="D28" s="23">
        <f>IFERROR(__xludf.DUMMYFUNCTION("GOOGLEFINANCE(B28,""changepct"")/100"),-0.0034)</f>
        <v>-0.0034</v>
      </c>
      <c r="E28" s="23">
        <f>IFERROR(__xludf.DUMMYFUNCTION("$D28/(index(GOOGLEFINANCE($B28,""price"",workday(today(),-F$4),today()),2,2))-1"),0.0160790391321195)</f>
        <v>0.0160790391321195</v>
      </c>
      <c r="F28" s="23">
        <f>IFERROR(__xludf.DUMMYFUNCTION("$D28/(index(GOOGLEFINANCE($B28,""price"",workday(today(),-G$4),today()),2,2))-1"),0.0119621840632839)</f>
        <v>0.0119621840632839</v>
      </c>
      <c r="G28" s="24">
        <f>IFERROR(__xludf.DUMMYFUNCTION("$D28/(index(GOOGLEFINANCE($B28,""price"",$H$4,today()),2,2))-1"),0.0119621840632839)</f>
        <v>0.0119621840632839</v>
      </c>
      <c r="H28" s="25" t="str">
        <f>IFERROR(__xludf.DUMMYFUNCTION("IF(B28="""","""",SPARKLINE(INDEX(GOOGLEFINANCE($B28,""price"",$H$4,today()),,2), {""charttype"",""line""}))"),"")</f>
        <v/>
      </c>
      <c r="I28" s="29" t="str">
        <f>IFERROR(__xludf.DUMMYFUNCTION("IF(B28="""","""",SPARKLINE(INDEX(GOOGLEFINANCE($B28,""volume"",$H$4,today()),,2), {""charttype"",""column"";""color"",""grey"";""highcolor"",""balck"";""lowcolor"",""red""}))"),"")</f>
        <v/>
      </c>
      <c r="J28" s="30">
        <f>E28-[1]Structure!$F$6</f>
        <v>-0.012567406514091</v>
      </c>
      <c r="K28" s="30">
        <f>F28-[1]Structure!$G$6</f>
        <v>0.0637286749237708</v>
      </c>
      <c r="L28" s="23">
        <f>[1]DATA!O33</f>
        <v>50.1661896036302</v>
      </c>
      <c r="M28" s="23">
        <f>[1]DATA!P33</f>
        <v>0.00344588204557673</v>
      </c>
      <c r="N28" s="23">
        <f>[1]DATA!Q33</f>
        <v>0.0189177987711581</v>
      </c>
    </row>
    <row r="29" ht="14.25" spans="1:14">
      <c r="A29" s="20" t="s">
        <v>1174</v>
      </c>
      <c r="B29" s="22"/>
      <c r="C29" s="21"/>
      <c r="D29" s="23"/>
      <c r="E29" s="23"/>
      <c r="F29" s="23"/>
      <c r="G29" s="24"/>
      <c r="H29" s="25"/>
      <c r="I29" s="29"/>
      <c r="J29" s="30"/>
      <c r="K29" s="30"/>
      <c r="L29" s="23">
        <f>[1]DATA!O34</f>
        <v>0</v>
      </c>
      <c r="M29" s="23">
        <f>[1]DATA!P34</f>
        <v>0</v>
      </c>
      <c r="N29" s="23">
        <f>[1]DATA!Q34</f>
        <v>0</v>
      </c>
    </row>
    <row r="30" ht="14.25" spans="1:14">
      <c r="A30" s="10" t="s">
        <v>1175</v>
      </c>
      <c r="B30" s="22" t="str">
        <f>IFERROR(__xludf.DUMMYFUNCTION("GOOGLEFINANCE(B30,""name"")"),"Health Care Select Sector SPDR Fund")</f>
        <v>Health Care Select Sector SPDR Fund</v>
      </c>
      <c r="C30" s="21">
        <f>IFERROR(__xludf.DUMMYFUNCTION("GOOGLEFINANCE(B30)"),149.29)</f>
        <v>149.29</v>
      </c>
      <c r="D30" s="23">
        <f>IFERROR(__xludf.DUMMYFUNCTION("GOOGLEFINANCE(B30,""changepct"")/100"),-0.0046)</f>
        <v>-0.0046</v>
      </c>
      <c r="E30" s="23">
        <f>IFERROR(__xludf.DUMMYFUNCTION("$D30/(index(GOOGLEFINANCE($B30,""price"",workday(today(),-F$4),today()),2,2))-1"),0.0167540693318801)</f>
        <v>0.0167540693318801</v>
      </c>
      <c r="F30" s="23">
        <f>IFERROR(__xludf.DUMMYFUNCTION("$D30/(index(GOOGLEFINANCE($B30,""price"",workday(today(),-G$4),today()),2,2))-1"),0.0104230118443315)</f>
        <v>0.0104230118443315</v>
      </c>
      <c r="G30" s="24">
        <f>IFERROR(__xludf.DUMMYFUNCTION("$D30/(index(GOOGLEFINANCE($B30,""price"",$H$4,today()),2,2))-1"),0.0104230118443315)</f>
        <v>0.0104230118443315</v>
      </c>
      <c r="H30" s="25" t="str">
        <f>IFERROR(__xludf.DUMMYFUNCTION("IF(B30="""","""",SPARKLINE(INDEX(GOOGLEFINANCE($B30,""price"",$H$4,today()),,2), {""charttype"",""line""}))"),"")</f>
        <v/>
      </c>
      <c r="I30" s="29" t="str">
        <f>IFERROR(__xludf.DUMMYFUNCTION("IF(B30="""","""",SPARKLINE(INDEX(GOOGLEFINANCE($B30,""volume"",$H$4,today()),,2), {""charttype"",""column"";""color"",""grey"";""highcolor"",""balck"";""lowcolor"",""red""}))"),"")</f>
        <v/>
      </c>
      <c r="J30" s="30">
        <f>E30-[1]Structure!$F$6</f>
        <v>-0.0118923763143304</v>
      </c>
      <c r="K30" s="30">
        <f>F30-[1]Structure!$G$6</f>
        <v>0.0621895027048184</v>
      </c>
      <c r="L30" s="23">
        <f>[1]DATA!O35</f>
        <v>144.688819619011</v>
      </c>
      <c r="M30" s="23">
        <f>[1]DATA!P35</f>
        <v>0.00453755933281066</v>
      </c>
      <c r="N30" s="23">
        <f>[1]DATA!Q35</f>
        <v>0.0118738017079419</v>
      </c>
    </row>
    <row r="31" ht="14.25" spans="1:14">
      <c r="A31" s="10" t="s">
        <v>1176</v>
      </c>
      <c r="B31" s="22" t="str">
        <f>IFERROR(__xludf.DUMMYFUNCTION("GOOGLEFINANCE(B31,""name"")"),"iShares Biotechnology ETF")</f>
        <v>iShares Biotechnology ETF</v>
      </c>
      <c r="C31" s="21">
        <f>IFERROR(__xludf.DUMMYFUNCTION("GOOGLEFINANCE(B31)"),141.34)</f>
        <v>141.34</v>
      </c>
      <c r="D31" s="23">
        <f>IFERROR(__xludf.DUMMYFUNCTION("GOOGLEFINANCE(B31,""changepct"")/100"),-0.0058)</f>
        <v>-0.0058</v>
      </c>
      <c r="E31" s="23">
        <f>IFERROR(__xludf.DUMMYFUNCTION("$D31/(index(GOOGLEFINANCE($B31,""price"",workday(today(),-F$4),today()),2,2))-1"),0.00885082084225552)</f>
        <v>0.00885082084225552</v>
      </c>
      <c r="F31" s="23">
        <f>IFERROR(__xludf.DUMMYFUNCTION("$D31/(index(GOOGLEFINANCE($B31,""price"",workday(today(),-G$4),today()),2,2))-1"),-0.0262487082328625)</f>
        <v>-0.0262487082328625</v>
      </c>
      <c r="G31" s="24">
        <f>IFERROR(__xludf.DUMMYFUNCTION("$D31/(index(GOOGLEFINANCE($B31,""price"",$H$4,today()),2,2))-1"),-0.0262487082328625)</f>
        <v>-0.0262487082328625</v>
      </c>
      <c r="H31" s="25" t="str">
        <f>IFERROR(__xludf.DUMMYFUNCTION("IF(B31="""","""",SPARKLINE(INDEX(GOOGLEFINANCE($B31,""price"",$H$4,today()),,2), {""charttype"",""line""}))"),"")</f>
        <v/>
      </c>
      <c r="I31" s="29" t="str">
        <f>IFERROR(__xludf.DUMMYFUNCTION("IF(B31="""","""",SPARKLINE(INDEX(GOOGLEFINANCE($B31,""volume"",$H$4,today()),,2), {""charttype"",""column"";""color"",""grey"";""highcolor"",""balck"";""lowcolor"",""red""}))"),"")</f>
        <v/>
      </c>
      <c r="J31" s="30">
        <f>E31-[1]Structure!$F$6</f>
        <v>-0.019795624803955</v>
      </c>
      <c r="K31" s="30">
        <f>F31-[1]Structure!$G$6</f>
        <v>0.0255177826276244</v>
      </c>
      <c r="L31" s="23">
        <f>[1]DATA!O36</f>
        <v>137.415690644949</v>
      </c>
      <c r="M31" s="23">
        <f>[1]DATA!P36</f>
        <v>-0.0116398265276341</v>
      </c>
      <c r="N31" s="23">
        <f>[1]DATA!Q36</f>
        <v>0.0191680610643526</v>
      </c>
    </row>
    <row r="32" ht="14.25" spans="1:14">
      <c r="A32" s="10" t="s">
        <v>1177</v>
      </c>
      <c r="B32" s="22" t="str">
        <f>IFERROR(__xludf.DUMMYFUNCTION("GOOGLEFINANCE(B32,""name"")"),"SPDR S&amp;P Biotech ETF")</f>
        <v>SPDR S&amp;P Biotech ETF</v>
      </c>
      <c r="C32" s="21">
        <f>IFERROR(__xludf.DUMMYFUNCTION("GOOGLEFINANCE(B32)"),95.66)</f>
        <v>95.66</v>
      </c>
      <c r="D32" s="23">
        <f>IFERROR(__xludf.DUMMYFUNCTION("GOOGLEFINANCE(B32,""changepct"")/100"),0.0012)</f>
        <v>0.0012</v>
      </c>
      <c r="E32" s="23">
        <f>IFERROR(__xludf.DUMMYFUNCTION("$D32/(index(GOOGLEFINANCE($B32,""price"",workday(today(),-F$4),today()),2,2))-1"),0.0238681365728352)</f>
        <v>0.0238681365728352</v>
      </c>
      <c r="F32" s="23">
        <f>IFERROR(__xludf.DUMMYFUNCTION("$D32/(index(GOOGLEFINANCE($B32,""price"",workday(today(),-G$4),today()),2,2))-1"),-0.0424424424424425)</f>
        <v>-0.0424424424424425</v>
      </c>
      <c r="G32" s="24">
        <f>IFERROR(__xludf.DUMMYFUNCTION("$D32/(index(GOOGLEFINANCE($B32,""price"",$H$4,today()),2,2))-1"),-0.0424424424424425)</f>
        <v>-0.0424424424424425</v>
      </c>
      <c r="H32" s="25" t="str">
        <f>IFERROR(__xludf.DUMMYFUNCTION("IF(B32="""","""",SPARKLINE(INDEX(GOOGLEFINANCE($B32,""price"",$H$4,today()),,2), {""charttype"",""line""}))"),"")</f>
        <v/>
      </c>
      <c r="I32" s="29" t="str">
        <f>IFERROR(__xludf.DUMMYFUNCTION("IF(B32="""","""",SPARKLINE(INDEX(GOOGLEFINANCE($B32,""volume"",$H$4,today()),,2), {""charttype"",""column"";""color"",""grey"";""highcolor"",""balck"";""lowcolor"",""red""}))"),"")</f>
        <v/>
      </c>
      <c r="J32" s="30">
        <f>E32-[1]Structure!$F$6</f>
        <v>-0.0047783090733753</v>
      </c>
      <c r="K32" s="30">
        <f>F32-[1]Structure!$G$6</f>
        <v>0.0093240484180444</v>
      </c>
      <c r="L32" s="23">
        <f>[1]DATA!O37</f>
        <v>92.3010789838348</v>
      </c>
      <c r="M32" s="23">
        <f>[1]DATA!P37</f>
        <v>-0.00758177473405029</v>
      </c>
      <c r="N32" s="23">
        <f>[1]DATA!Q37</f>
        <v>0.0182845757032143</v>
      </c>
    </row>
    <row r="33" ht="14.25" spans="1:14">
      <c r="A33" s="10" t="s">
        <v>1178</v>
      </c>
      <c r="B33" s="22" t="str">
        <f>IFERROR(__xludf.DUMMYFUNCTION("GOOGLEFINANCE(B33,""name"")"),"iShares US Medical Devices ETF")</f>
        <v>iShares US Medical Devices ETF</v>
      </c>
      <c r="C33" s="21">
        <f>IFERROR(__xludf.DUMMYFUNCTION("GOOGLEFINANCE(B33)"),55.45)</f>
        <v>55.45</v>
      </c>
      <c r="D33" s="23">
        <f>IFERROR(__xludf.DUMMYFUNCTION("GOOGLEFINANCE(B33,""changepct"")/100"),-0.0066)</f>
        <v>-0.0066</v>
      </c>
      <c r="E33" s="23">
        <f>IFERROR(__xludf.DUMMYFUNCTION("$D33/(index(GOOGLEFINANCE($B33,""price"",workday(today(),-F$4),today()),2,2))-1"),0.0196763515998528)</f>
        <v>0.0196763515998528</v>
      </c>
      <c r="F33" s="23">
        <f>IFERROR(__xludf.DUMMYFUNCTION("$D33/(index(GOOGLEFINANCE($B33,""price"",workday(today(),-G$4),today()),2,2))-1"),-0.00645045690736423)</f>
        <v>-0.00645045690736423</v>
      </c>
      <c r="G33" s="24">
        <f>IFERROR(__xludf.DUMMYFUNCTION("$D33/(index(GOOGLEFINANCE($B33,""price"",$H$4,today()),2,2))-1"),-0.00645045690736423)</f>
        <v>-0.00645045690736423</v>
      </c>
      <c r="H33" s="25" t="str">
        <f>IFERROR(__xludf.DUMMYFUNCTION("IF(B33="""","""",SPARKLINE(INDEX(GOOGLEFINANCE($B33,""price"",$H$4,today()),,2), {""charttype"",""line""}))"),"")</f>
        <v/>
      </c>
      <c r="I33" s="29" t="str">
        <f>IFERROR(__xludf.DUMMYFUNCTION("IF(B33="""","""",SPARKLINE(INDEX(GOOGLEFINANCE($B33,""volume"",$H$4,today()),,2), {""charttype"",""column"";""color"",""grey"";""highcolor"",""balck"";""lowcolor"",""red""}))"),"")</f>
        <v/>
      </c>
      <c r="J33" s="30">
        <f>E33-[1]Structure!$F$6</f>
        <v>-0.0089700940463577</v>
      </c>
      <c r="K33" s="30">
        <f>F33-[1]Structure!$G$6</f>
        <v>0.0453160339531227</v>
      </c>
      <c r="L33" s="23">
        <f>[1]DATA!O38</f>
        <v>55.5358289333904</v>
      </c>
      <c r="M33" s="23">
        <f>[1]DATA!P38</f>
        <v>-0.000791774403152873</v>
      </c>
      <c r="N33" s="23">
        <f>[1]DATA!Q38</f>
        <v>-0.00414673462848332</v>
      </c>
    </row>
    <row r="34" ht="14.25" spans="1:14">
      <c r="A34" s="10" t="s">
        <v>1179</v>
      </c>
      <c r="B34" s="22" t="str">
        <f>IFERROR(__xludf.DUMMYFUNCTION("GOOGLEFINANCE(B34,""name"")"),"iShares US Healthcare Providers ETF")</f>
        <v>iShares US Healthcare Providers ETF</v>
      </c>
      <c r="C34" s="21">
        <f>IFERROR(__xludf.DUMMYFUNCTION("GOOGLEFINANCE(B34)"),55.08)</f>
        <v>55.08</v>
      </c>
      <c r="D34" s="23">
        <f>IFERROR(__xludf.DUMMYFUNCTION("GOOGLEFINANCE(B34,""changepct"")/100"),-0.0031)</f>
        <v>-0.0031</v>
      </c>
      <c r="E34" s="23">
        <f>IFERROR(__xludf.DUMMYFUNCTION("$D34/(index(GOOGLEFINANCE($B34,""price"",workday(today(),-F$4),today()),2,2))-1"),0.0010905125408942)</f>
        <v>0.0010905125408942</v>
      </c>
      <c r="F34" s="23">
        <f>IFERROR(__xludf.DUMMYFUNCTION("$D34/(index(GOOGLEFINANCE($B34,""price"",workday(today(),-G$4),today()),2,2))-1"),0.0437748720864126)</f>
        <v>0.0437748720864126</v>
      </c>
      <c r="G34" s="24">
        <f>IFERROR(__xludf.DUMMYFUNCTION("$D34/(index(GOOGLEFINANCE($B34,""price"",$H$4,today()),2,2))-1"),0.0437748720864126)</f>
        <v>0.0437748720864126</v>
      </c>
      <c r="H34" s="25" t="str">
        <f>IFERROR(__xludf.DUMMYFUNCTION("IF(B34="""","""",SPARKLINE(INDEX(GOOGLEFINANCE($B34,""price"",$H$4,today()),,2), {""charttype"",""line""}))"),"")</f>
        <v/>
      </c>
      <c r="I34" s="29" t="str">
        <f>IFERROR(__xludf.DUMMYFUNCTION("IF(B34="""","""",SPARKLINE(INDEX(GOOGLEFINANCE($B34,""volume"",$H$4,today()),,2), {""charttype"",""column"";""color"",""grey"";""highcolor"",""balck"";""lowcolor"",""red""}))"),"")</f>
        <v/>
      </c>
      <c r="J34" s="30">
        <f>E34-[1]Structure!$F$6</f>
        <v>-0.0275559331053163</v>
      </c>
      <c r="K34" s="30">
        <f>F34-[1]Structure!$G$6</f>
        <v>0.0955413629468995</v>
      </c>
      <c r="L34" s="23">
        <f>[1]DATA!O39</f>
        <v>53.1235436624583</v>
      </c>
      <c r="M34" s="23">
        <f>[1]DATA!P39</f>
        <v>0.00368760010876999</v>
      </c>
      <c r="N34" s="23">
        <f>[1]DATA!Q39</f>
        <v>0.0210964501170491</v>
      </c>
    </row>
    <row r="35" ht="14.25" spans="1:14">
      <c r="A35" s="10" t="s">
        <v>1180</v>
      </c>
      <c r="B35" s="22" t="str">
        <f>IFERROR(__xludf.DUMMYFUNCTION("GOOGLEFINANCE(B35,""name"")"),"SPDR S&amp;P Health Care Equipment ETF")</f>
        <v>SPDR S&amp;P Health Care Equipment ETF</v>
      </c>
      <c r="C35" s="21">
        <f>IFERROR(__xludf.DUMMYFUNCTION("GOOGLEFINANCE(B35)"),84.49)</f>
        <v>84.49</v>
      </c>
      <c r="D35" s="23">
        <f>IFERROR(__xludf.DUMMYFUNCTION("GOOGLEFINANCE(B35,""changepct"")/100"),-0.0025)</f>
        <v>-0.0025</v>
      </c>
      <c r="E35" s="23">
        <f>IFERROR(__xludf.DUMMYFUNCTION("$D35/(index(GOOGLEFINANCE($B35,""price"",workday(today(),-F$4),today()),2,2))-1"),0.0274838866593698)</f>
        <v>0.0274838866593698</v>
      </c>
      <c r="F35" s="23">
        <f>IFERROR(__xludf.DUMMYFUNCTION("$D35/(index(GOOGLEFINANCE($B35,""price"",workday(today(),-G$4),today()),2,2))-1"),-0.0224459099849591)</f>
        <v>-0.0224459099849591</v>
      </c>
      <c r="G35" s="24">
        <f>IFERROR(__xludf.DUMMYFUNCTION("$D35/(index(GOOGLEFINANCE($B35,""price"",$H$4,today()),2,2))-1"),-0.0224459099849591)</f>
        <v>-0.0224459099849591</v>
      </c>
      <c r="H35" s="25" t="str">
        <f>IFERROR(__xludf.DUMMYFUNCTION("IF(B35="""","""",SPARKLINE(INDEX(GOOGLEFINANCE($B35,""price"",$H$4,today()),,2), {""charttype"",""line""}))"),"")</f>
        <v/>
      </c>
      <c r="I35" s="29" t="str">
        <f>IFERROR(__xludf.DUMMYFUNCTION("IF(B35="""","""",SPARKLINE(INDEX(GOOGLEFINANCE($B35,""volume"",$H$4,today()),,2), {""charttype"",""column"";""color"",""grey"";""highcolor"",""balck"";""lowcolor"",""red""}))"),"")</f>
        <v/>
      </c>
      <c r="J35" s="30">
        <f>E35-[1]Structure!$F$6</f>
        <v>-0.0011625589868407</v>
      </c>
      <c r="K35" s="30">
        <f>F35-[1]Structure!$G$6</f>
        <v>0.0293205808755278</v>
      </c>
      <c r="L35" s="23">
        <f>[1]DATA!O40</f>
        <v>84.7882686986574</v>
      </c>
      <c r="M35" s="23">
        <f>[1]DATA!P40</f>
        <v>-0.00543450214807615</v>
      </c>
      <c r="N35" s="23">
        <f>[1]DATA!Q40</f>
        <v>-0.00214790541349954</v>
      </c>
    </row>
    <row r="36" ht="14.25" spans="1:14">
      <c r="A36" s="10" t="s">
        <v>1181</v>
      </c>
      <c r="B36" s="22" t="str">
        <f>IFERROR(__xludf.DUMMYFUNCTION("GOOGLEFINANCE(B36,""name"")"),"SPDR S&amp;P Pharmaceuticals ETF")</f>
        <v>SPDR S&amp;P Pharmaceuticals ETF</v>
      </c>
      <c r="C36" s="21">
        <f>IFERROR(__xludf.DUMMYFUNCTION("GOOGLEFINANCE(B36)"),41.62)</f>
        <v>41.62</v>
      </c>
      <c r="D36" s="23">
        <f>IFERROR(__xludf.DUMMYFUNCTION("GOOGLEFINANCE(B36,""changepct"")/100"),-0.0086)</f>
        <v>-0.0086</v>
      </c>
      <c r="E36" s="23">
        <f>IFERROR(__xludf.DUMMYFUNCTION("$D36/(index(GOOGLEFINANCE($B36,""price"",workday(today(),-F$4),today()),2,2))-1"),-0.00502032034425059)</f>
        <v>-0.00502032034425059</v>
      </c>
      <c r="F36" s="23">
        <f>IFERROR(__xludf.DUMMYFUNCTION("$D36/(index(GOOGLEFINANCE($B36,""price"",workday(today(),-G$4),today()),2,2))-1"),-0.00335249042145591)</f>
        <v>-0.00335249042145591</v>
      </c>
      <c r="G36" s="24">
        <f>IFERROR(__xludf.DUMMYFUNCTION("$D36/(index(GOOGLEFINANCE($B36,""price"",$H$4,today()),2,2))-1"),-0.00335249042145591)</f>
        <v>-0.00335249042145591</v>
      </c>
      <c r="H36" s="25" t="str">
        <f>IFERROR(__xludf.DUMMYFUNCTION("IF(B36="""","""",SPARKLINE(INDEX(GOOGLEFINANCE($B36,""price"",$H$4,today()),,2), {""charttype"",""line""}))"),"")</f>
        <v/>
      </c>
      <c r="I36" s="29" t="str">
        <f>IFERROR(__xludf.DUMMYFUNCTION("IF(B36="""","""",SPARKLINE(INDEX(GOOGLEFINANCE($B36,""volume"",$H$4,today()),,2), {""charttype"",""column"";""color"",""grey"";""highcolor"",""balck"";""lowcolor"",""red""}))"),"")</f>
        <v/>
      </c>
      <c r="J36" s="30">
        <f>E36-[1]Structure!$F$6</f>
        <v>-0.0336667659904611</v>
      </c>
      <c r="K36" s="30">
        <f>F36-[1]Structure!$G$6</f>
        <v>0.048414000439031</v>
      </c>
      <c r="L36" s="23">
        <f>[1]DATA!O41</f>
        <v>41.2539855977766</v>
      </c>
      <c r="M36" s="23">
        <f>[1]DATA!P41</f>
        <v>-0.00849087226218315</v>
      </c>
      <c r="N36" s="23">
        <f>[1]DATA!Q41</f>
        <v>0.0137689987865794</v>
      </c>
    </row>
    <row r="37" ht="14.25" spans="1:14">
      <c r="A37" s="10" t="s">
        <v>1182</v>
      </c>
      <c r="B37" s="22" t="str">
        <f>IFERROR(__xludf.DUMMYFUNCTION("GOOGLEFINANCE(B37,""name"")"),"Amplify Alternative Harvest ETF")</f>
        <v>Amplify Alternative Harvest ETF</v>
      </c>
      <c r="C37" s="21">
        <f>IFERROR(__xludf.DUMMYFUNCTION("GOOGLEFINANCE(B37)"),3.37)</f>
        <v>3.37</v>
      </c>
      <c r="D37" s="23">
        <f>IFERROR(__xludf.DUMMYFUNCTION("GOOGLEFINANCE(B37,""changepct"")/100"),-0.0044)</f>
        <v>-0.0044</v>
      </c>
      <c r="E37" s="23">
        <f>IFERROR(__xludf.DUMMYFUNCTION("$D37/(index(GOOGLEFINANCE($B37,""price"",workday(today(),-F$4),today()),2,2))-1"),0.0664556962025315)</f>
        <v>0.0664556962025315</v>
      </c>
      <c r="F37" s="23">
        <f>IFERROR(__xludf.DUMMYFUNCTION("$D37/(index(GOOGLEFINANCE($B37,""price"",workday(today(),-G$4),today()),2,2))-1"),-0.0533707865168538)</f>
        <v>-0.0533707865168538</v>
      </c>
      <c r="G37" s="24">
        <f>IFERROR(__xludf.DUMMYFUNCTION("$D37/(index(GOOGLEFINANCE($B37,""price"",$H$4,today()),2,2))-1"),-0.0533707865168538)</f>
        <v>-0.0533707865168538</v>
      </c>
      <c r="H37" s="25" t="str">
        <f>IFERROR(__xludf.DUMMYFUNCTION("IF(B37="""","""",SPARKLINE(INDEX(GOOGLEFINANCE($B37,""price"",$H$4,today()),,2), {""charttype"",""line""}))"),"")</f>
        <v/>
      </c>
      <c r="I37" s="29" t="str">
        <f>IFERROR(__xludf.DUMMYFUNCTION("IF(B37="""","""",SPARKLINE(INDEX(GOOGLEFINANCE($B37,""volume"",$H$4,today()),,2), {""charttype"",""column"";""color"",""grey"";""highcolor"",""balck"";""lowcolor"",""red""}))"),"")</f>
        <v/>
      </c>
      <c r="J37" s="30">
        <f>E37-[1]Structure!$F$6</f>
        <v>0.037809250556321</v>
      </c>
      <c r="K37" s="30">
        <f>F37-[1]Structure!$G$6</f>
        <v>-0.0016042956563669</v>
      </c>
      <c r="L37" s="23">
        <f>[1]DATA!O42</f>
        <v>3.60354454849568</v>
      </c>
      <c r="M37" s="23">
        <f>[1]DATA!P42</f>
        <v>-0.0246487659499655</v>
      </c>
      <c r="N37" s="23">
        <f>[1]DATA!Q42</f>
        <v>-0.0304437478722798</v>
      </c>
    </row>
    <row r="38" ht="14.25" spans="1:14">
      <c r="A38" s="20" t="s">
        <v>1183</v>
      </c>
      <c r="B38" s="22"/>
      <c r="C38" s="21"/>
      <c r="D38" s="23"/>
      <c r="E38" s="23"/>
      <c r="F38" s="23"/>
      <c r="G38" s="24"/>
      <c r="H38" s="25"/>
      <c r="I38" s="29"/>
      <c r="J38" s="30"/>
      <c r="K38" s="30"/>
      <c r="L38" s="23">
        <f>[1]DATA!O43</f>
        <v>0</v>
      </c>
      <c r="M38" s="23">
        <f>[1]DATA!P43</f>
        <v>0</v>
      </c>
      <c r="N38" s="23">
        <f>[1]DATA!Q43</f>
        <v>0</v>
      </c>
    </row>
    <row r="39" ht="14.25" spans="1:14">
      <c r="A39" s="10" t="s">
        <v>1184</v>
      </c>
      <c r="B39" s="22" t="str">
        <f>IFERROR(__xludf.DUMMYFUNCTION("GOOGLEFINANCE(B39,""name"")"),"Industrial Select Sector SPDR Fund")</f>
        <v>Industrial Select Sector SPDR Fund</v>
      </c>
      <c r="C39" s="21">
        <f>IFERROR(__xludf.DUMMYFUNCTION("GOOGLEFINANCE(B39)"),123.52)</f>
        <v>123.52</v>
      </c>
      <c r="D39" s="23">
        <f>IFERROR(__xludf.DUMMYFUNCTION("GOOGLEFINANCE(B39,""changepct"")/100"),-0.00609999999999999)</f>
        <v>-0.00609999999999999</v>
      </c>
      <c r="E39" s="23">
        <f>IFERROR(__xludf.DUMMYFUNCTION("$D39/(index(GOOGLEFINANCE($B39,""price"",workday(today(),-F$4),today()),2,2))-1"),0.024212271973466)</f>
        <v>0.024212271973466</v>
      </c>
      <c r="F39" s="23">
        <f>IFERROR(__xludf.DUMMYFUNCTION("$D39/(index(GOOGLEFINANCE($B39,""price"",workday(today(),-G$4),today()),2,2))-1"),-0.0123930598864635)</f>
        <v>-0.0123930598864635</v>
      </c>
      <c r="G39" s="24">
        <f>IFERROR(__xludf.DUMMYFUNCTION("$D39/(index(GOOGLEFINANCE($B39,""price"",$H$4,today()),2,2))-1"),-0.0123930598864635)</f>
        <v>-0.0123930598864635</v>
      </c>
      <c r="H39" s="25" t="str">
        <f>IFERROR(__xludf.DUMMYFUNCTION("IF(B39="""","""",SPARKLINE(INDEX(GOOGLEFINANCE($B39,""price"",$H$4,today()),,2), {""charttype"",""line""}))"),"")</f>
        <v/>
      </c>
      <c r="I39" s="29" t="str">
        <f>IFERROR(__xludf.DUMMYFUNCTION("IF(B39="""","""",SPARKLINE(INDEX(GOOGLEFINANCE($B39,""volume"",$H$4,today()),,2), {""charttype"",""column"";""color"",""grey"";""highcolor"",""balck"";""lowcolor"",""red""}))"),"")</f>
        <v/>
      </c>
      <c r="J39" s="30">
        <f>E39-[1]Structure!$F$6</f>
        <v>-0.0044341736727445</v>
      </c>
      <c r="K39" s="30">
        <f>F39-[1]Structure!$G$6</f>
        <v>0.0393734309740234</v>
      </c>
      <c r="L39" s="23">
        <f>[1]DATA!O44</f>
        <v>121.559344494107</v>
      </c>
      <c r="M39" s="23">
        <f>[1]DATA!P44</f>
        <v>-0.00328831733275628</v>
      </c>
      <c r="N39" s="23">
        <f>[1]DATA!Q44</f>
        <v>0.00390333673206594</v>
      </c>
    </row>
    <row r="40" ht="14.25" spans="1:14">
      <c r="A40" s="10" t="s">
        <v>1185</v>
      </c>
      <c r="B40" s="22" t="str">
        <f>IFERROR(__xludf.DUMMYFUNCTION("GOOGLEFINANCE(B40,""name"")"),"iShares US Aerospace &amp; Defense ETF")</f>
        <v>iShares US Aerospace &amp; Defense ETF</v>
      </c>
      <c r="C40" s="21">
        <f>IFERROR(__xludf.DUMMYFUNCTION("GOOGLEFINANCE(B40)"),139.98)</f>
        <v>139.98</v>
      </c>
      <c r="D40" s="23">
        <f>IFERROR(__xludf.DUMMYFUNCTION("GOOGLEFINANCE(B40,""changepct"")/100"),-0.0017)</f>
        <v>-0.0017</v>
      </c>
      <c r="E40" s="23">
        <f>IFERROR(__xludf.DUMMYFUNCTION("$D40/(index(GOOGLEFINANCE($B40,""price"",workday(today(),-F$4),today()),2,2))-1"),0.0365049981488336)</f>
        <v>0.0365049981488336</v>
      </c>
      <c r="F40" s="23">
        <f>IFERROR(__xludf.DUMMYFUNCTION("$D40/(index(GOOGLEFINANCE($B40,""price"",workday(today(),-G$4),today()),2,2))-1"),0.0455631909172393)</f>
        <v>0.0455631909172393</v>
      </c>
      <c r="G40" s="24">
        <f>IFERROR(__xludf.DUMMYFUNCTION("$D40/(index(GOOGLEFINANCE($B40,""price"",$H$4,today()),2,2))-1"),0.0455631909172393)</f>
        <v>0.0455631909172393</v>
      </c>
      <c r="H40" s="25" t="str">
        <f>IFERROR(__xludf.DUMMYFUNCTION("IF(B40="""","""",SPARKLINE(INDEX(GOOGLEFINANCE($B40,""price"",$H$4,today()),,2), {""charttype"",""line""}))"),"")</f>
        <v/>
      </c>
      <c r="I40" s="29" t="str">
        <f>IFERROR(__xludf.DUMMYFUNCTION("IF(B40="""","""",SPARKLINE(INDEX(GOOGLEFINANCE($B40,""volume"",$H$4,today()),,2), {""charttype"",""column"";""color"",""grey"";""highcolor"",""balck"";""lowcolor"",""red""}))"),"")</f>
        <v/>
      </c>
      <c r="J40" s="30">
        <f>E40-[1]Structure!$F$6</f>
        <v>0.0078585525026231</v>
      </c>
      <c r="K40" s="30">
        <f>F40-[1]Structure!$G$6</f>
        <v>0.0973296817777262</v>
      </c>
      <c r="L40" s="23">
        <f>[1]DATA!O45</f>
        <v>132.335349178241</v>
      </c>
      <c r="M40" s="23">
        <f>[1]DATA!P45</f>
        <v>0.014936006777372</v>
      </c>
      <c r="N40" s="23">
        <f>[1]DATA!Q45</f>
        <v>0.0180414257115289</v>
      </c>
    </row>
    <row r="41" ht="14.25" spans="1:14">
      <c r="A41" s="10" t="s">
        <v>1186</v>
      </c>
      <c r="B41" s="22" t="str">
        <f>IFERROR(__xludf.DUMMYFUNCTION("GOOGLEFINANCE(B41,""name"")"),"iShares US Transportation ETF")</f>
        <v>iShares US Transportation ETF</v>
      </c>
      <c r="C41" s="21">
        <f>IFERROR(__xludf.DUMMYFUNCTION("GOOGLEFINANCE(B41)"),63.27)</f>
        <v>63.27</v>
      </c>
      <c r="D41" s="23">
        <f>IFERROR(__xludf.DUMMYFUNCTION("GOOGLEFINANCE(B41,""changepct"")/100"),-0.0058)</f>
        <v>-0.0058</v>
      </c>
      <c r="E41" s="23">
        <f>IFERROR(__xludf.DUMMYFUNCTION("$D41/(index(GOOGLEFINANCE($B41,""price"",workday(today(),-F$4),today()),2,2))-1"),0.0312958435207824)</f>
        <v>0.0312958435207824</v>
      </c>
      <c r="F41" s="23">
        <f>IFERROR(__xludf.DUMMYFUNCTION("$D41/(index(GOOGLEFINANCE($B41,""price"",workday(today(),-G$4),today()),2,2))-1"),-0.0511397720455909)</f>
        <v>-0.0511397720455909</v>
      </c>
      <c r="G41" s="24">
        <f>IFERROR(__xludf.DUMMYFUNCTION("$D41/(index(GOOGLEFINANCE($B41,""price"",$H$4,today()),2,2))-1"),-0.0511397720455909)</f>
        <v>-0.0511397720455909</v>
      </c>
      <c r="H41" s="25" t="str">
        <f>IFERROR(__xludf.DUMMYFUNCTION("IF(B41="""","""",SPARKLINE(INDEX(GOOGLEFINANCE($B41,""price"",$H$4,today()),,2), {""charttype"",""line""}))"),"")</f>
        <v/>
      </c>
      <c r="I41" s="29" t="str">
        <f>IFERROR(__xludf.DUMMYFUNCTION("IF(B41="""","""",SPARKLINE(INDEX(GOOGLEFINANCE($B41,""volume"",$H$4,today()),,2), {""charttype"",""column"";""color"",""grey"";""highcolor"",""balck"";""lowcolor"",""red""}))"),"")</f>
        <v/>
      </c>
      <c r="J41" s="30">
        <f>E41-[1]Structure!$F$6</f>
        <v>0.0026493978745719</v>
      </c>
      <c r="K41" s="30">
        <f>F41-[1]Structure!$G$6</f>
        <v>0.000626718814896003</v>
      </c>
      <c r="L41" s="23">
        <f>[1]DATA!O46</f>
        <v>65.1405014950896</v>
      </c>
      <c r="M41" s="23">
        <f>[1]DATA!P46</f>
        <v>-0.0145159673335682</v>
      </c>
      <c r="N41" s="23">
        <f>[1]DATA!Q46</f>
        <v>-0.0108237439559712</v>
      </c>
    </row>
    <row r="42" ht="14.25" spans="1:14">
      <c r="A42" s="10" t="s">
        <v>1187</v>
      </c>
      <c r="B42" s="22" t="str">
        <f>IFERROR(__xludf.DUMMYFUNCTION("GOOGLEFINANCE(B42,""name"")"),"US Global Jets ETF")</f>
        <v>US Global Jets ETF</v>
      </c>
      <c r="C42" s="21">
        <f>IFERROR(__xludf.DUMMYFUNCTION("GOOGLEFINANCE(B42)"),17.13)</f>
        <v>17.13</v>
      </c>
      <c r="D42" s="23">
        <f>IFERROR(__xludf.DUMMYFUNCTION("GOOGLEFINANCE(B42,""changepct"")/100"),-0.02)</f>
        <v>-0.02</v>
      </c>
      <c r="E42" s="23">
        <f>IFERROR(__xludf.DUMMYFUNCTION("$D42/(index(GOOGLEFINANCE($B42,""price"",workday(today(),-F$4),today()),2,2))-1"),0.0220763723150356)</f>
        <v>0.0220763723150356</v>
      </c>
      <c r="F42" s="23">
        <f>IFERROR(__xludf.DUMMYFUNCTION("$D42/(index(GOOGLEFINANCE($B42,""price"",workday(today(),-G$4),today()),2,2))-1"),-0.109667359667359)</f>
        <v>-0.109667359667359</v>
      </c>
      <c r="G42" s="24">
        <f>IFERROR(__xludf.DUMMYFUNCTION("$D42/(index(GOOGLEFINANCE($B42,""price"",$H$4,today()),2,2))-1"),-0.109667359667359)</f>
        <v>-0.109667359667359</v>
      </c>
      <c r="H42" s="25" t="str">
        <f>IFERROR(__xludf.DUMMYFUNCTION("IF(B42="""","""",SPARKLINE(INDEX(GOOGLEFINANCE($B42,""price"",$H$4,today()),,2), {""charttype"",""line""}))"),"")</f>
        <v/>
      </c>
      <c r="I42" s="29" t="str">
        <f>IFERROR(__xludf.DUMMYFUNCTION("IF(B42="""","""",SPARKLINE(INDEX(GOOGLEFINANCE($B42,""volume"",$H$4,today()),,2), {""charttype"",""column"";""color"",""grey"";""highcolor"",""balck"";""lowcolor"",""red""}))"),"")</f>
        <v/>
      </c>
      <c r="J42" s="30">
        <f>E42-[1]Structure!$F$6</f>
        <v>-0.0065700733311749</v>
      </c>
      <c r="K42" s="30">
        <f>F42-[1]Structure!$G$6</f>
        <v>-0.0579008688068721</v>
      </c>
      <c r="L42" s="23">
        <f>[1]DATA!O47</f>
        <v>19.2987772667228</v>
      </c>
      <c r="M42" s="23">
        <f>[1]DATA!P47</f>
        <v>-0.0553620910903516</v>
      </c>
      <c r="N42" s="23">
        <f>[1]DATA!Q47</f>
        <v>-0.0476108669543461</v>
      </c>
    </row>
    <row r="43" ht="14.25" spans="1:14">
      <c r="A43" s="20" t="s">
        <v>1188</v>
      </c>
      <c r="B43" s="22"/>
      <c r="C43" s="21"/>
      <c r="D43" s="23"/>
      <c r="E43" s="23"/>
      <c r="F43" s="23"/>
      <c r="G43" s="24"/>
      <c r="H43" s="25"/>
      <c r="I43" s="29"/>
      <c r="J43" s="30"/>
      <c r="K43" s="30"/>
      <c r="L43" s="10"/>
      <c r="M43" s="23">
        <f>[1]DATA!P48</f>
        <v>0</v>
      </c>
      <c r="N43" s="23">
        <f>[1]DATA!Q48</f>
        <v>0</v>
      </c>
    </row>
    <row r="44" ht="14.25" spans="1:14">
      <c r="A44" s="10" t="s">
        <v>1189</v>
      </c>
      <c r="B44" s="22" t="str">
        <f>IFERROR(__xludf.DUMMYFUNCTION("GOOGLEFINANCE(B44,""name"")"),"Materials Select Sector SPDR Fund")</f>
        <v>Materials Select Sector SPDR Fund</v>
      </c>
      <c r="C44" s="21">
        <f>IFERROR(__xludf.DUMMYFUNCTION("GOOGLEFINANCE(B44)"),88.06)</f>
        <v>88.06</v>
      </c>
      <c r="D44" s="23">
        <f>IFERROR(__xludf.DUMMYFUNCTION("GOOGLEFINANCE(B44,""changepct"")/100"),-0.0056)</f>
        <v>-0.0056</v>
      </c>
      <c r="E44" s="23">
        <f>IFERROR(__xludf.DUMMYFUNCTION("$D44/(index(GOOGLEFINANCE($B44,""price"",workday(today(),-F$4),today()),2,2))-1"),0.000340792911507348)</f>
        <v>0.000340792911507348</v>
      </c>
      <c r="F44" s="23">
        <f>IFERROR(__xludf.DUMMYFUNCTION("$D44/(index(GOOGLEFINANCE($B44,""price"",workday(today(),-G$4),today()),2,2))-1"),-0.0244821092278718)</f>
        <v>-0.0244821092278718</v>
      </c>
      <c r="G44" s="24">
        <f>IFERROR(__xludf.DUMMYFUNCTION("$D44/(index(GOOGLEFINANCE($B44,""price"",$H$4,today()),2,2))-1"),-0.0244821092278718)</f>
        <v>-0.0244821092278718</v>
      </c>
      <c r="H44" s="25" t="str">
        <f>IFERROR(__xludf.DUMMYFUNCTION("IF(B44="""","""",SPARKLINE(INDEX(GOOGLEFINANCE($B44,""price"",$H$4,today()),,2), {""charttype"",""line""}))"),"")</f>
        <v/>
      </c>
      <c r="I44" s="29" t="str">
        <f>IFERROR(__xludf.DUMMYFUNCTION("IF(B44="""","""",SPARKLINE(INDEX(GOOGLEFINANCE($B44,""volume"",$H$4,today()),,2), {""charttype"",""column"";""color"",""grey"";""highcolor"",""balck"";""lowcolor"",""red""}))"),"")</f>
        <v/>
      </c>
      <c r="J44" s="30">
        <f>E44-[1]Structure!$F$6</f>
        <v>-0.0283056527347032</v>
      </c>
      <c r="K44" s="30">
        <f>F44-[1]Structure!$G$6</f>
        <v>0.0272843816326151</v>
      </c>
      <c r="L44" s="23">
        <f>[1]DATA!O49</f>
        <v>88.8195438309455</v>
      </c>
      <c r="M44" s="23">
        <f>[1]DATA!P49</f>
        <v>-0.0155860554109898</v>
      </c>
      <c r="N44" s="23">
        <f>[1]DATA!Q49</f>
        <v>-0.00209540411890258</v>
      </c>
    </row>
    <row r="45" ht="14.25" spans="1:14">
      <c r="A45" s="10" t="s">
        <v>1190</v>
      </c>
      <c r="B45" s="22" t="str">
        <f>IFERROR(__xludf.DUMMYFUNCTION("GOOGLEFINANCE(B45,""name"")"),"VanEck Gold Miners ETF")</f>
        <v>VanEck Gold Miners ETF</v>
      </c>
      <c r="C45" s="21">
        <f>IFERROR(__xludf.DUMMYFUNCTION("GOOGLEFINANCE(B45)"),36.93)</f>
        <v>36.93</v>
      </c>
      <c r="D45" s="23">
        <f>IFERROR(__xludf.DUMMYFUNCTION("GOOGLEFINANCE(B45,""changepct"")/100"),0.0304)</f>
        <v>0.0304</v>
      </c>
      <c r="E45" s="23">
        <f>IFERROR(__xludf.DUMMYFUNCTION("$D45/(index(GOOGLEFINANCE($B45,""price"",workday(today(),-F$4),today()),2,2))-1"),0.0449915110356535)</f>
        <v>0.0449915110356535</v>
      </c>
      <c r="F45" s="23">
        <f>IFERROR(__xludf.DUMMYFUNCTION("$D45/(index(GOOGLEFINANCE($B45,""price"",workday(today(),-G$4),today()),2,2))-1"),-0.0268774703557312)</f>
        <v>-0.0268774703557312</v>
      </c>
      <c r="G45" s="24">
        <f>IFERROR(__xludf.DUMMYFUNCTION("$D45/(index(GOOGLEFINANCE($B45,""price"",$H$4,today()),2,2))-1"),-0.0268774703557312)</f>
        <v>-0.0268774703557312</v>
      </c>
      <c r="H45" s="25" t="str">
        <f>IFERROR(__xludf.DUMMYFUNCTION("IF(B45="""","""",SPARKLINE(INDEX(GOOGLEFINANCE($B45,""price"",$H$4,today()),,2), {""charttype"",""line""}))"),"")</f>
        <v/>
      </c>
      <c r="I45" s="29" t="str">
        <f>IFERROR(__xludf.DUMMYFUNCTION("IF(B45="""","""",SPARKLINE(INDEX(GOOGLEFINANCE($B45,""volume"",$H$4,today()),,2), {""charttype"",""column"";""color"",""grey"";""highcolor"",""balck"";""lowcolor"",""red""}))"),"")</f>
        <v/>
      </c>
      <c r="J45" s="30">
        <f>E45-[1]Structure!$F$6</f>
        <v>0.016345065389443</v>
      </c>
      <c r="K45" s="30">
        <f>F45-[1]Structure!$G$6</f>
        <v>0.0248890205047557</v>
      </c>
      <c r="L45" s="23">
        <f>[1]DATA!O50</f>
        <v>34.1153352042807</v>
      </c>
      <c r="M45" s="23">
        <f>[1]DATA!P50</f>
        <v>0.0161247288036086</v>
      </c>
      <c r="N45" s="23">
        <f>[1]DATA!Q50</f>
        <v>0.0221192235028423</v>
      </c>
    </row>
    <row r="46" ht="14.25" spans="1:14">
      <c r="A46" s="10" t="s">
        <v>1191</v>
      </c>
      <c r="B46" s="22" t="str">
        <f>IFERROR(__xludf.DUMMYFUNCTION("GOOGLEFINANCE(B46,""name"")"),"SPDR S&amp;P Metals &amp; Mining ETF")</f>
        <v>SPDR S&amp;P Metals &amp; Mining ETF</v>
      </c>
      <c r="C46" s="21">
        <f>IFERROR(__xludf.DUMMYFUNCTION("GOOGLEFINANCE(B46)"),57.46)</f>
        <v>57.46</v>
      </c>
      <c r="D46" s="23">
        <f>IFERROR(__xludf.DUMMYFUNCTION("GOOGLEFINANCE(B46,""changepct"")/100"),0.0012)</f>
        <v>0.0012</v>
      </c>
      <c r="E46" s="23">
        <f>IFERROR(__xludf.DUMMYFUNCTION("$D46/(index(GOOGLEFINANCE($B46,""price"",workday(today(),-F$4),today()),2,2))-1"),0.0235126469540434)</f>
        <v>0.0235126469540434</v>
      </c>
      <c r="F46" s="23">
        <f>IFERROR(__xludf.DUMMYFUNCTION("$D46/(index(GOOGLEFINANCE($B46,""price"",workday(today(),-G$4),today()),2,2))-1"),-0.106376360808709)</f>
        <v>-0.106376360808709</v>
      </c>
      <c r="G46" s="24">
        <f>IFERROR(__xludf.DUMMYFUNCTION("$D46/(index(GOOGLEFINANCE($B46,""price"",$H$4,today()),2,2))-1"),-0.106376360808709)</f>
        <v>-0.106376360808709</v>
      </c>
      <c r="H46" s="25" t="str">
        <f>IFERROR(__xludf.DUMMYFUNCTION("IF(B46="""","""",SPARKLINE(INDEX(GOOGLEFINANCE($B46,""price"",$H$4,today()),,2), {""charttype"",""line""}))"),"")</f>
        <v/>
      </c>
      <c r="I46" s="29" t="str">
        <f>IFERROR(__xludf.DUMMYFUNCTION("IF(B46="""","""",SPARKLINE(INDEX(GOOGLEFINANCE($B46,""volume"",$H$4,today()),,2), {""charttype"",""column"";""color"",""grey"";""highcolor"",""balck"";""lowcolor"",""red""}))"),"")</f>
        <v/>
      </c>
      <c r="J46" s="30">
        <f>E46-[1]Structure!$F$6</f>
        <v>-0.0051337986921671</v>
      </c>
      <c r="K46" s="30">
        <f>F46-[1]Structure!$G$6</f>
        <v>-0.0546098699482221</v>
      </c>
      <c r="L46" s="23">
        <f>[1]DATA!O51</f>
        <v>59.781089138953</v>
      </c>
      <c r="M46" s="23">
        <f>[1]DATA!P51</f>
        <v>-0.0341727411532528</v>
      </c>
      <c r="N46" s="23">
        <f>[1]DATA!Q51</f>
        <v>-0.0156607062134546</v>
      </c>
    </row>
    <row r="47" ht="14.25" spans="1:14">
      <c r="A47" s="10" t="s">
        <v>1192</v>
      </c>
      <c r="B47" s="22" t="str">
        <f>IFERROR(__xludf.DUMMYFUNCTION("GOOGLEFINANCE(B47,""name"")"),"Global X Lithium &amp; Battery Tech ETF")</f>
        <v>Global X Lithium &amp; Battery Tech ETF</v>
      </c>
      <c r="C47" s="21">
        <f>IFERROR(__xludf.DUMMYFUNCTION("GOOGLEFINANCE(B47)"),35.46)</f>
        <v>35.46</v>
      </c>
      <c r="D47" s="23">
        <f>IFERROR(__xludf.DUMMYFUNCTION("GOOGLEFINANCE(B47,""changepct"")/100"),-0.0194)</f>
        <v>-0.0194</v>
      </c>
      <c r="E47" s="23">
        <f>IFERROR(__xludf.DUMMYFUNCTION("$D47/(index(GOOGLEFINANCE($B47,""price"",workday(today(),-F$4),today()),2,2))-1"),-0.022332506203474)</f>
        <v>-0.022332506203474</v>
      </c>
      <c r="F47" s="23">
        <f>IFERROR(__xludf.DUMMYFUNCTION("$D47/(index(GOOGLEFINANCE($B47,""price"",workday(today(),-G$4),today()),2,2))-1"),-0.124660577635151)</f>
        <v>-0.124660577635151</v>
      </c>
      <c r="G47" s="24">
        <f>IFERROR(__xludf.DUMMYFUNCTION("$D47/(index(GOOGLEFINANCE($B47,""price"",$H$4,today()),2,2))-1"),-0.124660577635151)</f>
        <v>-0.124660577635151</v>
      </c>
      <c r="H47" s="25" t="str">
        <f>IFERROR(__xludf.DUMMYFUNCTION("IF(B47="""","""",SPARKLINE(INDEX(GOOGLEFINANCE($B47,""price"",$H$4,today()),,2), {""charttype"",""line""}))"),"")</f>
        <v/>
      </c>
      <c r="I47" s="29" t="str">
        <f>IFERROR(__xludf.DUMMYFUNCTION("IF(B47="""","""",SPARKLINE(INDEX(GOOGLEFINANCE($B47,""volume"",$H$4,today()),,2), {""charttype"",""column"";""color"",""grey"";""highcolor"",""balck"";""lowcolor"",""red""}))"),"")</f>
        <v/>
      </c>
      <c r="J47" s="30">
        <f>E47-[1]Structure!$F$6</f>
        <v>-0.0509789518496845</v>
      </c>
      <c r="K47" s="30">
        <f>F47-[1]Structure!$G$6</f>
        <v>-0.0728940867746641</v>
      </c>
      <c r="L47" s="23">
        <f>[1]DATA!O52</f>
        <v>42.3491818979843</v>
      </c>
      <c r="M47" s="23">
        <f>[1]DATA!P52</f>
        <v>-0.0601057928149509</v>
      </c>
      <c r="N47" s="23">
        <f>[1]DATA!Q52</f>
        <v>-0.0589646841828192</v>
      </c>
    </row>
    <row r="48" ht="14.25" spans="1:14">
      <c r="A48" s="10" t="s">
        <v>1193</v>
      </c>
      <c r="B48" s="22" t="str">
        <f>IFERROR(__xludf.DUMMYFUNCTION("GOOGLEFINANCE(B48,""name"")"),"iShares US Basic Materials ETF")</f>
        <v>iShares US Basic Materials ETF</v>
      </c>
      <c r="C48" s="21">
        <f>IFERROR(__xludf.DUMMYFUNCTION("GOOGLEFINANCE(B48)"),138.42)</f>
        <v>138.42</v>
      </c>
      <c r="D48" s="23">
        <f>IFERROR(__xludf.DUMMYFUNCTION("GOOGLEFINANCE(B48,""changepct"")/100"),-0.0011)</f>
        <v>-0.0011</v>
      </c>
      <c r="E48" s="23">
        <f>IFERROR(__xludf.DUMMYFUNCTION("$D48/(index(GOOGLEFINANCE($B48,""price"",workday(today(),-F$4),today()),2,2))-1"),0.00925993437841765)</f>
        <v>0.00925993437841765</v>
      </c>
      <c r="F48" s="23">
        <f>IFERROR(__xludf.DUMMYFUNCTION("$D48/(index(GOOGLEFINANCE($B48,""price"",workday(today(),-G$4),today()),2,2))-1"),-0.0365420755898935)</f>
        <v>-0.0365420755898935</v>
      </c>
      <c r="G48" s="24">
        <f>IFERROR(__xludf.DUMMYFUNCTION("$D48/(index(GOOGLEFINANCE($B48,""price"",$H$4,today()),2,2))-1"),-0.0365420755898935)</f>
        <v>-0.0365420755898935</v>
      </c>
      <c r="H48" s="25" t="str">
        <f>IFERROR(__xludf.DUMMYFUNCTION("IF(B48="""","""",SPARKLINE(INDEX(GOOGLEFINANCE($B48,""price"",$H$4,today()),,2), {""charttype"",""line""}))"),"")</f>
        <v/>
      </c>
      <c r="I48" s="29" t="str">
        <f>IFERROR(__xludf.DUMMYFUNCTION("IF(B48="""","""",SPARKLINE(INDEX(GOOGLEFINANCE($B48,""volume"",$H$4,today()),,2), {""charttype"",""column"";""color"",""grey"";""highcolor"",""balck"";""lowcolor"",""red""}))"),"")</f>
        <v/>
      </c>
      <c r="J48" s="30">
        <f>E48-[1]Structure!$F$6</f>
        <v>-0.0193865112677929</v>
      </c>
      <c r="K48" s="30">
        <f>F48-[1]Structure!$G$6</f>
        <v>0.0152244152705934</v>
      </c>
      <c r="L48" s="23">
        <f>[1]DATA!O53</f>
        <v>140.893110338629</v>
      </c>
      <c r="M48" s="23">
        <f>[1]DATA!P53</f>
        <v>-0.0146983405027657</v>
      </c>
      <c r="N48" s="23">
        <f>[1]DATA!Q53</f>
        <v>-0.00818568410876948</v>
      </c>
    </row>
    <row r="49" ht="14.25" spans="1:14">
      <c r="A49" s="10" t="s">
        <v>1194</v>
      </c>
      <c r="B49" s="22" t="str">
        <f>IFERROR(__xludf.DUMMYFUNCTION("GOOGLEFINANCE(B49,""name"")"),"Global X Uranium ETF")</f>
        <v>Global X Uranium ETF</v>
      </c>
      <c r="C49" s="21">
        <f>IFERROR(__xludf.DUMMYFUNCTION("GOOGLEFINANCE(B49)"),24.89)</f>
        <v>24.89</v>
      </c>
      <c r="D49" s="23">
        <f>IFERROR(__xludf.DUMMYFUNCTION("GOOGLEFINANCE(B49,""changepct"")/100"),0.0069)</f>
        <v>0.0069</v>
      </c>
      <c r="E49" s="23">
        <f>IFERROR(__xludf.DUMMYFUNCTION("$D49/(index(GOOGLEFINANCE($B49,""price"",workday(today(),-F$4),today()),2,2))-1"),0.0396825396825395)</f>
        <v>0.0396825396825395</v>
      </c>
      <c r="F49" s="23">
        <f>IFERROR(__xludf.DUMMYFUNCTION("$D49/(index(GOOGLEFINANCE($B49,""price"",workday(today(),-G$4),today()),2,2))-1"),-0.192931258106355)</f>
        <v>-0.192931258106355</v>
      </c>
      <c r="G49" s="24">
        <f>IFERROR(__xludf.DUMMYFUNCTION("$D49/(index(GOOGLEFINANCE($B49,""price"",$H$4,today()),2,2))-1"),-0.192931258106355)</f>
        <v>-0.192931258106355</v>
      </c>
      <c r="H49" s="25" t="str">
        <f>IFERROR(__xludf.DUMMYFUNCTION("IF(B49="""","""",SPARKLINE(INDEX(GOOGLEFINANCE($B49,""price"",$H$4,today()),,2), {""charttype"",""line""}))"),"")</f>
        <v/>
      </c>
      <c r="I49" s="29" t="str">
        <f>IFERROR(__xludf.DUMMYFUNCTION("IF(B49="""","""",SPARKLINE(INDEX(GOOGLEFINANCE($B49,""volume"",$H$4,today()),,2), {""charttype"",""column"";""color"",""grey"";""highcolor"",""balck"";""lowcolor"",""red""}))"),"")</f>
        <v/>
      </c>
      <c r="J49" s="30">
        <f>E49-[1]Structure!$F$6</f>
        <v>0.011036094036329</v>
      </c>
      <c r="K49" s="30">
        <f>F49-[1]Structure!$G$6</f>
        <v>-0.141164767245868</v>
      </c>
      <c r="L49" s="23">
        <f>[1]DATA!O54</f>
        <v>28.7592186320531</v>
      </c>
      <c r="M49" s="23">
        <f>[1]DATA!P54</f>
        <v>-0.0576095259255299</v>
      </c>
      <c r="N49" s="23">
        <f>[1]DATA!Q54</f>
        <v>-0.0679420881278954</v>
      </c>
    </row>
    <row r="50" ht="14.25" spans="1:14">
      <c r="A50" s="10" t="s">
        <v>1195</v>
      </c>
      <c r="B50" s="22" t="str">
        <f>IFERROR(__xludf.DUMMYFUNCTION("GOOGLEFINANCE(B50,""name"")"),"VanEck Rare Earth and Strategic Metals ETF")</f>
        <v>VanEck Rare Earth and Strategic Metals ETF</v>
      </c>
      <c r="C50" s="21">
        <f>IFERROR(__xludf.DUMMYFUNCTION("GOOGLEFINANCE(B50)"),38.19)</f>
        <v>38.19</v>
      </c>
      <c r="D50" s="23">
        <f>IFERROR(__xludf.DUMMYFUNCTION("GOOGLEFINANCE(B50,""changepct"")/100"),-0.0121999999999999)</f>
        <v>-0.0121999999999999</v>
      </c>
      <c r="E50" s="23">
        <f>IFERROR(__xludf.DUMMYFUNCTION("$D50/(index(GOOGLEFINANCE($B50,""price"",workday(today(),-F$4),today()),2,2))-1"),0.00605900948366699)</f>
        <v>0.00605900948366699</v>
      </c>
      <c r="F50" s="23">
        <f>IFERROR(__xludf.DUMMYFUNCTION("$D50/(index(GOOGLEFINANCE($B50,""price"",workday(today(),-G$4),today()),2,2))-1"),-0.142375926341792)</f>
        <v>-0.142375926341792</v>
      </c>
      <c r="G50" s="24">
        <f>IFERROR(__xludf.DUMMYFUNCTION("$D50/(index(GOOGLEFINANCE($B50,""price"",$H$4,today()),2,2))-1"),-0.142375926341792)</f>
        <v>-0.142375926341792</v>
      </c>
      <c r="H50" s="25" t="str">
        <f>IFERROR(__xludf.DUMMYFUNCTION("IF(B50="""","""",SPARKLINE(INDEX(GOOGLEFINANCE($B50,""price"",$H$4,today()),,2), {""charttype"",""line""}))"),"")</f>
        <v/>
      </c>
      <c r="I50" s="29" t="str">
        <f>IFERROR(__xludf.DUMMYFUNCTION("IF(B50="""","""",SPARKLINE(INDEX(GOOGLEFINANCE($B50,""volume"",$H$4,today()),,2), {""charttype"",""column"";""color"",""grey"";""highcolor"",""balck"";""lowcolor"",""red""}))"),"")</f>
        <v/>
      </c>
      <c r="J50" s="30">
        <f>E50-[1]Structure!$F$6</f>
        <v>-0.0225874361625435</v>
      </c>
      <c r="K50" s="30">
        <f>F50-[1]Structure!$G$6</f>
        <v>-0.0906094354813051</v>
      </c>
      <c r="L50" s="23">
        <f>[1]DATA!O55</f>
        <v>47.9810911082217</v>
      </c>
      <c r="M50" s="23">
        <f>[1]DATA!P55</f>
        <v>-0.0566126974183015</v>
      </c>
      <c r="N50" s="23">
        <f>[1]DATA!Q55</f>
        <v>-0.0862850446273001</v>
      </c>
    </row>
    <row r="51" ht="14.25" spans="1:14">
      <c r="A51" s="20" t="s">
        <v>1004</v>
      </c>
      <c r="B51" s="22"/>
      <c r="C51" s="21"/>
      <c r="D51" s="23"/>
      <c r="E51" s="23"/>
      <c r="F51" s="23"/>
      <c r="G51" s="24"/>
      <c r="H51" s="25"/>
      <c r="I51" s="29"/>
      <c r="J51" s="30"/>
      <c r="K51" s="30"/>
      <c r="L51" s="23">
        <f>[1]DATA!O56</f>
        <v>0</v>
      </c>
      <c r="M51" s="23">
        <f>[1]DATA!P56</f>
        <v>0</v>
      </c>
      <c r="N51" s="23">
        <f>[1]DATA!Q56</f>
        <v>0</v>
      </c>
    </row>
    <row r="52" ht="14.25" spans="1:14">
      <c r="A52" s="10" t="s">
        <v>1196</v>
      </c>
      <c r="B52" s="22" t="str">
        <f>IFERROR(__xludf.DUMMYFUNCTION("GOOGLEFINANCE(B52,""name"")"),"Real Estate Select Sector SPDR Fund")</f>
        <v>Real Estate Select Sector SPDR Fund</v>
      </c>
      <c r="C52" s="21">
        <f>IFERROR(__xludf.DUMMYFUNCTION("GOOGLEFINANCE(B52)"),41.43)</f>
        <v>41.43</v>
      </c>
      <c r="D52" s="23">
        <f>IFERROR(__xludf.DUMMYFUNCTION("GOOGLEFINANCE(B52,""changepct"")/100"),-0.0091)</f>
        <v>-0.0091</v>
      </c>
      <c r="E52" s="23">
        <f>IFERROR(__xludf.DUMMYFUNCTION("$D52/(index(GOOGLEFINANCE($B52,""price"",workday(today(),-F$4),today()),2,2))-1"),0.0191881918819187)</f>
        <v>0.0191881918819187</v>
      </c>
      <c r="F52" s="23">
        <f>IFERROR(__xludf.DUMMYFUNCTION("$D52/(index(GOOGLEFINANCE($B52,""price"",workday(today(),-G$4),today()),2,2))-1"),0.0316235059760956)</f>
        <v>0.0316235059760956</v>
      </c>
      <c r="G52" s="24">
        <f>IFERROR(__xludf.DUMMYFUNCTION("$D52/(index(GOOGLEFINANCE($B52,""price"",$H$4,today()),2,2))-1"),0.0316235059760956)</f>
        <v>0.0316235059760956</v>
      </c>
      <c r="H52" s="25" t="str">
        <f>IFERROR(__xludf.DUMMYFUNCTION("IF(B52="""","""",SPARKLINE(INDEX(GOOGLEFINANCE($B52,""price"",$H$4,today()),,2), {""charttype"",""line""}))"),"")</f>
        <v/>
      </c>
      <c r="I52" s="29" t="str">
        <f>IFERROR(__xludf.DUMMYFUNCTION("IF(B52="""","""",SPARKLINE(INDEX(GOOGLEFINANCE($B52,""volume"",$H$4,today()),,2), {""charttype"",""column"";""color"",""grey"";""highcolor"",""balck"";""lowcolor"",""red""}))"),"")</f>
        <v/>
      </c>
      <c r="J52" s="30">
        <f>E52-[1]Structure!$F$6</f>
        <v>-0.0094582537642918</v>
      </c>
      <c r="K52" s="30">
        <f>F52-[1]Structure!$G$6</f>
        <v>0.0833899968365825</v>
      </c>
      <c r="L52" s="23">
        <f>[1]DATA!O57</f>
        <v>38.8982873941421</v>
      </c>
      <c r="M52" s="23">
        <f>[1]DATA!P57</f>
        <v>0.0130639515453765</v>
      </c>
      <c r="N52" s="23">
        <f>[1]DATA!Q57</f>
        <v>0.0318821259539247</v>
      </c>
    </row>
    <row r="53" ht="14.25" spans="1:14">
      <c r="A53" s="10" t="s">
        <v>1007</v>
      </c>
      <c r="B53" s="22" t="str">
        <f>IFERROR(__xludf.DUMMYFUNCTION("GOOGLEFINANCE(B53,""name"")"),"Vanguard Real Estate Index Fund ETF")</f>
        <v>Vanguard Real Estate Index Fund ETF</v>
      </c>
      <c r="C53" s="21">
        <f>IFERROR(__xludf.DUMMYFUNCTION("GOOGLEFINANCE(B53)"),90.15)</f>
        <v>90.15</v>
      </c>
      <c r="D53" s="23">
        <f>IFERROR(__xludf.DUMMYFUNCTION("GOOGLEFINANCE(B53,""changepct"")/100"),-0.0103)</f>
        <v>-0.0103</v>
      </c>
      <c r="E53" s="23">
        <f>IFERROR(__xludf.DUMMYFUNCTION("$D53/(index(GOOGLEFINANCE($B53,""price"",workday(today(),-F$4),today()),2,2))-1"),0.016805774870291)</f>
        <v>0.016805774870291</v>
      </c>
      <c r="F53" s="23">
        <f>IFERROR(__xludf.DUMMYFUNCTION("$D53/(index(GOOGLEFINANCE($B53,""price"",workday(today(),-G$4),today()),2,2))-1"),0.0238500851788756)</f>
        <v>0.0238500851788756</v>
      </c>
      <c r="G53" s="24">
        <f>IFERROR(__xludf.DUMMYFUNCTION("$D53/(index(GOOGLEFINANCE($B53,""price"",$H$4,today()),2,2))-1"),0.0238500851788756)</f>
        <v>0.0238500851788756</v>
      </c>
      <c r="H53" s="25" t="str">
        <f>IFERROR(__xludf.DUMMYFUNCTION("IF(B53="""","""",SPARKLINE(INDEX(GOOGLEFINANCE($B53,""price"",$H$4,today()),,2), {""charttype"",""line""}))"),"")</f>
        <v/>
      </c>
      <c r="I53" s="29" t="str">
        <f>IFERROR(__xludf.DUMMYFUNCTION("IF(B53="""","""",SPARKLINE(INDEX(GOOGLEFINANCE($B53,""volume"",$H$4,today()),,2), {""charttype"",""column"";""color"",""grey"";""highcolor"",""balck"";""lowcolor"",""red""}))"),"")</f>
        <v/>
      </c>
      <c r="J53" s="30">
        <f>E53-[1]Structure!$F$6</f>
        <v>-0.0118406707759195</v>
      </c>
      <c r="K53" s="30">
        <f>F53-[1]Structure!$G$6</f>
        <v>0.0756165760393625</v>
      </c>
      <c r="L53" s="23">
        <f>[1]DATA!O58</f>
        <v>85.2622900420557</v>
      </c>
      <c r="M53" s="23">
        <f>[1]DATA!P58</f>
        <v>0.00887957384024594</v>
      </c>
      <c r="N53" s="23">
        <f>[1]DATA!Q58</f>
        <v>0.0302261669801876</v>
      </c>
    </row>
    <row r="54" ht="14.25" spans="1:14">
      <c r="A54" s="10" t="s">
        <v>1006</v>
      </c>
      <c r="B54" s="22" t="str">
        <f>IFERROR(__xludf.DUMMYFUNCTION("GOOGLEFINANCE(B54,""name"")"),"Vanguard Global ex-US Real Estate Index Fd ETF")</f>
        <v>Vanguard Global ex-US Real Estate Index Fd ETF</v>
      </c>
      <c r="C54" s="21">
        <f>IFERROR(__xludf.DUMMYFUNCTION("GOOGLEFINANCE(B54)"),42.18)</f>
        <v>42.18</v>
      </c>
      <c r="D54" s="23">
        <f>IFERROR(__xludf.DUMMYFUNCTION("GOOGLEFINANCE(B54,""changepct"")/100"),-0.0074)</f>
        <v>-0.0074</v>
      </c>
      <c r="E54" s="23">
        <f>IFERROR(__xludf.DUMMYFUNCTION("$D54/(index(GOOGLEFINANCE($B54,""price"",workday(today(),-F$4),today()),2,2))-1"),0.02978515625)</f>
        <v>0.02978515625</v>
      </c>
      <c r="F54" s="23">
        <f>IFERROR(__xludf.DUMMYFUNCTION("$D54/(index(GOOGLEFINANCE($B54,""price"",workday(today(),-G$4),today()),2,2))-1"),-0.0137947159223755)</f>
        <v>-0.0137947159223755</v>
      </c>
      <c r="G54" s="24">
        <f>IFERROR(__xludf.DUMMYFUNCTION("$D54/(index(GOOGLEFINANCE($B54,""price"",$H$4,today()),2,2))-1"),-0.0137947159223755)</f>
        <v>-0.0137947159223755</v>
      </c>
      <c r="H54" s="25" t="str">
        <f>IFERROR(__xludf.DUMMYFUNCTION("IF(B54="""","""",SPARKLINE(INDEX(GOOGLEFINANCE($B54,""price"",$H$4,today()),,2), {""charttype"",""line""}))"),"")</f>
        <v/>
      </c>
      <c r="I54" s="29" t="str">
        <f>IFERROR(__xludf.DUMMYFUNCTION("IF(B54="""","""",SPARKLINE(INDEX(GOOGLEFINANCE($B54,""volume"",$H$4,today()),,2), {""charttype"",""column"";""color"",""grey"";""highcolor"",""balck"";""lowcolor"",""red""}))"),"")</f>
        <v/>
      </c>
      <c r="J54" s="30">
        <f>E54-[1]Structure!$F$6</f>
        <v>0.0011387106037895</v>
      </c>
      <c r="K54" s="30">
        <f>F54-[1]Structure!$G$6</f>
        <v>0.0379717749381114</v>
      </c>
      <c r="L54" s="23">
        <f>[1]DATA!O59</f>
        <v>41.4658610677159</v>
      </c>
      <c r="M54" s="23">
        <f>[1]DATA!P59</f>
        <v>0.00447746459239111</v>
      </c>
      <c r="N54" s="23">
        <f>[1]DATA!Q59</f>
        <v>0.00611861960145418</v>
      </c>
    </row>
    <row r="55" ht="14.25" spans="1:14">
      <c r="A55" s="10" t="s">
        <v>1005</v>
      </c>
      <c r="B55" s="22" t="str">
        <f>IFERROR(__xludf.DUMMYFUNCTION("GOOGLEFINANCE(B55,""name"")"),"iShares Global REIT ETF")</f>
        <v>iShares Global REIT ETF</v>
      </c>
      <c r="C55" s="21">
        <f>IFERROR(__xludf.DUMMYFUNCTION("GOOGLEFINANCE(B55)"),24.65)</f>
        <v>24.65</v>
      </c>
      <c r="D55" s="23">
        <f>IFERROR(__xludf.DUMMYFUNCTION("GOOGLEFINANCE(B55,""changepct"")/100"),-0.0108)</f>
        <v>-0.0108</v>
      </c>
      <c r="E55" s="23">
        <f>IFERROR(__xludf.DUMMYFUNCTION("$D55/(index(GOOGLEFINANCE($B55,""price"",workday(today(),-F$4),today()),2,2))-1"),0.0219734660033166)</f>
        <v>0.0219734660033166</v>
      </c>
      <c r="F55" s="23">
        <f>IFERROR(__xludf.DUMMYFUNCTION("$D55/(index(GOOGLEFINANCE($B55,""price"",workday(today(),-G$4),today()),2,2))-1"),0.0123203285420943)</f>
        <v>0.0123203285420943</v>
      </c>
      <c r="G55" s="24">
        <f>IFERROR(__xludf.DUMMYFUNCTION("$D55/(index(GOOGLEFINANCE($B55,""price"",$H$4,today()),2,2))-1"),0.0123203285420943)</f>
        <v>0.0123203285420943</v>
      </c>
      <c r="H55" s="25" t="str">
        <f>IFERROR(__xludf.DUMMYFUNCTION("IF(B55="""","""",SPARKLINE(INDEX(GOOGLEFINANCE($B55,""price"",$H$4,today()),,2), {""charttype"",""line""}))"),"")</f>
        <v/>
      </c>
      <c r="I55" s="29" t="str">
        <f>IFERROR(__xludf.DUMMYFUNCTION("IF(B55="""","""",SPARKLINE(INDEX(GOOGLEFINANCE($B55,""volume"",$H$4,today()),,2), {""charttype"",""column"";""color"",""grey"";""highcolor"",""balck"";""lowcolor"",""red""}))"),"")</f>
        <v/>
      </c>
      <c r="J55" s="30">
        <f>E55-[1]Structure!$F$6</f>
        <v>-0.0066729796428939</v>
      </c>
      <c r="K55" s="30">
        <f>F55-[1]Structure!$G$6</f>
        <v>0.0640868194025812</v>
      </c>
      <c r="L55" s="23">
        <f>[1]DATA!O60</f>
        <v>23.485832139052</v>
      </c>
      <c r="M55" s="23">
        <f>[1]DATA!P60</f>
        <v>0.00826217982991041</v>
      </c>
      <c r="N55" s="23">
        <f>[1]DATA!Q60</f>
        <v>0.0247566589503735</v>
      </c>
    </row>
    <row r="56" ht="14.25" spans="1:14">
      <c r="A56" s="10" t="s">
        <v>1008</v>
      </c>
      <c r="B56" s="22" t="str">
        <f>IFERROR(__xludf.DUMMYFUNCTION("GOOGLEFINANCE(B56,""name"")"),"Ishares Mortgage Real Estate Etf")</f>
        <v>Ishares Mortgage Real Estate Etf</v>
      </c>
      <c r="C56" s="21">
        <f>IFERROR(__xludf.DUMMYFUNCTION("GOOGLEFINANCE(B56)"),22.65)</f>
        <v>22.65</v>
      </c>
      <c r="D56" s="23">
        <f>IFERROR(__xludf.DUMMYFUNCTION("GOOGLEFINANCE(B56,""changepct"")/100"),-0.0174)</f>
        <v>-0.0174</v>
      </c>
      <c r="E56" s="23">
        <f>IFERROR(__xludf.DUMMYFUNCTION("$D56/(index(GOOGLEFINANCE($B56,""price"",workday(today(),-F$4),today()),2,2))-1"),0.0143304970891178)</f>
        <v>0.0143304970891178</v>
      </c>
      <c r="F56" s="23">
        <f>IFERROR(__xludf.DUMMYFUNCTION("$D56/(index(GOOGLEFINANCE($B56,""price"",workday(today(),-G$4),today()),2,2))-1"),-0.0451096121416526)</f>
        <v>-0.0451096121416526</v>
      </c>
      <c r="G56" s="24">
        <f>IFERROR(__xludf.DUMMYFUNCTION("$D56/(index(GOOGLEFINANCE($B56,""price"",$H$4,today()),2,2))-1"),-0.0451096121416526)</f>
        <v>-0.0451096121416526</v>
      </c>
      <c r="H56" s="25" t="str">
        <f>IFERROR(__xludf.DUMMYFUNCTION("IF(B56="""","""",SPARKLINE(INDEX(GOOGLEFINANCE($B56,""price"",$H$4,today()),,2), {""charttype"",""line""}))"),"")</f>
        <v/>
      </c>
      <c r="I56" s="29" t="str">
        <f>IFERROR(__xludf.DUMMYFUNCTION("IF(B56="""","""",SPARKLINE(INDEX(GOOGLEFINANCE($B56,""volume"",$H$4,today()),,2), {""charttype"",""column"";""color"",""grey"";""highcolor"",""balck"";""lowcolor"",""red""}))"),"")</f>
        <v/>
      </c>
      <c r="J56" s="30">
        <f>E56-[1]Structure!$F$6</f>
        <v>-0.0143159485570927</v>
      </c>
      <c r="K56" s="30">
        <f>F56-[1]Structure!$G$6</f>
        <v>0.0066568787188343</v>
      </c>
      <c r="L56" s="23">
        <f>[1]DATA!O61</f>
        <v>22.7389668494192</v>
      </c>
      <c r="M56" s="23">
        <f>[1]DATA!P61</f>
        <v>-0.019486937281771</v>
      </c>
      <c r="N56" s="23">
        <f>[1]DATA!Q61</f>
        <v>0.00925540942558274</v>
      </c>
    </row>
    <row r="57" ht="14.25" spans="1:14">
      <c r="A57" s="22" t="s">
        <v>1011</v>
      </c>
      <c r="B57" s="22" t="str">
        <f>IFERROR(__xludf.DUMMYFUNCTION("GOOGLEFINANCE(B57,""name"")"),"iShares S&amp;P/TSX Capped REIT Index ETF")</f>
        <v>iShares S&amp;P/TSX Capped REIT Index ETF</v>
      </c>
      <c r="C57" s="21">
        <f>IFERROR(__xludf.DUMMYFUNCTION("GOOGLEFINANCE(B57)"),15.75)</f>
        <v>15.75</v>
      </c>
      <c r="D57" s="23">
        <f>IFERROR(__xludf.DUMMYFUNCTION("GOOGLEFINANCE(B57,""changepct"")/100"),-0.00469999999999999)</f>
        <v>-0.00469999999999999</v>
      </c>
      <c r="E57" s="23">
        <f>IFERROR(__xludf.DUMMYFUNCTION("$D57/(index(GOOGLEFINANCE($B57,""price"",workday(today(),-F$4),today()),2,2))-1"),-0.00881057268722473)</f>
        <v>-0.00881057268722473</v>
      </c>
      <c r="F57" s="23">
        <f>IFERROR(__xludf.DUMMYFUNCTION("$D57/(index(GOOGLEFINANCE($B57,""price"",workday(today(),-G$4),today()),2,2))-1"),0.0148195876288659)</f>
        <v>0.0148195876288659</v>
      </c>
      <c r="G57" s="24">
        <f>IFERROR(__xludf.DUMMYFUNCTION("$D57/(index(GOOGLEFINANCE($B57,""price"",$H$4,today()),2,2))-1"),0.0148195876288659)</f>
        <v>0.0148195876288659</v>
      </c>
      <c r="H57" s="25" t="str">
        <f>IFERROR(__xludf.DUMMYFUNCTION("IF(B57="""","""",SPARKLINE(INDEX(GOOGLEFINANCE($B57,""price"",$H$4,today()),,2), {""charttype"",""line""}))"),"")</f>
        <v/>
      </c>
      <c r="I57" s="29" t="str">
        <f>IFERROR(__xludf.DUMMYFUNCTION("IF(B57="""","""",SPARKLINE(INDEX(GOOGLEFINANCE($B57,""volume"",$H$4,today()),,2), {""charttype"",""column"";""color"",""grey"";""highcolor"",""balck"";""lowcolor"",""red""}))"),"")</f>
        <v/>
      </c>
      <c r="J57" s="30">
        <f>E57-[1]Structure!$F$6</f>
        <v>-0.0374570183334352</v>
      </c>
      <c r="K57" s="30">
        <f>F57-[1]Structure!$G$6</f>
        <v>0.0665860784893528</v>
      </c>
      <c r="L57" s="23">
        <f>[1]DATA!O62</f>
        <v>15.3141448491736</v>
      </c>
      <c r="M57" s="23">
        <f>[1]DATA!P62</f>
        <v>0.00383110937543732</v>
      </c>
      <c r="N57" s="23">
        <f>[1]DATA!Q62</f>
        <v>0.022145787205765</v>
      </c>
    </row>
    <row r="58" ht="14.25" spans="1:14">
      <c r="A58" s="20" t="s">
        <v>1197</v>
      </c>
      <c r="B58" s="22"/>
      <c r="C58" s="21"/>
      <c r="D58" s="23"/>
      <c r="E58" s="23"/>
      <c r="F58" s="23"/>
      <c r="G58" s="24"/>
      <c r="H58" s="25"/>
      <c r="I58" s="29"/>
      <c r="J58" s="30"/>
      <c r="K58" s="30"/>
      <c r="L58" s="10"/>
      <c r="M58" s="23">
        <f>[1]DATA!P63</f>
        <v>0</v>
      </c>
      <c r="N58" s="23">
        <f>[1]DATA!Q63</f>
        <v>0</v>
      </c>
    </row>
    <row r="59" ht="14.25" spans="1:14">
      <c r="A59" s="10" t="s">
        <v>1198</v>
      </c>
      <c r="B59" s="22" t="str">
        <f>IFERROR(__xludf.DUMMYFUNCTION("GOOGLEFINANCE(B59,""name"")"),"Technology Select Sector SPDR Fund")</f>
        <v>Technology Select Sector SPDR Fund</v>
      </c>
      <c r="C59" s="21">
        <f>IFERROR(__xludf.DUMMYFUNCTION("GOOGLEFINANCE(B59)"),207.31)</f>
        <v>207.31</v>
      </c>
      <c r="D59" s="23">
        <f>IFERROR(__xludf.DUMMYFUNCTION("GOOGLEFINANCE(B59,""changepct"")/100"),0.00819999999999999)</f>
        <v>0.00819999999999999</v>
      </c>
      <c r="E59" s="23">
        <f>IFERROR(__xludf.DUMMYFUNCTION("$D59/(index(GOOGLEFINANCE($B59,""price"",workday(today(),-F$4),today()),2,2))-1"),0.0475492673067206)</f>
        <v>0.0475492673067206</v>
      </c>
      <c r="F59" s="23">
        <f>IFERROR(__xludf.DUMMYFUNCTION("$D59/(index(GOOGLEFINANCE($B59,""price"",workday(today(),-G$4),today()),2,2))-1"),-0.114891981897361)</f>
        <v>-0.114891981897361</v>
      </c>
      <c r="G59" s="24">
        <f>IFERROR(__xludf.DUMMYFUNCTION("$D59/(index(GOOGLEFINANCE($B59,""price"",$H$4,today()),2,2))-1"),-0.114891981897361)</f>
        <v>-0.114891981897361</v>
      </c>
      <c r="H59" s="25" t="str">
        <f>IFERROR(__xludf.DUMMYFUNCTION("IF(B59="""","""",SPARKLINE(INDEX(GOOGLEFINANCE($B59,""price"",$H$4,today()),,2), {""charttype"",""line""}))"),"")</f>
        <v/>
      </c>
      <c r="I59" s="29" t="str">
        <f>IFERROR(__xludf.DUMMYFUNCTION("IF(B59="""","""",SPARKLINE(INDEX(GOOGLEFINANCE($B59,""volume"",$H$4,today()),,2), {""charttype"",""column"";""color"",""grey"";""highcolor"",""balck"";""lowcolor"",""red""}))"),"")</f>
        <v/>
      </c>
      <c r="J59" s="30">
        <f>E59-[1]Structure!$F$6</f>
        <v>0.0189028216605101</v>
      </c>
      <c r="K59" s="30">
        <f>F59-[1]Structure!$G$6</f>
        <v>-0.0631254910368741</v>
      </c>
      <c r="L59" s="23">
        <f>[1]DATA!O64</f>
        <v>211.081014466563</v>
      </c>
      <c r="M59" s="23">
        <f>[1]DATA!P64</f>
        <v>-0.0215091178371628</v>
      </c>
      <c r="N59" s="23">
        <f>[1]DATA!Q64</f>
        <v>-0.0184752400288734</v>
      </c>
    </row>
    <row r="60" ht="14.25" spans="1:14">
      <c r="A60" s="10" t="s">
        <v>1199</v>
      </c>
      <c r="B60" s="22" t="str">
        <f>IFERROR(__xludf.DUMMYFUNCTION("GOOGLEFINANCE(B60,""name"")"),"iShares Global Tech ETF")</f>
        <v>iShares Global Tech ETF</v>
      </c>
      <c r="C60" s="21">
        <f>IFERROR(__xludf.DUMMYFUNCTION("GOOGLEFINANCE(B60)"),76.6)</f>
        <v>76.6</v>
      </c>
      <c r="D60" s="23">
        <f>IFERROR(__xludf.DUMMYFUNCTION("GOOGLEFINANCE(B60,""changepct"")/100"),0.0074)</f>
        <v>0.0074</v>
      </c>
      <c r="E60" s="23">
        <f>IFERROR(__xludf.DUMMYFUNCTION("$D60/(index(GOOGLEFINANCE($B60,""price"",workday(today(),-F$4),today()),2,2))-1"),0.0493150684931507)</f>
        <v>0.0493150684931507</v>
      </c>
      <c r="F60" s="23">
        <f>IFERROR(__xludf.DUMMYFUNCTION("$D60/(index(GOOGLEFINANCE($B60,""price"",workday(today(),-G$4),today()),2,2))-1"),-0.111678070277165)</f>
        <v>-0.111678070277165</v>
      </c>
      <c r="G60" s="24">
        <f>IFERROR(__xludf.DUMMYFUNCTION("$D60/(index(GOOGLEFINANCE($B60,""price"",$H$4,today()),2,2))-1"),-0.111678070277165)</f>
        <v>-0.111678070277165</v>
      </c>
      <c r="H60" s="25" t="str">
        <f>IFERROR(__xludf.DUMMYFUNCTION("IF(B60="""","""",SPARKLINE(INDEX(GOOGLEFINANCE($B60,""price"",$H$4,today()),,2), {""charttype"",""line""}))"),"")</f>
        <v/>
      </c>
      <c r="I60" s="29" t="str">
        <f>IFERROR(__xludf.DUMMYFUNCTION("IF(B60="""","""",SPARKLINE(INDEX(GOOGLEFINANCE($B60,""volume"",$H$4,today()),,2), {""charttype"",""column"";""color"",""grey"";""highcolor"",""balck"";""lowcolor"",""red""}))"),"")</f>
        <v/>
      </c>
      <c r="J60" s="30">
        <f>E60-[1]Structure!$F$6</f>
        <v>0.0206686228469402</v>
      </c>
      <c r="K60" s="30">
        <f>F60-[1]Structure!$G$6</f>
        <v>-0.0599115794166781</v>
      </c>
      <c r="L60" s="23">
        <f>[1]DATA!O65</f>
        <v>76.7335212509581</v>
      </c>
      <c r="M60" s="23">
        <f>[1]DATA!P65</f>
        <v>-0.0188071478281506</v>
      </c>
      <c r="N60" s="23">
        <f>[1]DATA!Q65</f>
        <v>-0.0125676482186398</v>
      </c>
    </row>
    <row r="61" ht="14.25" spans="1:14">
      <c r="A61" s="10" t="s">
        <v>1084</v>
      </c>
      <c r="B61" s="22" t="str">
        <f>IFERROR(__xludf.DUMMYFUNCTION("GOOGLEFINANCE(B61,""name"")"),"First Trust NASDAQ-100-Technology Sector Index Fd")</f>
        <v>First Trust NASDAQ-100-Technology Sector Index Fd</v>
      </c>
      <c r="C61" s="21">
        <f>IFERROR(__xludf.DUMMYFUNCTION("GOOGLEFINANCE(B61)"),178.12)</f>
        <v>178.12</v>
      </c>
      <c r="D61" s="23">
        <f>IFERROR(__xludf.DUMMYFUNCTION("GOOGLEFINANCE(B61,""changepct"")/100"),-0.0039)</f>
        <v>-0.0039</v>
      </c>
      <c r="E61" s="23">
        <f>IFERROR(__xludf.DUMMYFUNCTION("$D61/(index(GOOGLEFINANCE($B61,""price"",workday(today(),-F$4),today()),2,2))-1"),0.0482580037664783)</f>
        <v>0.0482580037664783</v>
      </c>
      <c r="F61" s="23">
        <f>IFERROR(__xludf.DUMMYFUNCTION("$D61/(index(GOOGLEFINANCE($B61,""price"",workday(today(),-G$4),today()),2,2))-1"),-0.129082730295325)</f>
        <v>-0.129082730295325</v>
      </c>
      <c r="G61" s="24">
        <f>IFERROR(__xludf.DUMMYFUNCTION("$D61/(index(GOOGLEFINANCE($B61,""price"",$H$4,today()),2,2))-1"),-0.129082730295325)</f>
        <v>-0.129082730295325</v>
      </c>
      <c r="H61" s="25" t="str">
        <f>IFERROR(__xludf.DUMMYFUNCTION("IF(B61="""","""",SPARKLINE(INDEX(GOOGLEFINANCE($B61,""price"",$H$4,today()),,2), {""charttype"",""line""}))"),"")</f>
        <v/>
      </c>
      <c r="I61" s="29" t="str">
        <f>IFERROR(__xludf.DUMMYFUNCTION("IF(B61="""","""",SPARKLINE(INDEX(GOOGLEFINANCE($B61,""volume"",$H$4,today()),,2), {""charttype"",""column"";""color"",""grey"";""highcolor"",""balck"";""lowcolor"",""red""}))"),"")</f>
        <v/>
      </c>
      <c r="J61" s="30">
        <f>E61-[1]Structure!$F$6</f>
        <v>0.0196115581202678</v>
      </c>
      <c r="K61" s="30">
        <f>F61-[1]Structure!$G$6</f>
        <v>-0.0773162394348381</v>
      </c>
      <c r="L61" s="23">
        <f>[1]DATA!O66</f>
        <v>186.269278605358</v>
      </c>
      <c r="M61" s="23">
        <f>[1]DATA!P66</f>
        <v>-0.0287613369072268</v>
      </c>
      <c r="N61" s="23">
        <f>[1]DATA!Q66</f>
        <v>-0.0282334584118362</v>
      </c>
    </row>
    <row r="62" ht="14.25" spans="1:14">
      <c r="A62" s="10" t="s">
        <v>1200</v>
      </c>
      <c r="B62" s="22" t="str">
        <f>IFERROR(__xludf.DUMMYFUNCTION("GOOGLEFINANCE(B62,""name"")"),"Vanguard Information Technology Index Fund ETF")</f>
        <v>Vanguard Information Technology Index Fund ETF</v>
      </c>
      <c r="C62" s="21">
        <f>IFERROR(__xludf.DUMMYFUNCTION("GOOGLEFINANCE(B62)"),538.2)</f>
        <v>538.2</v>
      </c>
      <c r="D62" s="23">
        <f>IFERROR(__xludf.DUMMYFUNCTION("GOOGLEFINANCE(B62,""changepct"")/100"),0.0048)</f>
        <v>0.0048</v>
      </c>
      <c r="E62" s="23">
        <f>IFERROR(__xludf.DUMMYFUNCTION("$D62/(index(GOOGLEFINANCE($B62,""price"",workday(today(),-F$4),today()),2,2))-1"),0.0443185346165788)</f>
        <v>0.0443185346165788</v>
      </c>
      <c r="F62" s="23">
        <f>IFERROR(__xludf.DUMMYFUNCTION("$D62/(index(GOOGLEFINANCE($B62,""price"",workday(today(),-G$4),today()),2,2))-1"),-0.108615720957964)</f>
        <v>-0.108615720957964</v>
      </c>
      <c r="G62" s="24">
        <f>IFERROR(__xludf.DUMMYFUNCTION("$D62/(index(GOOGLEFINANCE($B62,""price"",$H$4,today()),2,2))-1"),-0.108615720957964)</f>
        <v>-0.108615720957964</v>
      </c>
      <c r="H62" s="25" t="str">
        <f>IFERROR(__xludf.DUMMYFUNCTION("IF(B62="""","""",SPARKLINE(INDEX(GOOGLEFINANCE($B62,""price"",$H$4,today()),,2), {""charttype"",""line""}))"),"")</f>
        <v/>
      </c>
      <c r="I62" s="29" t="str">
        <f>IFERROR(__xludf.DUMMYFUNCTION("IF(B62="""","""",SPARKLINE(INDEX(GOOGLEFINANCE($B62,""volume"",$H$4,today()),,2), {""charttype"",""column"";""color"",""grey"";""highcolor"",""balck"";""lowcolor"",""red""}))"),"")</f>
        <v/>
      </c>
      <c r="J62" s="30">
        <f>E62-[1]Structure!$F$6</f>
        <v>0.0156720889703683</v>
      </c>
      <c r="K62" s="30">
        <f>F62-[1]Structure!$G$6</f>
        <v>-0.0568492300974771</v>
      </c>
      <c r="L62" s="23">
        <f>[1]DATA!O67</f>
        <v>538.13139453263</v>
      </c>
      <c r="M62" s="23">
        <f>[1]DATA!P67</f>
        <v>-0.0203557667723271</v>
      </c>
      <c r="N62" s="23">
        <f>[1]DATA!Q67</f>
        <v>-0.00887275454657656</v>
      </c>
    </row>
    <row r="63" ht="14.25" spans="1:14">
      <c r="A63" s="10" t="s">
        <v>1201</v>
      </c>
      <c r="B63" s="22" t="str">
        <f>IFERROR(__xludf.DUMMYFUNCTION("GOOGLEFINANCE(B63,""name"")"),"iShares Semiconductor ETF")</f>
        <v>iShares Semiconductor ETF</v>
      </c>
      <c r="C63" s="21">
        <f>IFERROR(__xludf.DUMMYFUNCTION("GOOGLEFINANCE(B63)"),212.56)</f>
        <v>212.56</v>
      </c>
      <c r="D63" s="23">
        <f>IFERROR(__xludf.DUMMYFUNCTION("GOOGLEFINANCE(B63,""changepct"")/100"),0.0037)</f>
        <v>0.0037</v>
      </c>
      <c r="E63" s="23">
        <f>IFERROR(__xludf.DUMMYFUNCTION("$D63/(index(GOOGLEFINANCE($B63,""price"",workday(today(),-F$4),today()),2,2))-1"),0.0462689505808229)</f>
        <v>0.0462689505808229</v>
      </c>
      <c r="F63" s="23">
        <f>IFERROR(__xludf.DUMMYFUNCTION("$D63/(index(GOOGLEFINANCE($B63,""price"",workday(today(),-G$4),today()),2,2))-1"),-0.183027135060342)</f>
        <v>-0.183027135060342</v>
      </c>
      <c r="G63" s="24">
        <f>IFERROR(__xludf.DUMMYFUNCTION("$D63/(index(GOOGLEFINANCE($B63,""price"",$H$4,today()),2,2))-1"),-0.183027135060342)</f>
        <v>-0.183027135060342</v>
      </c>
      <c r="H63" s="25" t="str">
        <f>IFERROR(__xludf.DUMMYFUNCTION("IF(B63="""","""",SPARKLINE(INDEX(GOOGLEFINANCE($B63,""price"",$H$4,today()),,2), {""charttype"",""line""}))"),"")</f>
        <v/>
      </c>
      <c r="I63" s="29" t="str">
        <f>IFERROR(__xludf.DUMMYFUNCTION("IF(B63="""","""",SPARKLINE(INDEX(GOOGLEFINANCE($B63,""volume"",$H$4,today()),,2), {""charttype"",""column"";""color"",""grey"";""highcolor"",""balck"";""lowcolor"",""red""}))"),"")</f>
        <v/>
      </c>
      <c r="J63" s="30">
        <f>E63-[1]Structure!$F$6</f>
        <v>0.0176225049346124</v>
      </c>
      <c r="K63" s="30">
        <f>F63-[1]Structure!$G$6</f>
        <v>-0.131260644199855</v>
      </c>
      <c r="L63" s="23">
        <f>[1]DATA!O68</f>
        <v>225.02783191682</v>
      </c>
      <c r="M63" s="23">
        <f>[1]DATA!P68</f>
        <v>-0.0458781556620121</v>
      </c>
      <c r="N63" s="23">
        <f>[1]DATA!Q68</f>
        <v>-0.0378602361584515</v>
      </c>
    </row>
    <row r="64" ht="14.25" spans="1:14">
      <c r="A64" s="10" t="s">
        <v>1202</v>
      </c>
      <c r="B64" s="22" t="str">
        <f>IFERROR(__xludf.DUMMYFUNCTION("GOOGLEFINANCE(B64,""name"")"),"VanEck Semiconductor ETF")</f>
        <v>VanEck Semiconductor ETF</v>
      </c>
      <c r="C64" s="21">
        <f>IFERROR(__xludf.DUMMYFUNCTION("GOOGLEFINANCE(B64)"),226.66)</f>
        <v>226.66</v>
      </c>
      <c r="D64" s="23">
        <f>IFERROR(__xludf.DUMMYFUNCTION("GOOGLEFINANCE(B64,""changepct"")/100"),0.008)</f>
        <v>0.008</v>
      </c>
      <c r="E64" s="23">
        <f>IFERROR(__xludf.DUMMYFUNCTION("$D64/(index(GOOGLEFINANCE($B64,""price"",workday(today(),-F$4),today()),2,2))-1"),0.0625849702311189)</f>
        <v>0.0625849702311189</v>
      </c>
      <c r="F64" s="23">
        <f>IFERROR(__xludf.DUMMYFUNCTION("$D64/(index(GOOGLEFINANCE($B64,""price"",workday(today(),-G$4),today()),2,2))-1"),-0.172260161414016)</f>
        <v>-0.172260161414016</v>
      </c>
      <c r="G64" s="24">
        <f>IFERROR(__xludf.DUMMYFUNCTION("$D64/(index(GOOGLEFINANCE($B64,""price"",$H$4,today()),2,2))-1"),-0.172260161414016)</f>
        <v>-0.172260161414016</v>
      </c>
      <c r="H64" s="25" t="str">
        <f>IFERROR(__xludf.DUMMYFUNCTION("IF(B64="""","""",SPARKLINE(INDEX(GOOGLEFINANCE($B64,""price"",$H$4,today()),,2), {""charttype"",""line""}))"),"")</f>
        <v/>
      </c>
      <c r="I64" s="29" t="str">
        <f>IFERROR(__xludf.DUMMYFUNCTION("IF(B64="""","""",SPARKLINE(INDEX(GOOGLEFINANCE($B64,""volume"",$H$4,today()),,2), {""charttype"",""column"";""color"",""grey"";""highcolor"",""balck"";""lowcolor"",""red""}))"),"")</f>
        <v/>
      </c>
      <c r="J64" s="30">
        <f>E64-[1]Structure!$F$6</f>
        <v>0.0339385245849084</v>
      </c>
      <c r="K64" s="30">
        <f>F64-[1]Structure!$G$6</f>
        <v>-0.120493670553529</v>
      </c>
      <c r="L64" s="23">
        <f>[1]DATA!O69</f>
        <v>231.069964328483</v>
      </c>
      <c r="M64" s="23">
        <f>[1]DATA!P69</f>
        <v>-0.0353770912971571</v>
      </c>
      <c r="N64" s="23">
        <f>[1]DATA!Q69</f>
        <v>-0.0289421641311046</v>
      </c>
    </row>
    <row r="65" ht="14.25" spans="1:14">
      <c r="A65" s="10" t="s">
        <v>1203</v>
      </c>
      <c r="B65" s="22" t="str">
        <f>IFERROR(__xludf.DUMMYFUNCTION("GOOGLEFINANCE(B65,""name"")"),"iShares Expanded Tech-Software Sector ETF")</f>
        <v>iShares Expanded Tech-Software Sector ETF</v>
      </c>
      <c r="C65" s="21">
        <f>IFERROR(__xludf.DUMMYFUNCTION("GOOGLEFINANCE(B65)"),81.91)</f>
        <v>81.91</v>
      </c>
      <c r="D65" s="23">
        <f>IFERROR(__xludf.DUMMYFUNCTION("GOOGLEFINANCE(B65,""changepct"")/100"),-0.0068)</f>
        <v>-0.0068</v>
      </c>
      <c r="E65" s="23">
        <f>IFERROR(__xludf.DUMMYFUNCTION("$D65/(index(GOOGLEFINANCE($B65,""price"",workday(today(),-F$4),today()),2,2))-1"),0.0509366179112138)</f>
        <v>0.0509366179112138</v>
      </c>
      <c r="F65" s="23">
        <f>IFERROR(__xludf.DUMMYFUNCTION("$D65/(index(GOOGLEFINANCE($B65,""price"",workday(today(),-G$4),today()),2,2))-1"),-0.0686753837407618)</f>
        <v>-0.0686753837407618</v>
      </c>
      <c r="G65" s="24">
        <f>IFERROR(__xludf.DUMMYFUNCTION("$D65/(index(GOOGLEFINANCE($B65,""price"",$H$4,today()),2,2))-1"),-0.0686753837407618)</f>
        <v>-0.0686753837407618</v>
      </c>
      <c r="H65" s="25" t="str">
        <f>IFERROR(__xludf.DUMMYFUNCTION("IF(B65="""","""",SPARKLINE(INDEX(GOOGLEFINANCE($B65,""price"",$H$4,today()),,2), {""charttype"",""line""}))"),"")</f>
        <v/>
      </c>
      <c r="I65" s="29" t="str">
        <f>IFERROR(__xludf.DUMMYFUNCTION("IF(B65="""","""",SPARKLINE(INDEX(GOOGLEFINANCE($B65,""volume"",$H$4,today()),,2), {""charttype"",""column"";""color"",""grey"";""highcolor"",""balck"";""lowcolor"",""red""}))"),"")</f>
        <v/>
      </c>
      <c r="J65" s="30">
        <f>E65-[1]Structure!$F$6</f>
        <v>0.0222901722650033</v>
      </c>
      <c r="K65" s="30">
        <f>F65-[1]Structure!$G$6</f>
        <v>-0.0169088928802749</v>
      </c>
      <c r="L65" s="23">
        <f>[1]DATA!O70</f>
        <v>82.6484321655255</v>
      </c>
      <c r="M65" s="23">
        <f>[1]DATA!P70</f>
        <v>-0.00948918669116635</v>
      </c>
      <c r="N65" s="23">
        <f>[1]DATA!Q70</f>
        <v>-0.00902757912343142</v>
      </c>
    </row>
    <row r="66" ht="14.25" spans="1:14">
      <c r="A66" s="10" t="s">
        <v>1204</v>
      </c>
      <c r="B66" s="22" t="str">
        <f>IFERROR(__xludf.DUMMYFUNCTION("GOOGLEFINANCE(B66,""name"")"),"First Trust Dow Jones Internet Index Fund")</f>
        <v>First Trust Dow Jones Internet Index Fund</v>
      </c>
      <c r="C66" s="21">
        <f>IFERROR(__xludf.DUMMYFUNCTION("GOOGLEFINANCE(B66)"),189.65)</f>
        <v>189.65</v>
      </c>
      <c r="D66" s="23">
        <f>IFERROR(__xludf.DUMMYFUNCTION("GOOGLEFINANCE(B66,""changepct"")/100"),-0.005)</f>
        <v>-0.005</v>
      </c>
      <c r="E66" s="23">
        <f>IFERROR(__xludf.DUMMYFUNCTION("$D66/(index(GOOGLEFINANCE($B66,""price"",workday(today(),-F$4),today()),2,2))-1"),0.0325021777003484)</f>
        <v>0.0325021777003484</v>
      </c>
      <c r="F66" s="23">
        <f>IFERROR(__xludf.DUMMYFUNCTION("$D66/(index(GOOGLEFINANCE($B66,""price"",workday(today(),-G$4),today()),2,2))-1"),-0.0758697982652762)</f>
        <v>-0.0758697982652762</v>
      </c>
      <c r="G66" s="24">
        <f>IFERROR(__xludf.DUMMYFUNCTION("$D66/(index(GOOGLEFINANCE($B66,""price"",$H$4,today()),2,2))-1"),-0.0758697982652762)</f>
        <v>-0.0758697982652762</v>
      </c>
      <c r="H66" s="25" t="str">
        <f>IFERROR(__xludf.DUMMYFUNCTION("IF(B66="""","""",SPARKLINE(INDEX(GOOGLEFINANCE($B66,""price"",$H$4,today()),,2), {""charttype"",""line""}))"),"")</f>
        <v/>
      </c>
      <c r="I66" s="29" t="str">
        <f>IFERROR(__xludf.DUMMYFUNCTION("IF(B66="""","""",SPARKLINE(INDEX(GOOGLEFINANCE($B66,""volume"",$H$4,today()),,2), {""charttype"",""column"";""color"",""grey"";""highcolor"",""balck"";""lowcolor"",""red""}))"),"")</f>
        <v/>
      </c>
      <c r="J66" s="30">
        <f>E66-[1]Structure!$F$6</f>
        <v>0.0038557320541379</v>
      </c>
      <c r="K66" s="30">
        <f>F66-[1]Structure!$G$6</f>
        <v>-0.0241033074047893</v>
      </c>
      <c r="L66" s="23">
        <f>[1]DATA!O71</f>
        <v>196.54104261512</v>
      </c>
      <c r="M66" s="23">
        <f>[1]DATA!P71</f>
        <v>-0.0199437418251196</v>
      </c>
      <c r="N66" s="23">
        <f>[1]DATA!Q71</f>
        <v>-0.0217761156529273</v>
      </c>
    </row>
    <row r="67" ht="14.25" spans="1:14">
      <c r="A67" s="10" t="s">
        <v>1002</v>
      </c>
      <c r="B67" s="22" t="str">
        <f>IFERROR(__xludf.DUMMYFUNCTION("GOOGLEFINANCE(B67,""name"")"),"KraneShares CSI China Internet ETF")</f>
        <v>KraneShares CSI China Internet ETF</v>
      </c>
      <c r="C67" s="21">
        <f>IFERROR(__xludf.DUMMYFUNCTION("GOOGLEFINANCE(B67)"),26.64)</f>
        <v>26.64</v>
      </c>
      <c r="D67" s="23">
        <f>IFERROR(__xludf.DUMMYFUNCTION("GOOGLEFINANCE(B67,""changepct"")/100"),0.011)</f>
        <v>0.011</v>
      </c>
      <c r="E67" s="23">
        <f>IFERROR(__xludf.DUMMYFUNCTION("$D67/(index(GOOGLEFINANCE($B67,""price"",workday(today(),-F$4),today()),2,2))-1"),0.0341614906832297)</f>
        <v>0.0341614906832297</v>
      </c>
      <c r="F67" s="23">
        <f>IFERROR(__xludf.DUMMYFUNCTION("$D67/(index(GOOGLEFINANCE($B67,""price"",workday(today(),-G$4),today()),2,2))-1"),-0.0427596119295723)</f>
        <v>-0.0427596119295723</v>
      </c>
      <c r="G67" s="24">
        <f>IFERROR(__xludf.DUMMYFUNCTION("$D67/(index(GOOGLEFINANCE($B67,""price"",$H$4,today()),2,2))-1"),-0.0427596119295723)</f>
        <v>-0.0427596119295723</v>
      </c>
      <c r="H67" s="25" t="str">
        <f>IFERROR(__xludf.DUMMYFUNCTION("IF(B67="""","""",SPARKLINE(INDEX(GOOGLEFINANCE($B67,""price"",$H$4,today()),,2), {""charttype"",""line""}))"),"")</f>
        <v/>
      </c>
      <c r="I67" s="29" t="str">
        <f>IFERROR(__xludf.DUMMYFUNCTION("IF(B67="""","""",SPARKLINE(INDEX(GOOGLEFINANCE($B67,""volume"",$H$4,today()),,2), {""charttype"",""column"";""color"",""grey"";""highcolor"",""balck"";""lowcolor"",""red""}))"),"")</f>
        <v/>
      </c>
      <c r="J67" s="30">
        <f>E67-[1]Structure!$F$6</f>
        <v>0.0055150450370192</v>
      </c>
      <c r="K67" s="30">
        <f>F67-[1]Structure!$G$6</f>
        <v>0.00900687893091461</v>
      </c>
      <c r="L67" s="23">
        <f>[1]DATA!O72</f>
        <v>27.4941255705448</v>
      </c>
      <c r="M67" s="23">
        <f>[1]DATA!P72</f>
        <v>0.00116782936169271</v>
      </c>
      <c r="N67" s="23">
        <f>[1]DATA!Q72</f>
        <v>-0.0299089679879278</v>
      </c>
    </row>
    <row r="68" ht="14.25" spans="1:14">
      <c r="A68" s="10" t="s">
        <v>1130</v>
      </c>
      <c r="B68" s="22" t="str">
        <f>IFERROR(__xludf.DUMMYFUNCTION("GOOGLEFINANCE(B68,""name"")"),"First Trust NASDAQ Cybersecurity ETF")</f>
        <v>First Trust NASDAQ Cybersecurity ETF</v>
      </c>
      <c r="C68" s="21">
        <f>IFERROR(__xludf.DUMMYFUNCTION("GOOGLEFINANCE(B68)"),54.92)</f>
        <v>54.92</v>
      </c>
      <c r="D68" s="23">
        <f>IFERROR(__xludf.DUMMYFUNCTION("GOOGLEFINANCE(B68,""changepct"")/100"),-0.0075)</f>
        <v>-0.0075</v>
      </c>
      <c r="E68" s="23">
        <f>IFERROR(__xludf.DUMMYFUNCTION("$D68/(index(GOOGLEFINANCE($B68,""price"",workday(today(),-F$4),today()),2,2))-1"),0.0541266794625718)</f>
        <v>0.0541266794625718</v>
      </c>
      <c r="F68" s="23">
        <f>IFERROR(__xludf.DUMMYFUNCTION("$D68/(index(GOOGLEFINANCE($B68,""price"",workday(today(),-G$4),today()),2,2))-1"),-0.0558707237407598)</f>
        <v>-0.0558707237407598</v>
      </c>
      <c r="G68" s="24">
        <f>IFERROR(__xludf.DUMMYFUNCTION("$D68/(index(GOOGLEFINANCE($B68,""price"",$H$4,today()),2,2))-1"),-0.0558707237407598)</f>
        <v>-0.0558707237407598</v>
      </c>
      <c r="H68" s="25" t="str">
        <f>IFERROR(__xludf.DUMMYFUNCTION("IF(B68="""","""",SPARKLINE(INDEX(GOOGLEFINANCE($B68,""price"",$H$4,today()),,2), {""charttype"",""line""}))"),"")</f>
        <v/>
      </c>
      <c r="I68" s="29" t="str">
        <f>IFERROR(__xludf.DUMMYFUNCTION("IF(B68="""","""",SPARKLINE(INDEX(GOOGLEFINANCE($B68,""volume"",$H$4,today()),,2), {""charttype"",""column"";""color"",""grey"";""highcolor"",""balck"";""lowcolor"",""red""}))"),"")</f>
        <v/>
      </c>
      <c r="J68" s="30">
        <f>E68-[1]Structure!$F$6</f>
        <v>0.0254802338163613</v>
      </c>
      <c r="K68" s="30">
        <f>F68-[1]Structure!$G$6</f>
        <v>-0.0041042328802729</v>
      </c>
      <c r="L68" s="23">
        <f>[1]DATA!O73</f>
        <v>54.8024502635533</v>
      </c>
      <c r="M68" s="23">
        <f>[1]DATA!P73</f>
        <v>0.00125396308840356</v>
      </c>
      <c r="N68" s="23">
        <f>[1]DATA!Q73</f>
        <v>-0.00762541714017435</v>
      </c>
    </row>
    <row r="69" ht="14.25" spans="1:14">
      <c r="A69" s="10" t="s">
        <v>1205</v>
      </c>
      <c r="B69" s="22" t="str">
        <f>IFERROR(__xludf.DUMMYFUNCTION("GOOGLEFINANCE(B69,""name"")"),"AMPLIFY CYBERSECURITY ETF")</f>
        <v>AMPLIFY CYBERSECURITY ETF</v>
      </c>
      <c r="C69" s="21">
        <f>IFERROR(__xludf.DUMMYFUNCTION("GOOGLEFINANCE(B69)"),63.1)</f>
        <v>63.1</v>
      </c>
      <c r="D69" s="23">
        <f>IFERROR(__xludf.DUMMYFUNCTION("GOOGLEFINANCE(B69,""changepct"")/100"),-0.0021)</f>
        <v>-0.0021</v>
      </c>
      <c r="E69" s="23">
        <f>IFERROR(__xludf.DUMMYFUNCTION("$D69/(index(GOOGLEFINANCE($B69,""price"",workday(today(),-F$4),today()),2,2))-1"),0.052368245496998)</f>
        <v>0.052368245496998</v>
      </c>
      <c r="F69" s="23">
        <f>IFERROR(__xludf.DUMMYFUNCTION("$D69/(index(GOOGLEFINANCE($B69,""price"",workday(today(),-G$4),today()),2,2))-1"),-0.0443737694987127)</f>
        <v>-0.0443737694987127</v>
      </c>
      <c r="G69" s="24">
        <f>IFERROR(__xludf.DUMMYFUNCTION("$D69/(index(GOOGLEFINANCE($B69,""price"",$H$4,today()),2,2))-1"),-0.0443737694987127)</f>
        <v>-0.0443737694987127</v>
      </c>
      <c r="H69" s="25" t="str">
        <f>IFERROR(__xludf.DUMMYFUNCTION("IF(B69="""","""",SPARKLINE(INDEX(GOOGLEFINANCE($B69,""price"",$H$4,today()),,2), {""charttype"",""line""}))"),"")</f>
        <v/>
      </c>
      <c r="I69" s="29" t="str">
        <f>IFERROR(__xludf.DUMMYFUNCTION("IF(B69="""","""",SPARKLINE(INDEX(GOOGLEFINANCE($B69,""volume"",$H$4,today()),,2), {""charttype"",""column"";""color"",""grey"";""highcolor"",""balck"";""lowcolor"",""red""}))"),"")</f>
        <v/>
      </c>
      <c r="J69" s="30">
        <f>E69-[1]Structure!$F$6</f>
        <v>0.0237217998507875</v>
      </c>
      <c r="K69" s="30">
        <f>F69-[1]Structure!$G$6</f>
        <v>0.00739272136177421</v>
      </c>
      <c r="L69" s="23">
        <f>[1]DATA!O74</f>
        <v>62.2714889981988</v>
      </c>
      <c r="M69" s="23">
        <f>[1]DATA!P74</f>
        <v>0.00552393493107922</v>
      </c>
      <c r="N69" s="23">
        <f>[1]DATA!Q74</f>
        <v>-0.00341748603361713</v>
      </c>
    </row>
    <row r="70" ht="14.25" spans="1:14">
      <c r="A70" s="10" t="s">
        <v>1125</v>
      </c>
      <c r="B70" s="22" t="str">
        <f>IFERROR(__xludf.DUMMYFUNCTION("GOOGLEFINANCE(B70,""name"")"),"First Trust Cloud Computing ETF")</f>
        <v>First Trust Cloud Computing ETF</v>
      </c>
      <c r="C70" s="21">
        <f>IFERROR(__xludf.DUMMYFUNCTION("GOOGLEFINANCE(B70)"),91)</f>
        <v>91</v>
      </c>
      <c r="D70" s="23">
        <f>IFERROR(__xludf.DUMMYFUNCTION("GOOGLEFINANCE(B70,""changepct"")/100"),-0.009)</f>
        <v>-0.009</v>
      </c>
      <c r="E70" s="23">
        <f>IFERROR(__xludf.DUMMYFUNCTION("$D70/(index(GOOGLEFINANCE($B70,""price"",workday(today(),-F$4),today()),2,2))-1"),0.0526315789473683)</f>
        <v>0.0526315789473683</v>
      </c>
      <c r="F70" s="23">
        <f>IFERROR(__xludf.DUMMYFUNCTION("$D70/(index(GOOGLEFINANCE($B70,""price"",workday(today(),-G$4),today()),2,2))-1"),-0.0553306342780026)</f>
        <v>-0.0553306342780026</v>
      </c>
      <c r="G70" s="24">
        <f>IFERROR(__xludf.DUMMYFUNCTION("$D70/(index(GOOGLEFINANCE($B70,""price"",$H$4,today()),2,2))-1"),-0.0553306342780026)</f>
        <v>-0.0553306342780026</v>
      </c>
      <c r="H70" s="25" t="str">
        <f>IFERROR(__xludf.DUMMYFUNCTION("IF(B70="""","""",SPARKLINE(INDEX(GOOGLEFINANCE($B70,""price"",$H$4,today()),,2), {""charttype"",""line""}))"),"")</f>
        <v/>
      </c>
      <c r="I70" s="29" t="str">
        <f>IFERROR(__xludf.DUMMYFUNCTION("IF(B70="""","""",SPARKLINE(INDEX(GOOGLEFINANCE($B70,""volume"",$H$4,today()),,2), {""charttype"",""column"";""color"",""grey"";""highcolor"",""balck"";""lowcolor"",""red""}))"),"")</f>
        <v/>
      </c>
      <c r="J70" s="30">
        <f>E70-[1]Structure!$F$6</f>
        <v>0.0239851333011578</v>
      </c>
      <c r="K70" s="30">
        <f>F70-[1]Structure!$G$6</f>
        <v>-0.00356414341751569</v>
      </c>
      <c r="L70" s="23">
        <f>[1]DATA!O75</f>
        <v>92.0754545271333</v>
      </c>
      <c r="M70" s="23">
        <f>[1]DATA!P75</f>
        <v>-0.0109105165650974</v>
      </c>
      <c r="N70" s="23">
        <f>[1]DATA!Q75</f>
        <v>-0.0108384627073488</v>
      </c>
    </row>
    <row r="71" ht="14.25" spans="1:14">
      <c r="A71" s="10" t="s">
        <v>1129</v>
      </c>
      <c r="B71" s="22" t="str">
        <f>IFERROR(__xludf.DUMMYFUNCTION("GOOGLEFINANCE(B71,""name"")"),"Global X FinTech ETF")</f>
        <v>Global X FinTech ETF</v>
      </c>
      <c r="C71" s="21">
        <f>IFERROR(__xludf.DUMMYFUNCTION("GOOGLEFINANCE(B71)"),25.17)</f>
        <v>25.17</v>
      </c>
      <c r="D71" s="23">
        <f>IFERROR(__xludf.DUMMYFUNCTION("GOOGLEFINANCE(B71,""changepct"")/100"),-0.00609999999999999)</f>
        <v>-0.00609999999999999</v>
      </c>
      <c r="E71" s="23">
        <f>IFERROR(__xludf.DUMMYFUNCTION("$D71/(index(GOOGLEFINANCE($B71,""price"",workday(today(),-F$4),today()),2,2))-1"),0.0465696465696465)</f>
        <v>0.0465696465696465</v>
      </c>
      <c r="F71" s="23">
        <f>IFERROR(__xludf.DUMMYFUNCTION("$D71/(index(GOOGLEFINANCE($B71,""price"",workday(today(),-G$4),today()),2,2))-1"),-0.0487528344671202)</f>
        <v>-0.0487528344671202</v>
      </c>
      <c r="G71" s="24">
        <f>IFERROR(__xludf.DUMMYFUNCTION("$D71/(index(GOOGLEFINANCE($B71,""price"",$H$4,today()),2,2))-1"),-0.0487528344671202)</f>
        <v>-0.0487528344671202</v>
      </c>
      <c r="H71" s="25" t="str">
        <f>IFERROR(__xludf.DUMMYFUNCTION("IF(B71="""","""",SPARKLINE(INDEX(GOOGLEFINANCE($B71,""price"",$H$4,today()),,2), {""charttype"",""line""}))"),"")</f>
        <v/>
      </c>
      <c r="I71" s="29" t="str">
        <f>IFERROR(__xludf.DUMMYFUNCTION("IF(B71="""","""",SPARKLINE(INDEX(GOOGLEFINANCE($B71,""volume"",$H$4,today()),,2), {""charttype"",""column"";""color"",""grey"";""highcolor"",""balck"";""lowcolor"",""red""}))"),"")</f>
        <v/>
      </c>
      <c r="J71" s="30">
        <f>E71-[1]Structure!$F$6</f>
        <v>0.017923200923436</v>
      </c>
      <c r="K71" s="30">
        <f>F71-[1]Structure!$G$6</f>
        <v>0.0030136563933667</v>
      </c>
      <c r="L71" s="23">
        <f>[1]DATA!O76</f>
        <v>25.3276376487421</v>
      </c>
      <c r="M71" s="23">
        <f>[1]DATA!P76</f>
        <v>-0.00819280599508415</v>
      </c>
      <c r="N71" s="23">
        <f>[1]DATA!Q76</f>
        <v>-0.00599131980319099</v>
      </c>
    </row>
    <row r="72" ht="14.25" spans="1:14">
      <c r="A72" s="10" t="s">
        <v>1128</v>
      </c>
      <c r="B72" s="22" t="str">
        <f>IFERROR(__xludf.DUMMYFUNCTION("GOOGLEFINANCE(B72,""name"")"),"Amplify Mobile Payments ETF")</f>
        <v>Amplify Mobile Payments ETF</v>
      </c>
      <c r="C72" s="21">
        <f>IFERROR(__xludf.DUMMYFUNCTION("GOOGLEFINANCE(B72)"),46.83)</f>
        <v>46.83</v>
      </c>
      <c r="D72" s="23">
        <f>IFERROR(__xludf.DUMMYFUNCTION("GOOGLEFINANCE(B72,""changepct"")/100"),-0.0062)</f>
        <v>-0.0062</v>
      </c>
      <c r="E72" s="23">
        <f>IFERROR(__xludf.DUMMYFUNCTION("$D72/(index(GOOGLEFINANCE($B72,""price"",workday(today(),-F$4),today()),2,2))-1"),0.0439144003566651)</f>
        <v>0.0439144003566651</v>
      </c>
      <c r="F72" s="23">
        <f>IFERROR(__xludf.DUMMYFUNCTION("$D72/(index(GOOGLEFINANCE($B72,""price"",workday(today(),-G$4),today()),2,2))-1"),-0.0456490727532097)</f>
        <v>-0.0456490727532097</v>
      </c>
      <c r="G72" s="24">
        <f>IFERROR(__xludf.DUMMYFUNCTION("$D72/(index(GOOGLEFINANCE($B72,""price"",$H$4,today()),2,2))-1"),-0.0456490727532097)</f>
        <v>-0.0456490727532097</v>
      </c>
      <c r="H72" s="25" t="str">
        <f>IFERROR(__xludf.DUMMYFUNCTION("IF(B72="""","""",SPARKLINE(INDEX(GOOGLEFINANCE($B72,""price"",$H$4,today()),,2), {""charttype"",""line""}))"),"")</f>
        <v/>
      </c>
      <c r="I72" s="29" t="str">
        <f>IFERROR(__xludf.DUMMYFUNCTION("IF(B72="""","""",SPARKLINE(INDEX(GOOGLEFINANCE($B72,""volume"",$H$4,today()),,2), {""charttype"",""column"";""color"",""grey"";""highcolor"",""balck"";""lowcolor"",""red""}))"),"")</f>
        <v/>
      </c>
      <c r="J72" s="30">
        <f>E72-[1]Structure!$F$6</f>
        <v>0.0152679547104546</v>
      </c>
      <c r="K72" s="30">
        <f>F72-[1]Structure!$G$6</f>
        <v>0.0061174181072772</v>
      </c>
      <c r="L72" s="23">
        <f>[1]DATA!O77</f>
        <v>47.5948046932433</v>
      </c>
      <c r="M72" s="23">
        <f>[1]DATA!P77</f>
        <v>-0.00836254679067516</v>
      </c>
      <c r="N72" s="23">
        <f>[1]DATA!Q77</f>
        <v>-0.0110160707838476</v>
      </c>
    </row>
    <row r="73" ht="14.25" spans="1:14">
      <c r="A73" s="20" t="s">
        <v>1206</v>
      </c>
      <c r="B73" s="22"/>
      <c r="C73" s="21"/>
      <c r="D73" s="23"/>
      <c r="E73" s="23"/>
      <c r="F73" s="23"/>
      <c r="G73" s="24"/>
      <c r="H73" s="25"/>
      <c r="I73" s="29"/>
      <c r="J73" s="30"/>
      <c r="K73" s="30"/>
      <c r="L73" s="23">
        <f>[1]DATA!O78</f>
        <v>0</v>
      </c>
      <c r="M73" s="23">
        <f>[1]DATA!P78</f>
        <v>0</v>
      </c>
      <c r="N73" s="23">
        <f>[1]DATA!Q78</f>
        <v>0</v>
      </c>
    </row>
    <row r="74" ht="14.25" spans="1:14">
      <c r="A74" s="10" t="s">
        <v>1207</v>
      </c>
      <c r="B74" s="22" t="str">
        <f>IFERROR(__xludf.DUMMYFUNCTION("GOOGLEFINANCE(B74,""name"")"),"Utilities Select Sector SPDR Fund")</f>
        <v>Utilities Select Sector SPDR Fund</v>
      </c>
      <c r="C74" s="21">
        <f>IFERROR(__xludf.DUMMYFUNCTION("GOOGLEFINANCE(B74)"),73.62)</f>
        <v>73.62</v>
      </c>
      <c r="D74" s="23">
        <f>IFERROR(__xludf.DUMMYFUNCTION("GOOGLEFINANCE(B74,""changepct"")/100"),0.0001)</f>
        <v>0.0001</v>
      </c>
      <c r="E74" s="23">
        <f>IFERROR(__xludf.DUMMYFUNCTION("$D74/(index(GOOGLEFINANCE($B74,""price"",workday(today(),-F$4),today()),2,2))-1"),0.0188209244395238)</f>
        <v>0.0188209244395238</v>
      </c>
      <c r="F74" s="23">
        <f>IFERROR(__xludf.DUMMYFUNCTION("$D74/(index(GOOGLEFINANCE($B74,""price"",workday(today(),-G$4),today()),2,2))-1"),0.0588235294117647)</f>
        <v>0.0588235294117647</v>
      </c>
      <c r="G74" s="24">
        <f>IFERROR(__xludf.DUMMYFUNCTION("$D74/(index(GOOGLEFINANCE($B74,""price"",$H$4,today()),2,2))-1"),0.0588235294117647)</f>
        <v>0.0588235294117647</v>
      </c>
      <c r="H74" s="25" t="str">
        <f>IFERROR(__xludf.DUMMYFUNCTION("IF(B74="""","""",SPARKLINE(INDEX(GOOGLEFINANCE($B74,""price"",$H$4,today()),,2), {""charttype"",""line""}))"),"")</f>
        <v/>
      </c>
      <c r="I74" s="29" t="str">
        <f>IFERROR(__xludf.DUMMYFUNCTION("IF(B74="""","""",SPARKLINE(INDEX(GOOGLEFINANCE($B74,""volume"",$H$4,today()),,2), {""charttype"",""column"";""color"",""grey"";""highcolor"",""balck"";""lowcolor"",""red""}))"),"")</f>
        <v/>
      </c>
      <c r="J74" s="30">
        <f>E74-E$8</f>
        <v>0.0043332506458564</v>
      </c>
      <c r="K74" s="30">
        <f>F74-[1]Structure!F$6</f>
        <v>0.0301770837655542</v>
      </c>
      <c r="L74" s="23">
        <f>[1]DATA!O79</f>
        <v>68.6178683988447</v>
      </c>
      <c r="M74" s="23">
        <f>[1]DATA!P79</f>
        <v>0.0202601442074272</v>
      </c>
      <c r="N74" s="23">
        <f>[1]DATA!Q79</f>
        <v>0.0242213339908193</v>
      </c>
    </row>
  </sheetData>
  <mergeCells count="3">
    <mergeCell ref="A1:B1"/>
    <mergeCell ref="A3:H3"/>
    <mergeCell ref="G4:I4"/>
  </mergeCells>
  <conditionalFormatting sqref="D5:D74">
    <cfRule type="colorScale" priority="1">
      <colorScale>
        <cfvo type="formula" val="-0.03"/>
        <cfvo type="formula" val="0"/>
        <cfvo type="formula" val="0.03"/>
        <color rgb="FFEA4335"/>
        <color rgb="FFFFFFFF"/>
        <color rgb="FF57BB8A"/>
      </colorScale>
    </cfRule>
  </conditionalFormatting>
  <conditionalFormatting sqref="G6:G74">
    <cfRule type="colorScale" priority="7">
      <colorScale>
        <cfvo type="formula" val="-0.2"/>
        <cfvo type="formula" val="0"/>
        <cfvo type="formula" val="0.2"/>
        <color rgb="FFEA4335"/>
        <color rgb="FFFFFFFF"/>
        <color rgb="FF57BB8A"/>
      </colorScale>
    </cfRule>
  </conditionalFormatting>
  <conditionalFormatting sqref="J5:K74">
    <cfRule type="colorScale" priority="2">
      <colorScale>
        <cfvo type="formula" val="-0.1"/>
        <cfvo type="formula" val="0"/>
        <cfvo type="formula" val="0.1"/>
        <color rgb="FFEA4335"/>
        <color rgb="FFFFFFFF"/>
        <color rgb="FF57BB8A"/>
      </colorScale>
    </cfRule>
  </conditionalFormatting>
  <conditionalFormatting sqref="E6:F74">
    <cfRule type="colorScale" priority="6">
      <colorScale>
        <cfvo type="formula" val="-0.1"/>
        <cfvo type="formula" val="0"/>
        <cfvo type="formula" val="0.1"/>
        <color rgb="FFEA4335"/>
        <color rgb="FFFFFFFF"/>
        <color rgb="FF57BB8A"/>
      </colorScale>
    </cfRule>
  </conditionalFormatting>
  <conditionalFormatting sqref="L6:N74">
    <cfRule type="cellIs" dxfId="0" priority="5" operator="lessThan">
      <formula>0</formula>
    </cfRule>
    <cfRule type="cellIs" dxfId="1" priority="4" operator="greaterThan">
      <formula>0</formula>
    </cfRule>
    <cfRule type="cellIs" dxfId="3" priority="3" operator="equal">
      <formula>0</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
  <sheetViews>
    <sheetView topLeftCell="A7" workbookViewId="0">
      <selection activeCell="A5" sqref="A5"/>
    </sheetView>
  </sheetViews>
  <sheetFormatPr defaultColWidth="9.14285714285714" defaultRowHeight="12.75"/>
  <cols>
    <col min="1" max="1" width="84.4285714285714" customWidth="1"/>
  </cols>
  <sheetData>
    <row r="1" ht="25.5" spans="1:1">
      <c r="A1" s="1" t="s">
        <v>1208</v>
      </c>
    </row>
    <row r="3" ht="56.25" spans="1:1">
      <c r="A3" s="2" t="s">
        <v>1209</v>
      </c>
    </row>
    <row r="4" ht="18.75" spans="1:1">
      <c r="A4" s="2" t="s">
        <v>1210</v>
      </c>
    </row>
    <row r="5" ht="37.5" spans="1:1">
      <c r="A5" s="2" t="s">
        <v>1211</v>
      </c>
    </row>
    <row r="6" ht="56.25" spans="1:1">
      <c r="A6" s="2" t="s">
        <v>1212</v>
      </c>
    </row>
    <row r="7" ht="37.5" spans="1:1">
      <c r="A7" s="2" t="s">
        <v>1213</v>
      </c>
    </row>
    <row r="8" ht="18.75" spans="1:1">
      <c r="A8" s="2" t="s">
        <v>1214</v>
      </c>
    </row>
    <row r="11" ht="25.5" spans="1:1">
      <c r="A11" s="1" t="s">
        <v>1215</v>
      </c>
    </row>
    <row r="13" ht="18.75" spans="1:1">
      <c r="A13" s="3" t="s">
        <v>1216</v>
      </c>
    </row>
    <row r="14" ht="18.75" spans="1:1">
      <c r="A14" s="3" t="s">
        <v>1217</v>
      </c>
    </row>
    <row r="15" ht="18.75" spans="1:1">
      <c r="A15" s="3" t="s">
        <v>1218</v>
      </c>
    </row>
    <row r="16" ht="18.75" spans="1:1">
      <c r="A16" s="3" t="s">
        <v>1219</v>
      </c>
    </row>
    <row r="19" ht="25.5" spans="1:1">
      <c r="A19" s="1" t="s">
        <v>1220</v>
      </c>
    </row>
    <row r="21" ht="18.75" spans="1:1">
      <c r="A21" s="3" t="s">
        <v>1221</v>
      </c>
    </row>
    <row r="22" ht="18.75" spans="1:1">
      <c r="A22" s="3" t="s">
        <v>1222</v>
      </c>
    </row>
    <row r="23" ht="18.75" spans="1:1">
      <c r="A23" s="3" t="s">
        <v>1223</v>
      </c>
    </row>
    <row r="24" ht="18.75" spans="1:1">
      <c r="A24" s="3" t="s">
        <v>1224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tabSelected="1" zoomScale="90" zoomScaleNormal="90" workbookViewId="0">
      <selection activeCell="A6" sqref="A6"/>
    </sheetView>
  </sheetViews>
  <sheetFormatPr defaultColWidth="11.5333333333333" defaultRowHeight="12.75" outlineLevelCol="5"/>
  <cols>
    <col min="1" max="1" width="24.447619047619" style="73" customWidth="1"/>
    <col min="2" max="2" width="25.5619047619048" style="73" customWidth="1"/>
    <col min="3" max="3" width="28.4761904761905" style="73" customWidth="1"/>
    <col min="4" max="4" width="29.3142857142857" style="73" customWidth="1"/>
    <col min="5" max="5" width="34.3238095238095" style="73" customWidth="1"/>
    <col min="6" max="6" width="27.0857142857143" style="73" customWidth="1"/>
    <col min="7" max="1024" width="11.5238095238095" style="73"/>
  </cols>
  <sheetData>
    <row r="1" spans="1:6">
      <c r="A1" s="74" t="s">
        <v>0</v>
      </c>
      <c r="B1" s="74" t="s">
        <v>93</v>
      </c>
      <c r="C1" s="74" t="s">
        <v>2</v>
      </c>
      <c r="D1" s="74" t="s">
        <v>3</v>
      </c>
      <c r="E1" s="74" t="s">
        <v>4</v>
      </c>
      <c r="F1" s="74" t="s">
        <v>5</v>
      </c>
    </row>
    <row r="2" ht="25.5" spans="1:6">
      <c r="A2" s="74" t="s">
        <v>94</v>
      </c>
      <c r="B2" s="75" t="s">
        <v>95</v>
      </c>
      <c r="C2" s="75" t="s">
        <v>96</v>
      </c>
      <c r="D2" s="75" t="s">
        <v>97</v>
      </c>
      <c r="E2" s="75" t="s">
        <v>98</v>
      </c>
      <c r="F2" s="75" t="s">
        <v>99</v>
      </c>
    </row>
    <row r="3" ht="38.25" spans="1:6">
      <c r="A3" s="74" t="s">
        <v>100</v>
      </c>
      <c r="B3" s="75" t="s">
        <v>101</v>
      </c>
      <c r="C3" s="75" t="s">
        <v>102</v>
      </c>
      <c r="D3" s="75" t="s">
        <v>103</v>
      </c>
      <c r="E3" s="75" t="s">
        <v>104</v>
      </c>
      <c r="F3" s="75" t="s">
        <v>105</v>
      </c>
    </row>
    <row r="4" ht="38.25" spans="1:6">
      <c r="A4" s="74" t="s">
        <v>106</v>
      </c>
      <c r="B4" s="75" t="s">
        <v>107</v>
      </c>
      <c r="C4" s="75" t="s">
        <v>108</v>
      </c>
      <c r="D4" s="75" t="s">
        <v>109</v>
      </c>
      <c r="E4" s="75" t="s">
        <v>110</v>
      </c>
      <c r="F4" s="75" t="s">
        <v>111</v>
      </c>
    </row>
    <row r="5" ht="25.5" spans="1:6">
      <c r="A5" s="74" t="s">
        <v>112</v>
      </c>
      <c r="B5" s="75" t="s">
        <v>113</v>
      </c>
      <c r="C5" s="75" t="s">
        <v>114</v>
      </c>
      <c r="D5" s="75" t="s">
        <v>115</v>
      </c>
      <c r="E5" s="75" t="s">
        <v>116</v>
      </c>
      <c r="F5" s="75" t="s">
        <v>117</v>
      </c>
    </row>
    <row r="6" ht="38.25" spans="1:6">
      <c r="A6" s="74" t="s">
        <v>118</v>
      </c>
      <c r="B6" s="75" t="s">
        <v>119</v>
      </c>
      <c r="C6" s="75" t="s">
        <v>120</v>
      </c>
      <c r="D6" s="75" t="s">
        <v>121</v>
      </c>
      <c r="E6" s="75" t="s">
        <v>122</v>
      </c>
      <c r="F6" s="75" t="s">
        <v>123</v>
      </c>
    </row>
    <row r="7" ht="25.5" spans="1:6">
      <c r="A7" s="74" t="s">
        <v>124</v>
      </c>
      <c r="B7" s="76" t="s">
        <v>125</v>
      </c>
      <c r="C7" s="75" t="s">
        <v>126</v>
      </c>
      <c r="D7" s="75" t="s">
        <v>127</v>
      </c>
      <c r="E7" s="75" t="s">
        <v>128</v>
      </c>
      <c r="F7" s="75" t="s">
        <v>129</v>
      </c>
    </row>
    <row r="8" ht="38.25" spans="1:6">
      <c r="A8" s="74" t="s">
        <v>130</v>
      </c>
      <c r="B8" s="75" t="s">
        <v>131</v>
      </c>
      <c r="C8" s="75" t="s">
        <v>132</v>
      </c>
      <c r="D8" s="75" t="s">
        <v>133</v>
      </c>
      <c r="E8" s="75" t="s">
        <v>134</v>
      </c>
      <c r="F8" s="75" t="s">
        <v>135</v>
      </c>
    </row>
    <row r="9" ht="38.25" spans="1:6">
      <c r="A9" s="74" t="s">
        <v>136</v>
      </c>
      <c r="B9" s="76" t="s">
        <v>137</v>
      </c>
      <c r="C9" s="75" t="s">
        <v>138</v>
      </c>
      <c r="D9" s="75" t="s">
        <v>139</v>
      </c>
      <c r="E9" s="75" t="s">
        <v>140</v>
      </c>
      <c r="F9" s="75" t="s">
        <v>141</v>
      </c>
    </row>
    <row r="10" ht="38.25" spans="1:6">
      <c r="A10" s="74" t="s">
        <v>142</v>
      </c>
      <c r="B10" s="75" t="s">
        <v>143</v>
      </c>
      <c r="C10" s="75" t="s">
        <v>144</v>
      </c>
      <c r="D10" s="75" t="s">
        <v>145</v>
      </c>
      <c r="E10" s="75" t="s">
        <v>146</v>
      </c>
      <c r="F10" s="75" t="s">
        <v>147</v>
      </c>
    </row>
    <row r="11" ht="38.25" spans="1:6">
      <c r="A11" s="74" t="s">
        <v>148</v>
      </c>
      <c r="B11" s="76" t="s">
        <v>149</v>
      </c>
      <c r="C11" s="75" t="s">
        <v>150</v>
      </c>
      <c r="D11" s="75" t="s">
        <v>151</v>
      </c>
      <c r="E11" s="75" t="s">
        <v>140</v>
      </c>
      <c r="F11" s="75" t="s">
        <v>152</v>
      </c>
    </row>
    <row r="12" ht="25.5" spans="1:6">
      <c r="A12" s="74" t="s">
        <v>153</v>
      </c>
      <c r="B12" s="76" t="s">
        <v>154</v>
      </c>
      <c r="C12" s="75" t="s">
        <v>155</v>
      </c>
      <c r="D12" s="75" t="s">
        <v>156</v>
      </c>
      <c r="E12" s="75" t="s">
        <v>157</v>
      </c>
      <c r="F12" s="75" t="s">
        <v>158</v>
      </c>
    </row>
    <row r="13" ht="38.25" spans="1:6">
      <c r="A13" s="74" t="s">
        <v>159</v>
      </c>
      <c r="B13" s="76" t="s">
        <v>160</v>
      </c>
      <c r="C13" s="75" t="s">
        <v>161</v>
      </c>
      <c r="D13" s="75" t="s">
        <v>162</v>
      </c>
      <c r="E13" s="75" t="s">
        <v>163</v>
      </c>
      <c r="F13" s="75" t="s">
        <v>164</v>
      </c>
    </row>
    <row r="14" ht="38.25" spans="1:6">
      <c r="A14" s="74" t="s">
        <v>165</v>
      </c>
      <c r="B14" s="75" t="s">
        <v>166</v>
      </c>
      <c r="C14" s="75" t="s">
        <v>167</v>
      </c>
      <c r="D14" s="75" t="s">
        <v>168</v>
      </c>
      <c r="E14" s="75" t="s">
        <v>169</v>
      </c>
      <c r="F14" s="75" t="s">
        <v>170</v>
      </c>
    </row>
    <row r="15" ht="25.5" spans="1:6">
      <c r="A15" s="74" t="s">
        <v>171</v>
      </c>
      <c r="B15" s="76" t="s">
        <v>172</v>
      </c>
      <c r="C15" s="75" t="s">
        <v>173</v>
      </c>
      <c r="D15" s="75" t="s">
        <v>174</v>
      </c>
      <c r="E15" s="75" t="s">
        <v>175</v>
      </c>
      <c r="F15" s="75" t="s">
        <v>176</v>
      </c>
    </row>
    <row r="16" ht="25.5" spans="1:6">
      <c r="A16" s="74" t="s">
        <v>177</v>
      </c>
      <c r="B16" s="76" t="s">
        <v>178</v>
      </c>
      <c r="C16" s="75" t="s">
        <v>179</v>
      </c>
      <c r="D16" s="75" t="s">
        <v>180</v>
      </c>
      <c r="E16" s="75" t="s">
        <v>181</v>
      </c>
      <c r="F16" s="75" t="s">
        <v>182</v>
      </c>
    </row>
    <row r="17" ht="38.25" spans="1:6">
      <c r="A17" s="74" t="s">
        <v>183</v>
      </c>
      <c r="B17" s="75" t="s">
        <v>184</v>
      </c>
      <c r="C17" s="75" t="s">
        <v>185</v>
      </c>
      <c r="D17" s="75" t="s">
        <v>186</v>
      </c>
      <c r="E17" s="75" t="s">
        <v>140</v>
      </c>
      <c r="F17" s="75" t="s">
        <v>187</v>
      </c>
    </row>
    <row r="18" ht="38.25" spans="1:6">
      <c r="A18" s="74" t="s">
        <v>188</v>
      </c>
      <c r="B18" s="76" t="s">
        <v>189</v>
      </c>
      <c r="C18" s="75" t="s">
        <v>190</v>
      </c>
      <c r="D18" s="75" t="s">
        <v>191</v>
      </c>
      <c r="E18" s="75" t="s">
        <v>70</v>
      </c>
      <c r="F18" s="75" t="s">
        <v>192</v>
      </c>
    </row>
    <row r="19" ht="38.25" spans="1:6">
      <c r="A19" s="74" t="s">
        <v>193</v>
      </c>
      <c r="B19" s="76" t="s">
        <v>194</v>
      </c>
      <c r="C19" s="75" t="s">
        <v>195</v>
      </c>
      <c r="D19" s="75" t="s">
        <v>196</v>
      </c>
      <c r="E19" s="75" t="s">
        <v>140</v>
      </c>
      <c r="F19" s="75" t="s">
        <v>197</v>
      </c>
    </row>
    <row r="20" ht="38.25" spans="1:6">
      <c r="A20" s="74" t="s">
        <v>198</v>
      </c>
      <c r="B20" s="76" t="s">
        <v>199</v>
      </c>
      <c r="C20" s="75" t="s">
        <v>200</v>
      </c>
      <c r="D20" s="75" t="s">
        <v>201</v>
      </c>
      <c r="E20" s="75" t="s">
        <v>202</v>
      </c>
      <c r="F20" s="75" t="s">
        <v>203</v>
      </c>
    </row>
    <row r="21" ht="38.25" spans="1:6">
      <c r="A21" s="74" t="s">
        <v>204</v>
      </c>
      <c r="B21" s="76" t="s">
        <v>205</v>
      </c>
      <c r="C21" s="75" t="s">
        <v>206</v>
      </c>
      <c r="D21" s="75" t="s">
        <v>207</v>
      </c>
      <c r="E21" s="75" t="s">
        <v>140</v>
      </c>
      <c r="F21" s="75" t="s">
        <v>208</v>
      </c>
    </row>
    <row r="22" ht="38.25" spans="1:6">
      <c r="A22" s="74" t="s">
        <v>209</v>
      </c>
      <c r="B22" s="76" t="s">
        <v>205</v>
      </c>
      <c r="C22" s="75" t="s">
        <v>210</v>
      </c>
      <c r="D22" s="75" t="s">
        <v>211</v>
      </c>
      <c r="E22" s="75" t="s">
        <v>202</v>
      </c>
      <c r="F22" s="75" t="s">
        <v>212</v>
      </c>
    </row>
    <row r="23" ht="38.25" spans="1:6">
      <c r="A23" s="74" t="s">
        <v>213</v>
      </c>
      <c r="B23" s="75" t="s">
        <v>113</v>
      </c>
      <c r="C23" s="75" t="s">
        <v>214</v>
      </c>
      <c r="D23" s="75" t="s">
        <v>215</v>
      </c>
      <c r="E23" s="75" t="s">
        <v>181</v>
      </c>
      <c r="F23" s="75" t="s">
        <v>216</v>
      </c>
    </row>
    <row r="24" ht="38.25" spans="1:6">
      <c r="A24" s="74" t="s">
        <v>217</v>
      </c>
      <c r="B24" s="75" t="s">
        <v>113</v>
      </c>
      <c r="C24" s="75" t="s">
        <v>218</v>
      </c>
      <c r="D24" s="75" t="s">
        <v>219</v>
      </c>
      <c r="E24" s="75" t="s">
        <v>202</v>
      </c>
      <c r="F24" s="75" t="s">
        <v>164</v>
      </c>
    </row>
  </sheetData>
  <hyperlinks>
    <hyperlink ref="B7" r:id="rId2" display="Kyunghyun Cho et al., 2014"/>
    <hyperlink ref="B9" r:id="rId3" display="Petar Velickovic et al., 2017"/>
    <hyperlink ref="B11" r:id="rId4" display="Bryan Lim et al., International Journal of Forecasting 2019"/>
    <hyperlink ref="B12" r:id="rId5" display="Sercan O. Arik et al., AAAI 2019"/>
    <hyperlink ref="B13" r:id="rId6" display="Chuheng Zhang et al., ICDM 2020"/>
    <hyperlink ref="B15" r:id="rId7" display="Ashish Vaswani et al., NeurIPS 2017"/>
    <hyperlink ref="B16" r:id="rId8" display="Juyong Jiang et al., -"/>
    <hyperlink ref="B18" r:id="rId9" display="Shaojie Bai et al., 2018"/>
    <hyperlink ref="B19" r:id="rId10" display="YunTao Du et al., 2021"/>
    <hyperlink ref="B20" r:id="rId11" display="Hongshun Tang et al., 2020"/>
    <hyperlink ref="B21" r:id="rId12" display="Wentao Xu et al., 2021"/>
    <hyperlink ref="B22" r:id="rId12" display="Wentao Xu et al., 2021"/>
  </hyperlinks>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zoomScale="85" zoomScaleNormal="85" workbookViewId="0">
      <selection activeCell="D18" sqref="D18"/>
    </sheetView>
  </sheetViews>
  <sheetFormatPr defaultColWidth="11.5333333333333" defaultRowHeight="12.75"/>
  <cols>
    <col min="1" max="1" width="44.8190476190476" style="66" customWidth="1"/>
    <col min="2" max="2" width="39.6380952380952" style="66" customWidth="1"/>
    <col min="3" max="3" width="16.2952380952381" style="66" customWidth="1"/>
    <col min="4" max="6" width="14" style="66" customWidth="1"/>
    <col min="7" max="7" width="22.6380952380952" style="66" customWidth="1"/>
    <col min="8" max="8" width="21.7238095238095" style="66" customWidth="1"/>
    <col min="9" max="9" width="19.1809523809524" style="66" customWidth="1"/>
    <col min="10" max="16384" width="11.5333333333333" style="66"/>
  </cols>
  <sheetData>
    <row r="1" ht="26.25" spans="1:1">
      <c r="A1" s="67" t="s">
        <v>220</v>
      </c>
    </row>
    <row r="2" ht="17.25" spans="1:9">
      <c r="A2" s="68" t="s">
        <v>221</v>
      </c>
      <c r="B2" s="68" t="s">
        <v>222</v>
      </c>
      <c r="C2" s="68" t="s">
        <v>223</v>
      </c>
      <c r="D2" s="68" t="s">
        <v>224</v>
      </c>
      <c r="E2" s="68" t="s">
        <v>225</v>
      </c>
      <c r="F2" s="68" t="s">
        <v>226</v>
      </c>
      <c r="G2" s="68" t="s">
        <v>227</v>
      </c>
      <c r="H2" s="68" t="s">
        <v>228</v>
      </c>
      <c r="I2" s="68" t="s">
        <v>229</v>
      </c>
    </row>
    <row r="3" ht="17.25" spans="1:10">
      <c r="A3" s="69" t="s">
        <v>230</v>
      </c>
      <c r="B3" s="69" t="s">
        <v>231</v>
      </c>
      <c r="C3" s="69" t="s">
        <v>232</v>
      </c>
      <c r="D3" s="69" t="s">
        <v>233</v>
      </c>
      <c r="E3" s="69" t="s">
        <v>234</v>
      </c>
      <c r="F3" s="69" t="s">
        <v>235</v>
      </c>
      <c r="G3" s="69" t="s">
        <v>236</v>
      </c>
      <c r="H3" s="69" t="s">
        <v>237</v>
      </c>
      <c r="I3" s="69" t="s">
        <v>238</v>
      </c>
      <c r="J3" s="72"/>
    </row>
    <row r="4" ht="17.25" spans="1:10">
      <c r="A4" s="69" t="s">
        <v>239</v>
      </c>
      <c r="B4" s="69" t="s">
        <v>231</v>
      </c>
      <c r="C4" s="69" t="s">
        <v>240</v>
      </c>
      <c r="D4" s="69" t="s">
        <v>241</v>
      </c>
      <c r="E4" s="69" t="s">
        <v>242</v>
      </c>
      <c r="F4" s="69" t="s">
        <v>243</v>
      </c>
      <c r="G4" s="69" t="s">
        <v>244</v>
      </c>
      <c r="H4" s="69" t="s">
        <v>245</v>
      </c>
      <c r="I4" s="69" t="s">
        <v>246</v>
      </c>
      <c r="J4" s="72"/>
    </row>
    <row r="5" ht="17.25" spans="1:10">
      <c r="A5" s="69" t="s">
        <v>247</v>
      </c>
      <c r="B5" s="69" t="s">
        <v>231</v>
      </c>
      <c r="C5" s="69" t="s">
        <v>248</v>
      </c>
      <c r="D5" s="69" t="s">
        <v>249</v>
      </c>
      <c r="E5" s="69" t="s">
        <v>250</v>
      </c>
      <c r="F5" s="69" t="s">
        <v>251</v>
      </c>
      <c r="G5" s="69" t="s">
        <v>252</v>
      </c>
      <c r="H5" s="69" t="s">
        <v>253</v>
      </c>
      <c r="I5" s="69" t="s">
        <v>254</v>
      </c>
      <c r="J5" s="72"/>
    </row>
    <row r="6" ht="17.25" spans="1:10">
      <c r="A6" s="69" t="s">
        <v>255</v>
      </c>
      <c r="B6" s="69" t="s">
        <v>231</v>
      </c>
      <c r="C6" s="69" t="s">
        <v>256</v>
      </c>
      <c r="D6" s="69" t="s">
        <v>257</v>
      </c>
      <c r="E6" s="69" t="s">
        <v>258</v>
      </c>
      <c r="F6" s="69" t="s">
        <v>259</v>
      </c>
      <c r="G6" s="69" t="s">
        <v>260</v>
      </c>
      <c r="H6" s="69" t="s">
        <v>261</v>
      </c>
      <c r="I6" s="69" t="s">
        <v>262</v>
      </c>
      <c r="J6" s="72"/>
    </row>
    <row r="7" ht="17.25" spans="1:10">
      <c r="A7" s="69" t="s">
        <v>263</v>
      </c>
      <c r="B7" s="69" t="s">
        <v>231</v>
      </c>
      <c r="C7" s="69" t="s">
        <v>264</v>
      </c>
      <c r="D7" s="69" t="s">
        <v>265</v>
      </c>
      <c r="E7" s="69" t="s">
        <v>266</v>
      </c>
      <c r="F7" s="69" t="s">
        <v>267</v>
      </c>
      <c r="G7" s="69" t="s">
        <v>268</v>
      </c>
      <c r="H7" s="69" t="s">
        <v>269</v>
      </c>
      <c r="I7" s="69" t="s">
        <v>270</v>
      </c>
      <c r="J7" s="72"/>
    </row>
    <row r="8" ht="17.25" spans="1:10">
      <c r="A8" s="69" t="s">
        <v>263</v>
      </c>
      <c r="B8" s="69" t="s">
        <v>271</v>
      </c>
      <c r="C8" s="69" t="s">
        <v>272</v>
      </c>
      <c r="D8" s="69" t="s">
        <v>273</v>
      </c>
      <c r="E8" s="69" t="s">
        <v>274</v>
      </c>
      <c r="F8" s="69" t="s">
        <v>275</v>
      </c>
      <c r="G8" s="69" t="s">
        <v>276</v>
      </c>
      <c r="H8" s="69" t="s">
        <v>277</v>
      </c>
      <c r="I8" s="69" t="s">
        <v>278</v>
      </c>
      <c r="J8" s="72"/>
    </row>
    <row r="9" ht="17.25" spans="1:10">
      <c r="A9" s="69" t="s">
        <v>279</v>
      </c>
      <c r="B9" s="69" t="s">
        <v>231</v>
      </c>
      <c r="C9" s="69" t="s">
        <v>280</v>
      </c>
      <c r="D9" s="69" t="s">
        <v>281</v>
      </c>
      <c r="E9" s="69" t="s">
        <v>282</v>
      </c>
      <c r="F9" s="69" t="s">
        <v>283</v>
      </c>
      <c r="G9" s="69" t="s">
        <v>284</v>
      </c>
      <c r="H9" s="69" t="s">
        <v>285</v>
      </c>
      <c r="I9" s="69" t="s">
        <v>286</v>
      </c>
      <c r="J9" s="72"/>
    </row>
    <row r="10" ht="17.25" spans="1:10">
      <c r="A10" s="69" t="s">
        <v>287</v>
      </c>
      <c r="B10" s="69" t="s">
        <v>231</v>
      </c>
      <c r="C10" s="69" t="s">
        <v>288</v>
      </c>
      <c r="D10" s="69" t="s">
        <v>289</v>
      </c>
      <c r="E10" s="69" t="s">
        <v>290</v>
      </c>
      <c r="F10" s="69" t="s">
        <v>291</v>
      </c>
      <c r="G10" s="69" t="s">
        <v>292</v>
      </c>
      <c r="H10" s="69" t="s">
        <v>293</v>
      </c>
      <c r="I10" s="69" t="s">
        <v>294</v>
      </c>
      <c r="J10" s="72"/>
    </row>
    <row r="11" ht="17.25" spans="1:10">
      <c r="A11" s="69" t="s">
        <v>295</v>
      </c>
      <c r="B11" s="69" t="s">
        <v>231</v>
      </c>
      <c r="C11" s="69" t="s">
        <v>296</v>
      </c>
      <c r="D11" s="69" t="s">
        <v>297</v>
      </c>
      <c r="E11" s="69" t="s">
        <v>298</v>
      </c>
      <c r="F11" s="69" t="s">
        <v>299</v>
      </c>
      <c r="G11" s="69" t="s">
        <v>300</v>
      </c>
      <c r="H11" s="69" t="s">
        <v>301</v>
      </c>
      <c r="I11" s="69" t="s">
        <v>302</v>
      </c>
      <c r="J11" s="72"/>
    </row>
    <row r="12" ht="17.25" spans="1:10">
      <c r="A12" s="69" t="s">
        <v>303</v>
      </c>
      <c r="B12" s="69" t="s">
        <v>271</v>
      </c>
      <c r="C12" s="69" t="s">
        <v>304</v>
      </c>
      <c r="D12" s="69" t="s">
        <v>305</v>
      </c>
      <c r="E12" s="69" t="s">
        <v>306</v>
      </c>
      <c r="F12" s="69" t="s">
        <v>307</v>
      </c>
      <c r="G12" s="69" t="s">
        <v>308</v>
      </c>
      <c r="H12" s="69" t="s">
        <v>309</v>
      </c>
      <c r="I12" s="69" t="s">
        <v>310</v>
      </c>
      <c r="J12" s="72"/>
    </row>
    <row r="13" ht="17.25" spans="1:10">
      <c r="A13" s="69" t="s">
        <v>311</v>
      </c>
      <c r="B13" s="69" t="s">
        <v>271</v>
      </c>
      <c r="C13" s="69" t="s">
        <v>312</v>
      </c>
      <c r="D13" s="69" t="s">
        <v>313</v>
      </c>
      <c r="E13" s="69" t="s">
        <v>314</v>
      </c>
      <c r="F13" s="69" t="s">
        <v>315</v>
      </c>
      <c r="G13" s="69" t="s">
        <v>316</v>
      </c>
      <c r="H13" s="69" t="s">
        <v>317</v>
      </c>
      <c r="I13" s="69" t="s">
        <v>318</v>
      </c>
      <c r="J13" s="72"/>
    </row>
    <row r="14" ht="17.25" spans="1:10">
      <c r="A14" s="69" t="s">
        <v>319</v>
      </c>
      <c r="B14" s="69" t="s">
        <v>231</v>
      </c>
      <c r="C14" s="69" t="s">
        <v>320</v>
      </c>
      <c r="D14" s="69" t="s">
        <v>321</v>
      </c>
      <c r="E14" s="69" t="s">
        <v>322</v>
      </c>
      <c r="F14" s="69" t="s">
        <v>323</v>
      </c>
      <c r="G14" s="69" t="s">
        <v>324</v>
      </c>
      <c r="H14" s="69" t="s">
        <v>325</v>
      </c>
      <c r="I14" s="69" t="s">
        <v>326</v>
      </c>
      <c r="J14" s="72"/>
    </row>
    <row r="15" ht="17.25" spans="1:10">
      <c r="A15" s="69" t="s">
        <v>327</v>
      </c>
      <c r="B15" s="69" t="s">
        <v>271</v>
      </c>
      <c r="C15" s="69" t="s">
        <v>328</v>
      </c>
      <c r="D15" s="69" t="s">
        <v>329</v>
      </c>
      <c r="E15" s="69" t="s">
        <v>330</v>
      </c>
      <c r="F15" s="69" t="s">
        <v>331</v>
      </c>
      <c r="G15" s="69" t="s">
        <v>332</v>
      </c>
      <c r="H15" s="69" t="s">
        <v>333</v>
      </c>
      <c r="I15" s="69" t="s">
        <v>334</v>
      </c>
      <c r="J15" s="72"/>
    </row>
    <row r="16" ht="17.25" spans="1:10">
      <c r="A16" s="69" t="s">
        <v>335</v>
      </c>
      <c r="B16" s="69" t="s">
        <v>271</v>
      </c>
      <c r="C16" s="69" t="s">
        <v>336</v>
      </c>
      <c r="D16" s="69" t="s">
        <v>337</v>
      </c>
      <c r="E16" s="69" t="s">
        <v>338</v>
      </c>
      <c r="F16" s="69" t="s">
        <v>339</v>
      </c>
      <c r="G16" s="69" t="s">
        <v>340</v>
      </c>
      <c r="H16" s="69" t="s">
        <v>341</v>
      </c>
      <c r="I16" s="69" t="s">
        <v>342</v>
      </c>
      <c r="J16" s="72"/>
    </row>
    <row r="17" ht="17.25" spans="1:10">
      <c r="A17" s="69" t="s">
        <v>343</v>
      </c>
      <c r="B17" s="69" t="s">
        <v>271</v>
      </c>
      <c r="C17" s="69" t="s">
        <v>344</v>
      </c>
      <c r="D17" s="69" t="s">
        <v>345</v>
      </c>
      <c r="E17" s="69" t="s">
        <v>346</v>
      </c>
      <c r="F17" s="69" t="s">
        <v>347</v>
      </c>
      <c r="G17" s="69" t="s">
        <v>348</v>
      </c>
      <c r="H17" s="69" t="s">
        <v>349</v>
      </c>
      <c r="I17" s="69" t="s">
        <v>350</v>
      </c>
      <c r="J17" s="72"/>
    </row>
    <row r="18" ht="17.25" spans="1:10">
      <c r="A18" s="69" t="s">
        <v>351</v>
      </c>
      <c r="B18" s="69" t="s">
        <v>231</v>
      </c>
      <c r="C18" s="69" t="s">
        <v>352</v>
      </c>
      <c r="D18" s="69" t="s">
        <v>353</v>
      </c>
      <c r="E18" s="69" t="s">
        <v>354</v>
      </c>
      <c r="F18" s="69" t="s">
        <v>355</v>
      </c>
      <c r="G18" s="69" t="s">
        <v>356</v>
      </c>
      <c r="H18" s="69" t="s">
        <v>357</v>
      </c>
      <c r="I18" s="69" t="s">
        <v>358</v>
      </c>
      <c r="J18" s="72"/>
    </row>
    <row r="19" ht="17.25" spans="1:10">
      <c r="A19" s="69" t="s">
        <v>359</v>
      </c>
      <c r="B19" s="69" t="s">
        <v>231</v>
      </c>
      <c r="C19" s="69" t="s">
        <v>360</v>
      </c>
      <c r="D19" s="69" t="s">
        <v>361</v>
      </c>
      <c r="E19" s="69" t="s">
        <v>362</v>
      </c>
      <c r="F19" s="69" t="s">
        <v>363</v>
      </c>
      <c r="G19" s="69" t="s">
        <v>364</v>
      </c>
      <c r="H19" s="69" t="s">
        <v>365</v>
      </c>
      <c r="I19" s="69" t="s">
        <v>366</v>
      </c>
      <c r="J19" s="72"/>
    </row>
    <row r="20" ht="17.25" spans="1:10">
      <c r="A20" s="69" t="s">
        <v>367</v>
      </c>
      <c r="B20" s="69" t="s">
        <v>231</v>
      </c>
      <c r="C20" s="69" t="s">
        <v>368</v>
      </c>
      <c r="D20" s="69" t="s">
        <v>369</v>
      </c>
      <c r="E20" s="69" t="s">
        <v>370</v>
      </c>
      <c r="F20" s="69" t="s">
        <v>371</v>
      </c>
      <c r="G20" s="69" t="s">
        <v>372</v>
      </c>
      <c r="H20" s="69" t="s">
        <v>373</v>
      </c>
      <c r="I20" s="69" t="s">
        <v>374</v>
      </c>
      <c r="J20" s="72"/>
    </row>
    <row r="21" ht="17.25" spans="1:10">
      <c r="A21" s="69"/>
      <c r="B21" s="69"/>
      <c r="C21" s="69"/>
      <c r="D21" s="69"/>
      <c r="E21" s="69"/>
      <c r="F21" s="69"/>
      <c r="G21" s="69"/>
      <c r="H21" s="69"/>
      <c r="I21" s="69"/>
      <c r="J21" s="72"/>
    </row>
    <row r="22" ht="17.25" spans="1:10">
      <c r="A22" s="70" t="s">
        <v>359</v>
      </c>
      <c r="B22" s="70" t="s">
        <v>375</v>
      </c>
      <c r="C22" s="70" t="s">
        <v>376</v>
      </c>
      <c r="D22" s="70" t="s">
        <v>377</v>
      </c>
      <c r="E22" s="70" t="s">
        <v>378</v>
      </c>
      <c r="F22" s="70" t="s">
        <v>379</v>
      </c>
      <c r="G22" s="70" t="s">
        <v>380</v>
      </c>
      <c r="H22" s="70" t="s">
        <v>381</v>
      </c>
      <c r="I22" s="70" t="s">
        <v>382</v>
      </c>
      <c r="J22" s="72"/>
    </row>
    <row r="23" ht="17.25" spans="1:10">
      <c r="A23" s="70" t="s">
        <v>367</v>
      </c>
      <c r="B23" s="70" t="s">
        <v>375</v>
      </c>
      <c r="C23" s="70" t="s">
        <v>383</v>
      </c>
      <c r="D23" s="70" t="s">
        <v>384</v>
      </c>
      <c r="E23" s="70" t="s">
        <v>385</v>
      </c>
      <c r="F23" s="70" t="s">
        <v>386</v>
      </c>
      <c r="G23" s="70" t="s">
        <v>387</v>
      </c>
      <c r="H23" s="70" t="s">
        <v>388</v>
      </c>
      <c r="I23" s="70" t="s">
        <v>389</v>
      </c>
      <c r="J23" s="72"/>
    </row>
    <row r="24" ht="17.25" spans="1:10">
      <c r="A24" s="70" t="s">
        <v>295</v>
      </c>
      <c r="B24" s="70" t="s">
        <v>375</v>
      </c>
      <c r="C24" s="70" t="s">
        <v>390</v>
      </c>
      <c r="D24" s="70" t="s">
        <v>391</v>
      </c>
      <c r="E24" s="70" t="s">
        <v>392</v>
      </c>
      <c r="F24" s="70" t="s">
        <v>393</v>
      </c>
      <c r="G24" s="70" t="s">
        <v>394</v>
      </c>
      <c r="H24" s="70" t="s">
        <v>395</v>
      </c>
      <c r="I24" s="70" t="s">
        <v>396</v>
      </c>
      <c r="J24" s="72"/>
    </row>
    <row r="25" ht="17.25" spans="1:10">
      <c r="A25" s="70" t="s">
        <v>319</v>
      </c>
      <c r="B25" s="70" t="s">
        <v>375</v>
      </c>
      <c r="C25" s="70" t="s">
        <v>272</v>
      </c>
      <c r="D25" s="70" t="s">
        <v>397</v>
      </c>
      <c r="E25" s="70" t="s">
        <v>398</v>
      </c>
      <c r="F25" s="70" t="s">
        <v>399</v>
      </c>
      <c r="G25" s="70" t="s">
        <v>400</v>
      </c>
      <c r="H25" s="70" t="s">
        <v>401</v>
      </c>
      <c r="I25" s="70" t="s">
        <v>402</v>
      </c>
      <c r="J25" s="72"/>
    </row>
    <row r="26" ht="17.25" spans="1:10">
      <c r="A26" s="70" t="s">
        <v>403</v>
      </c>
      <c r="B26" s="70" t="s">
        <v>375</v>
      </c>
      <c r="C26" s="70" t="s">
        <v>404</v>
      </c>
      <c r="D26" s="70" t="s">
        <v>405</v>
      </c>
      <c r="E26" s="70" t="s">
        <v>406</v>
      </c>
      <c r="F26" s="70" t="s">
        <v>407</v>
      </c>
      <c r="G26" s="70" t="s">
        <v>408</v>
      </c>
      <c r="H26" s="70" t="s">
        <v>409</v>
      </c>
      <c r="I26" s="70" t="s">
        <v>410</v>
      </c>
      <c r="J26" s="72"/>
    </row>
    <row r="27" ht="17.25" spans="1:10">
      <c r="A27" s="70" t="s">
        <v>239</v>
      </c>
      <c r="B27" s="70" t="s">
        <v>375</v>
      </c>
      <c r="C27" s="70" t="s">
        <v>411</v>
      </c>
      <c r="D27" s="70" t="s">
        <v>412</v>
      </c>
      <c r="E27" s="70" t="s">
        <v>256</v>
      </c>
      <c r="F27" s="70" t="s">
        <v>413</v>
      </c>
      <c r="G27" s="70" t="s">
        <v>414</v>
      </c>
      <c r="H27" s="70" t="s">
        <v>415</v>
      </c>
      <c r="I27" s="70" t="s">
        <v>416</v>
      </c>
      <c r="J27" s="72"/>
    </row>
    <row r="28" ht="17.25" spans="1:10">
      <c r="A28" s="70" t="s">
        <v>230</v>
      </c>
      <c r="B28" s="70" t="s">
        <v>375</v>
      </c>
      <c r="C28" s="70" t="s">
        <v>417</v>
      </c>
      <c r="D28" s="70" t="s">
        <v>418</v>
      </c>
      <c r="E28" s="70" t="s">
        <v>419</v>
      </c>
      <c r="F28" s="70" t="s">
        <v>420</v>
      </c>
      <c r="G28" s="70" t="s">
        <v>421</v>
      </c>
      <c r="H28" s="70" t="s">
        <v>422</v>
      </c>
      <c r="I28" s="70" t="s">
        <v>423</v>
      </c>
      <c r="J28" s="72"/>
    </row>
    <row r="29" ht="17.25" spans="1:10">
      <c r="A29" s="70" t="s">
        <v>255</v>
      </c>
      <c r="B29" s="70" t="s">
        <v>375</v>
      </c>
      <c r="C29" s="70" t="s">
        <v>424</v>
      </c>
      <c r="D29" s="70" t="s">
        <v>425</v>
      </c>
      <c r="E29" s="70" t="s">
        <v>426</v>
      </c>
      <c r="F29" s="70" t="s">
        <v>427</v>
      </c>
      <c r="G29" s="70" t="s">
        <v>428</v>
      </c>
      <c r="H29" s="70" t="s">
        <v>429</v>
      </c>
      <c r="I29" s="70" t="s">
        <v>430</v>
      </c>
      <c r="J29" s="72"/>
    </row>
    <row r="30" ht="17.25" spans="1:10">
      <c r="A30" s="70" t="s">
        <v>351</v>
      </c>
      <c r="B30" s="70" t="s">
        <v>375</v>
      </c>
      <c r="C30" s="70" t="s">
        <v>431</v>
      </c>
      <c r="D30" s="70" t="s">
        <v>432</v>
      </c>
      <c r="E30" s="70" t="s">
        <v>433</v>
      </c>
      <c r="F30" s="70" t="s">
        <v>434</v>
      </c>
      <c r="G30" s="70" t="s">
        <v>435</v>
      </c>
      <c r="H30" s="70" t="s">
        <v>436</v>
      </c>
      <c r="I30" s="70" t="s">
        <v>437</v>
      </c>
      <c r="J30" s="72"/>
    </row>
    <row r="31" ht="17.25" spans="1:10">
      <c r="A31" s="70" t="s">
        <v>303</v>
      </c>
      <c r="B31" s="70" t="s">
        <v>375</v>
      </c>
      <c r="C31" s="70" t="s">
        <v>438</v>
      </c>
      <c r="D31" s="70" t="s">
        <v>439</v>
      </c>
      <c r="E31" s="70" t="s">
        <v>440</v>
      </c>
      <c r="F31" s="70" t="s">
        <v>441</v>
      </c>
      <c r="G31" s="70" t="s">
        <v>442</v>
      </c>
      <c r="H31" s="70" t="s">
        <v>443</v>
      </c>
      <c r="I31" s="70" t="s">
        <v>444</v>
      </c>
      <c r="J31" s="72"/>
    </row>
    <row r="32" ht="17.25" spans="1:10">
      <c r="A32" s="70" t="s">
        <v>335</v>
      </c>
      <c r="B32" s="70" t="s">
        <v>375</v>
      </c>
      <c r="C32" s="70" t="s">
        <v>256</v>
      </c>
      <c r="D32" s="70" t="s">
        <v>445</v>
      </c>
      <c r="E32" s="70" t="s">
        <v>446</v>
      </c>
      <c r="F32" s="70" t="s">
        <v>447</v>
      </c>
      <c r="G32" s="70" t="s">
        <v>448</v>
      </c>
      <c r="H32" s="70" t="s">
        <v>449</v>
      </c>
      <c r="I32" s="70" t="s">
        <v>450</v>
      </c>
      <c r="J32" s="72"/>
    </row>
    <row r="33" ht="17.25" spans="1:10">
      <c r="A33" s="70" t="s">
        <v>451</v>
      </c>
      <c r="B33" s="70" t="s">
        <v>375</v>
      </c>
      <c r="C33" s="70" t="s">
        <v>452</v>
      </c>
      <c r="D33" s="70" t="s">
        <v>453</v>
      </c>
      <c r="E33" s="70" t="s">
        <v>454</v>
      </c>
      <c r="F33" s="70" t="s">
        <v>455</v>
      </c>
      <c r="G33" s="70" t="s">
        <v>456</v>
      </c>
      <c r="H33" s="70" t="s">
        <v>457</v>
      </c>
      <c r="I33" s="70" t="s">
        <v>458</v>
      </c>
      <c r="J33" s="72"/>
    </row>
    <row r="34" ht="17.25" spans="1:10">
      <c r="A34" s="70" t="s">
        <v>343</v>
      </c>
      <c r="B34" s="70" t="s">
        <v>375</v>
      </c>
      <c r="C34" s="70" t="s">
        <v>459</v>
      </c>
      <c r="D34" s="70" t="s">
        <v>460</v>
      </c>
      <c r="E34" s="70" t="s">
        <v>461</v>
      </c>
      <c r="F34" s="70" t="s">
        <v>462</v>
      </c>
      <c r="G34" s="70" t="s">
        <v>463</v>
      </c>
      <c r="H34" s="70" t="s">
        <v>464</v>
      </c>
      <c r="I34" s="70" t="s">
        <v>465</v>
      </c>
      <c r="J34" s="72"/>
    </row>
    <row r="35" ht="17.25" spans="1:10">
      <c r="A35" s="70" t="s">
        <v>466</v>
      </c>
      <c r="B35" s="70" t="s">
        <v>375</v>
      </c>
      <c r="C35" s="70" t="s">
        <v>467</v>
      </c>
      <c r="D35" s="70" t="s">
        <v>468</v>
      </c>
      <c r="E35" s="70" t="s">
        <v>469</v>
      </c>
      <c r="F35" s="70" t="s">
        <v>470</v>
      </c>
      <c r="G35" s="70" t="s">
        <v>471</v>
      </c>
      <c r="H35" s="70" t="s">
        <v>472</v>
      </c>
      <c r="I35" s="70" t="s">
        <v>473</v>
      </c>
      <c r="J35" s="72"/>
    </row>
    <row r="36" ht="17.25" spans="1:10">
      <c r="A36" s="70" t="s">
        <v>327</v>
      </c>
      <c r="B36" s="70" t="s">
        <v>375</v>
      </c>
      <c r="C36" s="70" t="s">
        <v>474</v>
      </c>
      <c r="D36" s="70" t="s">
        <v>475</v>
      </c>
      <c r="E36" s="70" t="s">
        <v>476</v>
      </c>
      <c r="F36" s="70" t="s">
        <v>477</v>
      </c>
      <c r="G36" s="70" t="s">
        <v>478</v>
      </c>
      <c r="H36" s="70" t="s">
        <v>479</v>
      </c>
      <c r="I36" s="70" t="s">
        <v>480</v>
      </c>
      <c r="J36" s="72"/>
    </row>
    <row r="37" ht="17.25" spans="1:10">
      <c r="A37" s="70" t="s">
        <v>481</v>
      </c>
      <c r="B37" s="70" t="s">
        <v>375</v>
      </c>
      <c r="C37" s="70" t="s">
        <v>482</v>
      </c>
      <c r="D37" s="70" t="s">
        <v>483</v>
      </c>
      <c r="E37" s="70" t="s">
        <v>440</v>
      </c>
      <c r="F37" s="70" t="s">
        <v>484</v>
      </c>
      <c r="G37" s="70" t="s">
        <v>485</v>
      </c>
      <c r="H37" s="70" t="s">
        <v>486</v>
      </c>
      <c r="I37" s="70" t="s">
        <v>487</v>
      </c>
      <c r="J37" s="72"/>
    </row>
    <row r="38" ht="17.25" spans="1:10">
      <c r="A38" s="70" t="s">
        <v>263</v>
      </c>
      <c r="B38" s="70" t="s">
        <v>375</v>
      </c>
      <c r="C38" s="70" t="s">
        <v>488</v>
      </c>
      <c r="D38" s="70" t="s">
        <v>489</v>
      </c>
      <c r="E38" s="70" t="s">
        <v>490</v>
      </c>
      <c r="F38" s="70" t="s">
        <v>484</v>
      </c>
      <c r="G38" s="70" t="s">
        <v>491</v>
      </c>
      <c r="H38" s="70" t="s">
        <v>492</v>
      </c>
      <c r="I38" s="70" t="s">
        <v>493</v>
      </c>
      <c r="J38" s="72"/>
    </row>
    <row r="39" ht="17.25" spans="1:10">
      <c r="A39" s="70" t="s">
        <v>494</v>
      </c>
      <c r="B39" s="70" t="s">
        <v>375</v>
      </c>
      <c r="C39" s="70" t="s">
        <v>495</v>
      </c>
      <c r="D39" s="70" t="s">
        <v>496</v>
      </c>
      <c r="E39" s="70" t="s">
        <v>497</v>
      </c>
      <c r="F39" s="70" t="s">
        <v>498</v>
      </c>
      <c r="G39" s="70" t="s">
        <v>499</v>
      </c>
      <c r="H39" s="70" t="s">
        <v>500</v>
      </c>
      <c r="I39" s="70" t="s">
        <v>501</v>
      </c>
      <c r="J39" s="72"/>
    </row>
    <row r="40" ht="17.25" spans="1:10">
      <c r="A40" s="70" t="s">
        <v>502</v>
      </c>
      <c r="B40" s="70" t="s">
        <v>375</v>
      </c>
      <c r="C40" s="70" t="s">
        <v>503</v>
      </c>
      <c r="D40" s="70" t="s">
        <v>504</v>
      </c>
      <c r="E40" s="70" t="s">
        <v>505</v>
      </c>
      <c r="F40" s="70" t="s">
        <v>506</v>
      </c>
      <c r="G40" s="70" t="s">
        <v>507</v>
      </c>
      <c r="H40" s="70" t="s">
        <v>508</v>
      </c>
      <c r="I40" s="70" t="s">
        <v>509</v>
      </c>
      <c r="J40" s="72"/>
    </row>
    <row r="41" ht="17.25" spans="1:10">
      <c r="A41" s="70" t="s">
        <v>510</v>
      </c>
      <c r="B41" s="70" t="s">
        <v>375</v>
      </c>
      <c r="C41" s="70" t="s">
        <v>511</v>
      </c>
      <c r="D41" s="70" t="s">
        <v>512</v>
      </c>
      <c r="E41" s="70" t="s">
        <v>513</v>
      </c>
      <c r="F41" s="70" t="s">
        <v>514</v>
      </c>
      <c r="G41" s="70" t="s">
        <v>515</v>
      </c>
      <c r="H41" s="70" t="s">
        <v>516</v>
      </c>
      <c r="I41" s="70" t="s">
        <v>517</v>
      </c>
      <c r="J41" s="72"/>
    </row>
    <row r="42" ht="17.25" spans="1:9">
      <c r="A42" s="70" t="s">
        <v>518</v>
      </c>
      <c r="B42" s="70" t="s">
        <v>375</v>
      </c>
      <c r="C42" s="70" t="s">
        <v>519</v>
      </c>
      <c r="D42" s="70" t="s">
        <v>520</v>
      </c>
      <c r="E42" s="70" t="s">
        <v>521</v>
      </c>
      <c r="F42" s="70" t="s">
        <v>522</v>
      </c>
      <c r="G42" s="70" t="s">
        <v>523</v>
      </c>
      <c r="H42" s="70" t="s">
        <v>524</v>
      </c>
      <c r="I42" s="70" t="s">
        <v>525</v>
      </c>
    </row>
    <row r="43" ht="26.25" spans="1:9">
      <c r="A43" s="67" t="s">
        <v>526</v>
      </c>
      <c r="B43" s="71"/>
      <c r="C43" s="71"/>
      <c r="D43" s="71"/>
      <c r="E43" s="71"/>
      <c r="F43" s="71"/>
      <c r="G43" s="71"/>
      <c r="H43" s="71"/>
      <c r="I43" s="71"/>
    </row>
    <row r="44" ht="17.25" spans="1:9">
      <c r="A44" s="71" t="s">
        <v>221</v>
      </c>
      <c r="B44" s="71" t="s">
        <v>222</v>
      </c>
      <c r="C44" s="71" t="s">
        <v>223</v>
      </c>
      <c r="D44" s="71" t="s">
        <v>224</v>
      </c>
      <c r="E44" s="71" t="s">
        <v>225</v>
      </c>
      <c r="F44" s="71" t="s">
        <v>226</v>
      </c>
      <c r="G44" s="71" t="s">
        <v>227</v>
      </c>
      <c r="H44" s="71" t="s">
        <v>228</v>
      </c>
      <c r="I44" s="71" t="s">
        <v>229</v>
      </c>
    </row>
    <row r="45" ht="17.25" spans="1:9">
      <c r="A45" s="70" t="s">
        <v>279</v>
      </c>
      <c r="B45" s="70" t="s">
        <v>231</v>
      </c>
      <c r="C45" s="70" t="s">
        <v>527</v>
      </c>
      <c r="D45" s="70" t="s">
        <v>528</v>
      </c>
      <c r="E45" s="70" t="s">
        <v>330</v>
      </c>
      <c r="F45" s="70" t="s">
        <v>529</v>
      </c>
      <c r="G45" s="70" t="s">
        <v>530</v>
      </c>
      <c r="H45" s="70" t="s">
        <v>531</v>
      </c>
      <c r="I45" s="70" t="s">
        <v>532</v>
      </c>
    </row>
    <row r="46" ht="17.25" spans="1:9">
      <c r="A46" s="70" t="s">
        <v>295</v>
      </c>
      <c r="B46" s="70" t="s">
        <v>231</v>
      </c>
      <c r="C46" s="70" t="s">
        <v>533</v>
      </c>
      <c r="D46" s="70" t="s">
        <v>534</v>
      </c>
      <c r="E46" s="70" t="s">
        <v>535</v>
      </c>
      <c r="F46" s="70" t="s">
        <v>536</v>
      </c>
      <c r="G46" s="70" t="s">
        <v>537</v>
      </c>
      <c r="H46" s="70" t="s">
        <v>538</v>
      </c>
      <c r="I46" s="70" t="s">
        <v>539</v>
      </c>
    </row>
    <row r="47" ht="17.25" spans="1:9">
      <c r="A47" s="70" t="s">
        <v>540</v>
      </c>
      <c r="B47" s="70" t="s">
        <v>231</v>
      </c>
      <c r="C47" s="70" t="s">
        <v>541</v>
      </c>
      <c r="D47" s="70" t="s">
        <v>542</v>
      </c>
      <c r="E47" s="70" t="s">
        <v>543</v>
      </c>
      <c r="F47" s="70" t="s">
        <v>544</v>
      </c>
      <c r="G47" s="70" t="s">
        <v>545</v>
      </c>
      <c r="H47" s="70" t="s">
        <v>546</v>
      </c>
      <c r="I47" s="70" t="s">
        <v>547</v>
      </c>
    </row>
    <row r="48" ht="17.25" spans="1:9">
      <c r="A48" s="70" t="s">
        <v>548</v>
      </c>
      <c r="B48" s="70" t="s">
        <v>231</v>
      </c>
      <c r="C48" s="70" t="s">
        <v>549</v>
      </c>
      <c r="D48" s="70" t="s">
        <v>550</v>
      </c>
      <c r="E48" s="70" t="s">
        <v>551</v>
      </c>
      <c r="F48" s="70" t="s">
        <v>552</v>
      </c>
      <c r="G48" s="70" t="s">
        <v>553</v>
      </c>
      <c r="H48" s="70" t="s">
        <v>554</v>
      </c>
      <c r="I48" s="70" t="s">
        <v>555</v>
      </c>
    </row>
    <row r="49" ht="17.25" spans="1:9">
      <c r="A49" s="70" t="s">
        <v>556</v>
      </c>
      <c r="B49" s="70" t="s">
        <v>231</v>
      </c>
      <c r="C49" s="70" t="s">
        <v>557</v>
      </c>
      <c r="D49" s="70" t="s">
        <v>407</v>
      </c>
      <c r="E49" s="70" t="s">
        <v>558</v>
      </c>
      <c r="F49" s="70" t="s">
        <v>559</v>
      </c>
      <c r="G49" s="70" t="s">
        <v>530</v>
      </c>
      <c r="H49" s="70" t="s">
        <v>531</v>
      </c>
      <c r="I49" s="70" t="s">
        <v>532</v>
      </c>
    </row>
    <row r="50" ht="17.25" spans="1:9">
      <c r="A50" s="70"/>
      <c r="B50" s="70"/>
      <c r="C50" s="70"/>
      <c r="D50" s="70"/>
      <c r="E50" s="70"/>
      <c r="F50" s="70"/>
      <c r="G50" s="70"/>
      <c r="H50" s="70"/>
      <c r="I50" s="70"/>
    </row>
    <row r="51" ht="17.25" spans="1:9">
      <c r="A51" s="70" t="s">
        <v>295</v>
      </c>
      <c r="B51" s="70" t="s">
        <v>375</v>
      </c>
      <c r="C51" s="70" t="s">
        <v>519</v>
      </c>
      <c r="D51" s="70" t="s">
        <v>560</v>
      </c>
      <c r="E51" s="70" t="s">
        <v>561</v>
      </c>
      <c r="F51" s="70" t="s">
        <v>562</v>
      </c>
      <c r="G51" s="70" t="s">
        <v>563</v>
      </c>
      <c r="H51" s="70" t="s">
        <v>564</v>
      </c>
      <c r="I51" s="70" t="s">
        <v>565</v>
      </c>
    </row>
    <row r="52" ht="17.25" spans="1:9">
      <c r="A52" s="70" t="s">
        <v>540</v>
      </c>
      <c r="B52" s="70" t="s">
        <v>375</v>
      </c>
      <c r="C52" s="70" t="s">
        <v>424</v>
      </c>
      <c r="D52" s="70" t="s">
        <v>566</v>
      </c>
      <c r="E52" s="70" t="s">
        <v>567</v>
      </c>
      <c r="F52" s="70" t="s">
        <v>568</v>
      </c>
      <c r="G52" s="70" t="s">
        <v>242</v>
      </c>
      <c r="H52" s="70" t="s">
        <v>569</v>
      </c>
      <c r="I52" s="70" t="s">
        <v>570</v>
      </c>
    </row>
    <row r="53" ht="17.25" spans="1:9">
      <c r="A53" s="70" t="s">
        <v>548</v>
      </c>
      <c r="B53" s="70" t="s">
        <v>375</v>
      </c>
      <c r="C53" s="70" t="s">
        <v>530</v>
      </c>
      <c r="D53" s="70" t="s">
        <v>571</v>
      </c>
      <c r="E53" s="70" t="s">
        <v>572</v>
      </c>
      <c r="F53" s="70" t="s">
        <v>573</v>
      </c>
      <c r="G53" s="70" t="s">
        <v>574</v>
      </c>
      <c r="H53" s="70" t="s">
        <v>575</v>
      </c>
      <c r="I53" s="70" t="s">
        <v>576</v>
      </c>
    </row>
    <row r="54" ht="17.25" spans="1:9">
      <c r="A54" s="70" t="s">
        <v>556</v>
      </c>
      <c r="B54" s="70" t="s">
        <v>375</v>
      </c>
      <c r="C54" s="70" t="s">
        <v>577</v>
      </c>
      <c r="D54" s="70" t="s">
        <v>578</v>
      </c>
      <c r="E54" s="70" t="s">
        <v>426</v>
      </c>
      <c r="F54" s="70" t="s">
        <v>579</v>
      </c>
      <c r="G54" s="70" t="s">
        <v>530</v>
      </c>
      <c r="H54" s="70" t="s">
        <v>580</v>
      </c>
      <c r="I54" s="70" t="s">
        <v>532</v>
      </c>
    </row>
  </sheetData>
  <sortState ref="A1:I20">
    <sortCondition ref="C1:C20" descending="1"/>
  </sortState>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workbookViewId="0">
      <selection activeCell="D29" sqref="D29"/>
    </sheetView>
  </sheetViews>
  <sheetFormatPr defaultColWidth="67.6380952380952" defaultRowHeight="12.75"/>
  <cols>
    <col min="1" max="16384" width="67.6380952380952" customWidth="1"/>
  </cols>
  <sheetData>
    <row r="1" ht="34.5" spans="1:1">
      <c r="A1" s="64" t="s">
        <v>581</v>
      </c>
    </row>
    <row r="2" ht="17.25" spans="1:1">
      <c r="A2" s="64" t="s">
        <v>582</v>
      </c>
    </row>
    <row r="3" ht="17.25" spans="1:1">
      <c r="A3" s="64" t="s">
        <v>583</v>
      </c>
    </row>
    <row r="4" ht="17.25" spans="1:1">
      <c r="A4" s="64" t="s">
        <v>584</v>
      </c>
    </row>
    <row r="5" ht="51.75" spans="1:1">
      <c r="A5" s="65" t="s">
        <v>585</v>
      </c>
    </row>
    <row r="6" ht="51.75" spans="1:1">
      <c r="A6" s="65" t="s">
        <v>586</v>
      </c>
    </row>
    <row r="7" ht="17.25" spans="1:1">
      <c r="A7" s="64" t="s">
        <v>587</v>
      </c>
    </row>
    <row r="8" ht="17.25" spans="1:1">
      <c r="A8" s="65" t="s">
        <v>588</v>
      </c>
    </row>
    <row r="9" ht="25" customHeight="1"/>
    <row r="10" ht="16" customHeight="1"/>
    <row r="11" ht="23" customHeight="1"/>
    <row r="12" ht="14" customHeight="1"/>
    <row r="13" ht="23" customHeight="1"/>
    <row r="14" ht="34.5" spans="1:1">
      <c r="A14" s="65" t="s">
        <v>589</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zoomScale="115" zoomScaleNormal="115" workbookViewId="0">
      <selection activeCell="T27" sqref="T27"/>
    </sheetView>
  </sheetViews>
  <sheetFormatPr defaultColWidth="9.14285714285714" defaultRowHeight="12.75" outlineLevelCol="3"/>
  <cols>
    <col min="1" max="1" width="33.7142857142857" customWidth="1"/>
    <col min="2" max="2" width="34.7142857142857" customWidth="1"/>
    <col min="3" max="3" width="54.5714285714286" customWidth="1"/>
    <col min="4" max="4" width="64.8571428571429" customWidth="1"/>
  </cols>
  <sheetData>
    <row r="1" ht="31.5" spans="1:4">
      <c r="A1" s="59" t="s">
        <v>590</v>
      </c>
      <c r="B1" s="60"/>
      <c r="C1" s="60"/>
      <c r="D1" s="60"/>
    </row>
    <row r="2" spans="1:4">
      <c r="A2" s="61" t="s">
        <v>591</v>
      </c>
      <c r="B2" s="61" t="s">
        <v>592</v>
      </c>
      <c r="C2" s="61" t="s">
        <v>593</v>
      </c>
      <c r="D2" s="61" t="s">
        <v>594</v>
      </c>
    </row>
    <row r="3" customHeight="1" spans="1:4">
      <c r="A3" s="62" t="s">
        <v>595</v>
      </c>
      <c r="B3" s="62" t="s">
        <v>596</v>
      </c>
      <c r="C3" s="63" t="s">
        <v>597</v>
      </c>
      <c r="D3" s="63" t="s">
        <v>598</v>
      </c>
    </row>
    <row r="4" spans="1:4">
      <c r="A4" s="62" t="s">
        <v>599</v>
      </c>
      <c r="B4" s="62" t="s">
        <v>600</v>
      </c>
      <c r="C4" s="63" t="s">
        <v>601</v>
      </c>
      <c r="D4" s="63" t="s">
        <v>602</v>
      </c>
    </row>
    <row r="5" spans="1:4">
      <c r="A5" s="63"/>
      <c r="B5" s="63"/>
      <c r="C5" s="63"/>
      <c r="D5" s="63" t="s">
        <v>603</v>
      </c>
    </row>
    <row r="6" customHeight="1" spans="1:4">
      <c r="A6" s="63"/>
      <c r="B6" s="63"/>
      <c r="C6" s="63"/>
      <c r="D6" s="63" t="s">
        <v>604</v>
      </c>
    </row>
    <row r="7" spans="1:4">
      <c r="A7" s="63"/>
      <c r="B7" s="63"/>
      <c r="C7" s="63"/>
      <c r="D7" s="63" t="s">
        <v>605</v>
      </c>
    </row>
    <row r="8" spans="1:4">
      <c r="A8" s="63"/>
      <c r="B8" s="63"/>
      <c r="C8" s="63"/>
      <c r="D8" s="63" t="s">
        <v>606</v>
      </c>
    </row>
    <row r="9" customHeight="1" spans="1:4">
      <c r="A9" s="62" t="s">
        <v>607</v>
      </c>
      <c r="B9" s="62" t="s">
        <v>608</v>
      </c>
      <c r="C9" s="63" t="s">
        <v>609</v>
      </c>
      <c r="D9" s="63" t="s">
        <v>610</v>
      </c>
    </row>
    <row r="10" ht="25.5" spans="1:4">
      <c r="A10" s="63"/>
      <c r="B10" s="62" t="s">
        <v>611</v>
      </c>
      <c r="C10" s="63" t="s">
        <v>612</v>
      </c>
      <c r="D10" s="63" t="s">
        <v>613</v>
      </c>
    </row>
    <row r="11" customHeight="1" spans="1:4">
      <c r="A11" s="63"/>
      <c r="B11" s="62" t="s">
        <v>614</v>
      </c>
      <c r="C11" s="63" t="s">
        <v>615</v>
      </c>
      <c r="D11" s="63" t="s">
        <v>616</v>
      </c>
    </row>
    <row r="12" spans="1:4">
      <c r="A12" s="62" t="s">
        <v>617</v>
      </c>
      <c r="B12" s="62" t="s">
        <v>618</v>
      </c>
      <c r="C12" s="63" t="s">
        <v>619</v>
      </c>
      <c r="D12" s="63" t="s">
        <v>620</v>
      </c>
    </row>
    <row r="13" spans="1:4">
      <c r="A13" s="63"/>
      <c r="B13" s="62" t="s">
        <v>621</v>
      </c>
      <c r="C13" s="63" t="s">
        <v>622</v>
      </c>
      <c r="D13" s="63" t="s">
        <v>623</v>
      </c>
    </row>
    <row r="14" customHeight="1" spans="1:4">
      <c r="A14" s="63"/>
      <c r="B14" s="63"/>
      <c r="C14" s="63"/>
      <c r="D14" s="63" t="s">
        <v>624</v>
      </c>
    </row>
    <row r="15" ht="25.5" spans="1:4">
      <c r="A15" s="63"/>
      <c r="B15" s="62" t="s">
        <v>625</v>
      </c>
      <c r="C15" s="63" t="s">
        <v>626</v>
      </c>
      <c r="D15" s="63" t="s">
        <v>627</v>
      </c>
    </row>
    <row r="16" ht="25.5" customHeight="1" spans="1:4">
      <c r="A16" s="63"/>
      <c r="B16" s="63"/>
      <c r="C16" s="63"/>
      <c r="D16" s="63" t="s">
        <v>628</v>
      </c>
    </row>
    <row r="17" ht="25.5" spans="1:4">
      <c r="A17" s="63"/>
      <c r="B17" s="62" t="s">
        <v>629</v>
      </c>
      <c r="C17" s="63" t="s">
        <v>630</v>
      </c>
      <c r="D17" s="63" t="s">
        <v>631</v>
      </c>
    </row>
    <row r="18" ht="25.5" customHeight="1" spans="1:4">
      <c r="A18" s="63"/>
      <c r="B18" s="63"/>
      <c r="C18" s="63"/>
      <c r="D18" s="63" t="s">
        <v>632</v>
      </c>
    </row>
    <row r="19" spans="1:4">
      <c r="A19" s="62" t="s">
        <v>633</v>
      </c>
      <c r="B19" s="62" t="s">
        <v>634</v>
      </c>
      <c r="C19" s="63" t="s">
        <v>635</v>
      </c>
      <c r="D19" s="63" t="s">
        <v>636</v>
      </c>
    </row>
    <row r="20" ht="25.5" customHeight="1" spans="1:4">
      <c r="A20" s="63"/>
      <c r="B20" s="62" t="s">
        <v>637</v>
      </c>
      <c r="C20" s="63" t="s">
        <v>638</v>
      </c>
      <c r="D20" s="63" t="s">
        <v>639</v>
      </c>
    </row>
    <row r="21" spans="1:4">
      <c r="A21" s="63"/>
      <c r="B21" s="62" t="s">
        <v>640</v>
      </c>
      <c r="C21" s="63" t="s">
        <v>641</v>
      </c>
      <c r="D21" s="63" t="s">
        <v>642</v>
      </c>
    </row>
    <row r="22" customHeight="1" spans="1:4">
      <c r="A22" s="63"/>
      <c r="B22" s="63"/>
      <c r="C22" s="63"/>
      <c r="D22" s="63" t="s">
        <v>643</v>
      </c>
    </row>
    <row r="23" spans="1:4">
      <c r="A23" s="62" t="s">
        <v>644</v>
      </c>
      <c r="B23" s="62" t="s">
        <v>645</v>
      </c>
      <c r="C23" s="63" t="s">
        <v>646</v>
      </c>
      <c r="D23" s="63" t="s">
        <v>647</v>
      </c>
    </row>
    <row r="24" ht="25.5" customHeight="1" spans="1:4">
      <c r="A24" s="63"/>
      <c r="B24" s="62" t="s">
        <v>648</v>
      </c>
      <c r="C24" s="63" t="s">
        <v>649</v>
      </c>
      <c r="D24" s="63" t="s">
        <v>650</v>
      </c>
    </row>
    <row r="25" spans="1:4">
      <c r="A25" s="63"/>
      <c r="B25" s="63"/>
      <c r="C25" s="63"/>
      <c r="D25" s="63" t="s">
        <v>651</v>
      </c>
    </row>
    <row r="26" customHeight="1" spans="1:4">
      <c r="A26" s="63"/>
      <c r="B26" s="62" t="s">
        <v>652</v>
      </c>
      <c r="C26" s="63" t="s">
        <v>653</v>
      </c>
      <c r="D26" s="63" t="s">
        <v>654</v>
      </c>
    </row>
    <row r="27" ht="25.5" spans="1:4">
      <c r="A27" s="63"/>
      <c r="B27" s="63"/>
      <c r="C27" s="63"/>
      <c r="D27" s="63" t="s">
        <v>655</v>
      </c>
    </row>
    <row r="28" ht="25.5" spans="1:4">
      <c r="A28" s="62" t="s">
        <v>656</v>
      </c>
      <c r="B28" s="62" t="s">
        <v>657</v>
      </c>
      <c r="C28" s="63" t="s">
        <v>658</v>
      </c>
      <c r="D28" s="63" t="s">
        <v>659</v>
      </c>
    </row>
    <row r="29" spans="1:4">
      <c r="A29" s="63"/>
      <c r="B29" s="63"/>
      <c r="C29" s="63"/>
      <c r="D29" s="63" t="s">
        <v>660</v>
      </c>
    </row>
    <row r="30" spans="1:4">
      <c r="A30" s="62" t="s">
        <v>661</v>
      </c>
      <c r="B30" s="62" t="s">
        <v>662</v>
      </c>
      <c r="C30" s="63" t="s">
        <v>663</v>
      </c>
      <c r="D30" s="63" t="s">
        <v>664</v>
      </c>
    </row>
    <row r="31" spans="1:4">
      <c r="A31" s="63"/>
      <c r="B31" s="62" t="s">
        <v>665</v>
      </c>
      <c r="C31" s="63" t="s">
        <v>666</v>
      </c>
      <c r="D31" s="63" t="s">
        <v>667</v>
      </c>
    </row>
    <row r="32" spans="1:4">
      <c r="A32" s="63"/>
      <c r="B32" s="63"/>
      <c r="C32" s="63" t="s">
        <v>668</v>
      </c>
      <c r="D32" s="63" t="s">
        <v>669</v>
      </c>
    </row>
    <row r="33" spans="1:4">
      <c r="A33" s="62" t="s">
        <v>670</v>
      </c>
      <c r="B33" s="62" t="s">
        <v>671</v>
      </c>
      <c r="C33" s="63" t="s">
        <v>672</v>
      </c>
      <c r="D33" s="63" t="s">
        <v>673</v>
      </c>
    </row>
    <row r="34" spans="1:4">
      <c r="A34" s="63"/>
      <c r="B34" s="62" t="s">
        <v>674</v>
      </c>
      <c r="C34" s="63" t="s">
        <v>675</v>
      </c>
      <c r="D34" s="63" t="s">
        <v>676</v>
      </c>
    </row>
    <row r="35" spans="1:4">
      <c r="A35" s="63"/>
      <c r="B35" s="62" t="s">
        <v>677</v>
      </c>
      <c r="C35" s="63" t="s">
        <v>678</v>
      </c>
      <c r="D35" s="63" t="s">
        <v>679</v>
      </c>
    </row>
    <row r="36" spans="1:4">
      <c r="A36" s="62" t="s">
        <v>680</v>
      </c>
      <c r="B36" s="62" t="s">
        <v>681</v>
      </c>
      <c r="C36" s="63" t="s">
        <v>682</v>
      </c>
      <c r="D36" s="63" t="s">
        <v>683</v>
      </c>
    </row>
    <row r="37" spans="1:4">
      <c r="A37" s="63"/>
      <c r="B37" s="62" t="s">
        <v>684</v>
      </c>
      <c r="C37" s="63" t="s">
        <v>685</v>
      </c>
      <c r="D37" s="63" t="s">
        <v>686</v>
      </c>
    </row>
    <row r="38" spans="1:4">
      <c r="A38" s="63"/>
      <c r="B38" s="62" t="s">
        <v>687</v>
      </c>
      <c r="C38" s="63" t="s">
        <v>688</v>
      </c>
      <c r="D38" s="63" t="s">
        <v>689</v>
      </c>
    </row>
    <row r="39" spans="1:4">
      <c r="A39" s="62" t="s">
        <v>690</v>
      </c>
      <c r="B39" s="62" t="s">
        <v>691</v>
      </c>
      <c r="C39" s="63" t="s">
        <v>692</v>
      </c>
      <c r="D39" s="63" t="s">
        <v>693</v>
      </c>
    </row>
    <row r="40" spans="1:4">
      <c r="A40" s="63"/>
      <c r="B40" s="62" t="s">
        <v>694</v>
      </c>
      <c r="C40" s="63" t="s">
        <v>695</v>
      </c>
      <c r="D40" s="63" t="s">
        <v>696</v>
      </c>
    </row>
    <row r="41" spans="1:4">
      <c r="A41" s="62" t="s">
        <v>697</v>
      </c>
      <c r="B41" s="62" t="s">
        <v>698</v>
      </c>
      <c r="C41" s="63" t="s">
        <v>699</v>
      </c>
      <c r="D41" s="63" t="s">
        <v>700</v>
      </c>
    </row>
    <row r="42" spans="1:4">
      <c r="A42" s="63"/>
      <c r="B42" s="62" t="s">
        <v>701</v>
      </c>
      <c r="C42" s="63" t="s">
        <v>702</v>
      </c>
      <c r="D42" s="63" t="s">
        <v>703</v>
      </c>
    </row>
    <row r="43" spans="1:4">
      <c r="A43" s="63"/>
      <c r="B43" s="62" t="s">
        <v>704</v>
      </c>
      <c r="C43" s="63" t="s">
        <v>705</v>
      </c>
      <c r="D43" s="63" t="s">
        <v>706</v>
      </c>
    </row>
    <row r="44" ht="25.5" spans="1:4">
      <c r="A44" s="62" t="s">
        <v>707</v>
      </c>
      <c r="B44" s="62" t="s">
        <v>708</v>
      </c>
      <c r="C44" s="63" t="s">
        <v>709</v>
      </c>
      <c r="D44" s="63" t="s">
        <v>710</v>
      </c>
    </row>
    <row r="45" spans="1:4">
      <c r="A45" s="63"/>
      <c r="B45" s="62" t="s">
        <v>711</v>
      </c>
      <c r="C45" s="63" t="s">
        <v>712</v>
      </c>
      <c r="D45" s="63" t="s">
        <v>713</v>
      </c>
    </row>
    <row r="46" spans="1:4">
      <c r="A46" s="62" t="s">
        <v>714</v>
      </c>
      <c r="B46" s="62" t="s">
        <v>715</v>
      </c>
      <c r="C46" s="63" t="s">
        <v>716</v>
      </c>
      <c r="D46" s="63" t="s">
        <v>717</v>
      </c>
    </row>
    <row r="47" ht="25.5" spans="1:4">
      <c r="A47" s="63"/>
      <c r="B47" s="62" t="s">
        <v>718</v>
      </c>
      <c r="C47" s="63" t="s">
        <v>719</v>
      </c>
      <c r="D47" s="63" t="s">
        <v>720</v>
      </c>
    </row>
    <row r="48" spans="1:4">
      <c r="A48" s="62" t="s">
        <v>721</v>
      </c>
      <c r="B48" s="62" t="s">
        <v>722</v>
      </c>
      <c r="C48" s="63" t="s">
        <v>723</v>
      </c>
      <c r="D48" s="63" t="s">
        <v>724</v>
      </c>
    </row>
    <row r="49" spans="1:4">
      <c r="A49" s="63"/>
      <c r="B49" s="62" t="s">
        <v>725</v>
      </c>
      <c r="C49" s="63" t="s">
        <v>726</v>
      </c>
      <c r="D49" s="63" t="s">
        <v>727</v>
      </c>
    </row>
    <row r="50" spans="1:4">
      <c r="A50" s="62" t="s">
        <v>728</v>
      </c>
      <c r="B50" s="62" t="s">
        <v>729</v>
      </c>
      <c r="C50" s="63" t="s">
        <v>730</v>
      </c>
      <c r="D50" s="63" t="s">
        <v>731</v>
      </c>
    </row>
    <row r="51" spans="1:4">
      <c r="A51" s="63"/>
      <c r="B51" s="62" t="s">
        <v>732</v>
      </c>
      <c r="C51" s="63" t="s">
        <v>733</v>
      </c>
      <c r="D51" s="63" t="s">
        <v>734</v>
      </c>
    </row>
    <row r="52" spans="1:4">
      <c r="A52" s="63"/>
      <c r="B52" s="62" t="s">
        <v>735</v>
      </c>
      <c r="C52" s="63" t="s">
        <v>736</v>
      </c>
      <c r="D52" s="63" t="s">
        <v>737</v>
      </c>
    </row>
    <row r="53" spans="1:4">
      <c r="A53" s="63"/>
      <c r="B53" s="62" t="s">
        <v>738</v>
      </c>
      <c r="C53" s="63" t="s">
        <v>739</v>
      </c>
      <c r="D53" s="63" t="s">
        <v>740</v>
      </c>
    </row>
    <row r="55" spans="1:2">
      <c r="A55" s="56" t="s">
        <v>741</v>
      </c>
      <c r="B55" s="56" t="s">
        <v>742</v>
      </c>
    </row>
    <row r="56" ht="38.25" spans="1:2">
      <c r="A56" s="57" t="s">
        <v>743</v>
      </c>
      <c r="B56" s="58" t="s">
        <v>744</v>
      </c>
    </row>
    <row r="57" ht="38.25" spans="1:2">
      <c r="A57" s="57" t="s">
        <v>745</v>
      </c>
      <c r="B57" s="58" t="s">
        <v>746</v>
      </c>
    </row>
    <row r="58" ht="38.25" spans="1:2">
      <c r="A58" s="57"/>
      <c r="B58" s="58" t="s">
        <v>747</v>
      </c>
    </row>
    <row r="59" ht="25.5" spans="1:2">
      <c r="A59" s="57"/>
      <c r="B59" s="58" t="s">
        <v>748</v>
      </c>
    </row>
    <row r="60" ht="38.25" spans="1:2">
      <c r="A60" s="57" t="s">
        <v>749</v>
      </c>
      <c r="B60" s="58" t="s">
        <v>750</v>
      </c>
    </row>
    <row r="61" ht="25.5" spans="1:2">
      <c r="A61" s="57"/>
      <c r="B61" s="58" t="s">
        <v>751</v>
      </c>
    </row>
    <row r="62" ht="25.5" spans="1:2">
      <c r="A62" s="57"/>
      <c r="B62" s="58" t="s">
        <v>752</v>
      </c>
    </row>
    <row r="63" ht="38.25" spans="1:2">
      <c r="A63" s="57" t="s">
        <v>753</v>
      </c>
      <c r="B63" s="58" t="s">
        <v>754</v>
      </c>
    </row>
    <row r="64" ht="38.25" spans="1:2">
      <c r="A64" s="57"/>
      <c r="B64" s="58" t="s">
        <v>755</v>
      </c>
    </row>
    <row r="65" ht="25.5" spans="1:2">
      <c r="A65" s="57" t="s">
        <v>756</v>
      </c>
      <c r="B65" s="58" t="s">
        <v>757</v>
      </c>
    </row>
    <row r="66" ht="38.25" spans="1:2">
      <c r="A66" s="57"/>
      <c r="B66" s="58" t="s">
        <v>758</v>
      </c>
    </row>
    <row r="67" ht="38.25" spans="1:2">
      <c r="A67" s="57"/>
      <c r="B67" s="58" t="s">
        <v>759</v>
      </c>
    </row>
    <row r="68" ht="38.25" spans="1:2">
      <c r="A68" s="57" t="s">
        <v>760</v>
      </c>
      <c r="B68" s="58" t="s">
        <v>761</v>
      </c>
    </row>
    <row r="69" ht="51" spans="1:2">
      <c r="A69" s="57"/>
      <c r="B69" s="58" t="s">
        <v>762</v>
      </c>
    </row>
    <row r="70" ht="25.5" spans="1:2">
      <c r="A70" s="57" t="s">
        <v>763</v>
      </c>
      <c r="B70" s="58" t="s">
        <v>764</v>
      </c>
    </row>
    <row r="71" ht="38.25" spans="1:2">
      <c r="A71" s="57"/>
      <c r="B71" s="58" t="s">
        <v>765</v>
      </c>
    </row>
    <row r="72" ht="38.25" spans="1:2">
      <c r="A72" s="57" t="s">
        <v>766</v>
      </c>
      <c r="B72" s="58" t="s">
        <v>767</v>
      </c>
    </row>
    <row r="73" ht="38.25" spans="1:2">
      <c r="A73" s="57"/>
      <c r="B73" s="58" t="s">
        <v>768</v>
      </c>
    </row>
    <row r="74" ht="38.25" spans="1:2">
      <c r="A74" s="57" t="s">
        <v>769</v>
      </c>
      <c r="B74" s="58" t="s">
        <v>770</v>
      </c>
    </row>
    <row r="75" ht="38.25" spans="1:2">
      <c r="A75" s="57"/>
      <c r="B75" s="58" t="s">
        <v>771</v>
      </c>
    </row>
    <row r="76" ht="25.5" spans="1:2">
      <c r="A76" s="57" t="s">
        <v>772</v>
      </c>
      <c r="B76" s="58" t="s">
        <v>773</v>
      </c>
    </row>
    <row r="77" ht="38.25" spans="1:2">
      <c r="A77" s="57"/>
      <c r="B77" s="58" t="s">
        <v>774</v>
      </c>
    </row>
    <row r="78" ht="38.25" spans="1:2">
      <c r="A78" s="57" t="s">
        <v>775</v>
      </c>
      <c r="B78" s="58" t="s">
        <v>776</v>
      </c>
    </row>
    <row r="79" ht="38.25" spans="1:2">
      <c r="A79" s="57"/>
      <c r="B79" s="58" t="s">
        <v>777</v>
      </c>
    </row>
    <row r="80" ht="38.25" spans="1:2">
      <c r="A80" s="57" t="s">
        <v>778</v>
      </c>
      <c r="B80" s="58" t="s">
        <v>779</v>
      </c>
    </row>
    <row r="81" ht="51" spans="1:2">
      <c r="A81" s="57"/>
      <c r="B81" s="58" t="s">
        <v>780</v>
      </c>
    </row>
  </sheetData>
  <mergeCells count="12">
    <mergeCell ref="A1:D1"/>
    <mergeCell ref="A57:A59"/>
    <mergeCell ref="A60:A62"/>
    <mergeCell ref="A63:A64"/>
    <mergeCell ref="A65:A67"/>
    <mergeCell ref="A68:A69"/>
    <mergeCell ref="A70:A71"/>
    <mergeCell ref="A72:A73"/>
    <mergeCell ref="A74:A75"/>
    <mergeCell ref="A76:A77"/>
    <mergeCell ref="A78:A79"/>
    <mergeCell ref="A80:A81"/>
  </mergeCells>
  <hyperlinks>
    <hyperlink ref="A1" r:id="rId2" display="交易系统构建：https://www.youtube.com/watch?v=K2OiWFYyP7Y"/>
  </hyperlink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C24" sqref="C24"/>
    </sheetView>
  </sheetViews>
  <sheetFormatPr defaultColWidth="9.14285714285714" defaultRowHeight="12.75" outlineLevelCol="2"/>
  <cols>
    <col min="1" max="1" width="29.4285714285714" customWidth="1"/>
    <col min="2" max="2" width="46.7142857142857" customWidth="1"/>
    <col min="3" max="3" width="66.8571428571429" customWidth="1"/>
  </cols>
  <sheetData>
    <row r="1" spans="1:3">
      <c r="A1" s="56" t="s">
        <v>781</v>
      </c>
      <c r="B1" s="56" t="s">
        <v>782</v>
      </c>
      <c r="C1" s="56" t="s">
        <v>742</v>
      </c>
    </row>
    <row r="2" ht="25.5" spans="1:3">
      <c r="A2" s="57" t="s">
        <v>783</v>
      </c>
      <c r="B2" s="57" t="s">
        <v>784</v>
      </c>
      <c r="C2" s="58" t="s">
        <v>785</v>
      </c>
    </row>
    <row r="3" ht="25.5" spans="1:3">
      <c r="A3" s="58"/>
      <c r="B3" s="57" t="s">
        <v>786</v>
      </c>
      <c r="C3" s="58" t="s">
        <v>787</v>
      </c>
    </row>
    <row r="4" spans="1:3">
      <c r="A4" s="58"/>
      <c r="B4" s="57" t="s">
        <v>788</v>
      </c>
      <c r="C4" s="58" t="s">
        <v>789</v>
      </c>
    </row>
    <row r="5" ht="25.5" spans="1:3">
      <c r="A5" s="57" t="s">
        <v>790</v>
      </c>
      <c r="B5" s="57" t="s">
        <v>791</v>
      </c>
      <c r="C5" s="58" t="s">
        <v>792</v>
      </c>
    </row>
    <row r="6" ht="25.5" spans="1:3">
      <c r="A6" s="58"/>
      <c r="B6" s="57" t="s">
        <v>793</v>
      </c>
      <c r="C6" s="58" t="s">
        <v>794</v>
      </c>
    </row>
    <row r="7" ht="25.5" spans="1:3">
      <c r="A7" s="58"/>
      <c r="B7" s="57" t="s">
        <v>795</v>
      </c>
      <c r="C7" s="58" t="s">
        <v>796</v>
      </c>
    </row>
    <row r="8" ht="25.5" spans="1:3">
      <c r="A8" s="58"/>
      <c r="B8" s="57" t="s">
        <v>797</v>
      </c>
      <c r="C8" s="58" t="s">
        <v>798</v>
      </c>
    </row>
    <row r="9" spans="1:3">
      <c r="A9" s="57" t="s">
        <v>799</v>
      </c>
      <c r="B9" s="57" t="s">
        <v>800</v>
      </c>
      <c r="C9" s="58" t="s">
        <v>801</v>
      </c>
    </row>
    <row r="10" spans="1:3">
      <c r="A10" s="58"/>
      <c r="B10" s="57" t="s">
        <v>802</v>
      </c>
      <c r="C10" s="58" t="s">
        <v>803</v>
      </c>
    </row>
    <row r="11" ht="25.5" spans="1:3">
      <c r="A11" s="58"/>
      <c r="B11" s="57" t="s">
        <v>804</v>
      </c>
      <c r="C11" s="58" t="s">
        <v>805</v>
      </c>
    </row>
    <row r="12" ht="25.5" spans="1:3">
      <c r="A12" s="58"/>
      <c r="B12" s="57" t="s">
        <v>806</v>
      </c>
      <c r="C12" s="58" t="s">
        <v>807</v>
      </c>
    </row>
    <row r="13" ht="25.5" spans="1:3">
      <c r="A13" s="57" t="s">
        <v>808</v>
      </c>
      <c r="B13" s="57" t="s">
        <v>809</v>
      </c>
      <c r="C13" s="58" t="s">
        <v>810</v>
      </c>
    </row>
    <row r="14" ht="25.5" spans="1:3">
      <c r="A14" s="58"/>
      <c r="B14" s="57" t="s">
        <v>811</v>
      </c>
      <c r="C14" s="58" t="s">
        <v>812</v>
      </c>
    </row>
    <row r="15" ht="25.5" spans="1:3">
      <c r="A15" s="57" t="s">
        <v>813</v>
      </c>
      <c r="B15" s="57" t="s">
        <v>814</v>
      </c>
      <c r="C15" s="58" t="s">
        <v>815</v>
      </c>
    </row>
    <row r="16" ht="25.5" spans="1:3">
      <c r="A16" s="58"/>
      <c r="B16" s="57" t="s">
        <v>816</v>
      </c>
      <c r="C16" s="58" t="s">
        <v>817</v>
      </c>
    </row>
    <row r="17" ht="25.5" spans="1:3">
      <c r="A17" s="57" t="s">
        <v>818</v>
      </c>
      <c r="B17" s="57" t="s">
        <v>819</v>
      </c>
      <c r="C17" s="58" t="s">
        <v>820</v>
      </c>
    </row>
    <row r="18" ht="25.5" spans="1:3">
      <c r="A18" s="58"/>
      <c r="B18" s="57" t="s">
        <v>821</v>
      </c>
      <c r="C18" s="58" t="s">
        <v>822</v>
      </c>
    </row>
    <row r="19" ht="25.5" spans="1:3">
      <c r="A19" s="58"/>
      <c r="B19" s="57" t="s">
        <v>823</v>
      </c>
      <c r="C19" s="58" t="s">
        <v>824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2"/>
  <sheetViews>
    <sheetView workbookViewId="0">
      <selection activeCell="P11" sqref="P11"/>
    </sheetView>
  </sheetViews>
  <sheetFormatPr defaultColWidth="9.14285714285714" defaultRowHeight="12.75" outlineLevelCol="1"/>
  <cols>
    <col min="1" max="1" width="30.4285714285714" customWidth="1"/>
  </cols>
  <sheetData>
    <row r="1" ht="25.5" spans="1:1">
      <c r="A1" s="1" t="s">
        <v>825</v>
      </c>
    </row>
    <row r="3" ht="18.75" spans="1:2">
      <c r="A3" s="3" t="s">
        <v>826</v>
      </c>
      <c r="B3" t="s">
        <v>827</v>
      </c>
    </row>
    <row r="4" ht="18.75" spans="1:2">
      <c r="A4" s="3" t="s">
        <v>828</v>
      </c>
      <c r="B4" t="s">
        <v>829</v>
      </c>
    </row>
    <row r="5" ht="18.75" spans="1:2">
      <c r="A5" s="3" t="s">
        <v>830</v>
      </c>
      <c r="B5" t="s">
        <v>831</v>
      </c>
    </row>
    <row r="6" ht="18.75" spans="1:2">
      <c r="A6" s="3" t="s">
        <v>832</v>
      </c>
      <c r="B6" t="s">
        <v>833</v>
      </c>
    </row>
    <row r="7" ht="18.75" spans="1:2">
      <c r="A7" s="3" t="s">
        <v>834</v>
      </c>
      <c r="B7" t="s">
        <v>835</v>
      </c>
    </row>
    <row r="10" ht="18.75" spans="1:1">
      <c r="A10" s="54" t="s">
        <v>836</v>
      </c>
    </row>
    <row r="12" ht="37.5" spans="1:2">
      <c r="A12" s="3" t="s">
        <v>837</v>
      </c>
      <c r="B12" t="s">
        <v>838</v>
      </c>
    </row>
    <row r="13" ht="18.75" spans="1:2">
      <c r="A13" s="3" t="s">
        <v>839</v>
      </c>
      <c r="B13" t="s">
        <v>840</v>
      </c>
    </row>
    <row r="14" ht="18.75" spans="1:2">
      <c r="A14" s="3" t="s">
        <v>841</v>
      </c>
      <c r="B14" t="s">
        <v>842</v>
      </c>
    </row>
    <row r="15" ht="18.75" spans="1:2">
      <c r="A15" s="3" t="s">
        <v>843</v>
      </c>
      <c r="B15" t="s">
        <v>844</v>
      </c>
    </row>
    <row r="16" ht="18.75" spans="1:2">
      <c r="A16" s="3" t="s">
        <v>845</v>
      </c>
      <c r="B16" t="s">
        <v>846</v>
      </c>
    </row>
    <row r="17" ht="37.5" spans="1:2">
      <c r="A17" s="3" t="s">
        <v>847</v>
      </c>
      <c r="B17" t="s">
        <v>848</v>
      </c>
    </row>
    <row r="20" ht="18.75" spans="1:1">
      <c r="A20" s="54" t="s">
        <v>849</v>
      </c>
    </row>
    <row r="22" ht="18.75" spans="1:2">
      <c r="A22" s="3" t="s">
        <v>850</v>
      </c>
      <c r="B22" t="s">
        <v>851</v>
      </c>
    </row>
    <row r="23" ht="18.75" spans="1:2">
      <c r="A23" s="3" t="s">
        <v>852</v>
      </c>
      <c r="B23" t="s">
        <v>853</v>
      </c>
    </row>
    <row r="26" ht="18.75" spans="1:1">
      <c r="A26" s="54" t="s">
        <v>854</v>
      </c>
    </row>
    <row r="28" ht="18.75" spans="1:2">
      <c r="A28" s="3" t="s">
        <v>855</v>
      </c>
      <c r="B28" t="s">
        <v>856</v>
      </c>
    </row>
    <row r="29" ht="18.75" spans="1:2">
      <c r="A29" s="3" t="s">
        <v>857</v>
      </c>
      <c r="B29" t="s">
        <v>858</v>
      </c>
    </row>
    <row r="30" ht="37.5" spans="1:2">
      <c r="A30" s="3" t="s">
        <v>859</v>
      </c>
      <c r="B30" t="s">
        <v>860</v>
      </c>
    </row>
    <row r="31" ht="18.75" spans="1:2">
      <c r="A31" s="3" t="s">
        <v>861</v>
      </c>
      <c r="B31" t="s">
        <v>862</v>
      </c>
    </row>
    <row r="32" ht="37.5" spans="1:2">
      <c r="A32" s="3" t="s">
        <v>863</v>
      </c>
      <c r="B32" t="s">
        <v>864</v>
      </c>
    </row>
    <row r="33" ht="18.75" spans="1:2">
      <c r="A33" s="3" t="s">
        <v>865</v>
      </c>
      <c r="B33" t="s">
        <v>866</v>
      </c>
    </row>
    <row r="34" ht="18.75" spans="1:2">
      <c r="A34" s="3" t="s">
        <v>867</v>
      </c>
      <c r="B34" t="s">
        <v>868</v>
      </c>
    </row>
    <row r="37" spans="1:1">
      <c r="A37" t="s">
        <v>869</v>
      </c>
    </row>
    <row r="39" spans="1:1">
      <c r="A39" t="s">
        <v>870</v>
      </c>
    </row>
    <row r="41" spans="1:1">
      <c r="A41" t="s">
        <v>871</v>
      </c>
    </row>
    <row r="43" spans="1:1">
      <c r="A43" s="55" t="s">
        <v>872</v>
      </c>
    </row>
    <row r="44" spans="1:1">
      <c r="A44" s="55" t="s">
        <v>873</v>
      </c>
    </row>
    <row r="46" spans="1:1">
      <c r="A46" t="s">
        <v>874</v>
      </c>
    </row>
    <row r="48" spans="1:1">
      <c r="A48" s="55" t="s">
        <v>875</v>
      </c>
    </row>
    <row r="49" spans="1:1">
      <c r="A49" s="55" t="s">
        <v>876</v>
      </c>
    </row>
    <row r="51" spans="1:1">
      <c r="A51" t="s">
        <v>877</v>
      </c>
    </row>
    <row r="53" spans="1:1">
      <c r="A53" s="55" t="s">
        <v>878</v>
      </c>
    </row>
    <row r="55" spans="1:1">
      <c r="A55" t="s">
        <v>879</v>
      </c>
    </row>
    <row r="57" spans="1:1">
      <c r="A57" s="55" t="s">
        <v>880</v>
      </c>
    </row>
    <row r="59" spans="1:1">
      <c r="A59" t="s">
        <v>881</v>
      </c>
    </row>
    <row r="61" spans="1:1">
      <c r="A61" s="55" t="s">
        <v>882</v>
      </c>
    </row>
    <row r="63" spans="1:1">
      <c r="A63" t="s">
        <v>883</v>
      </c>
    </row>
    <row r="65" spans="1:1">
      <c r="A65" t="s">
        <v>884</v>
      </c>
    </row>
    <row r="67" spans="1:1">
      <c r="A67" s="55" t="s">
        <v>885</v>
      </c>
    </row>
    <row r="69" spans="1:1">
      <c r="A69" t="s">
        <v>886</v>
      </c>
    </row>
    <row r="71" spans="1:1">
      <c r="A71" s="55" t="s">
        <v>887</v>
      </c>
    </row>
    <row r="73" spans="1:1">
      <c r="A73" t="s">
        <v>888</v>
      </c>
    </row>
    <row r="74" spans="1:1">
      <c r="A74" t="s">
        <v>889</v>
      </c>
    </row>
    <row r="76" spans="1:1">
      <c r="A76" s="55" t="s">
        <v>890</v>
      </c>
    </row>
    <row r="77" spans="1:1">
      <c r="A77" s="55" t="s">
        <v>891</v>
      </c>
    </row>
    <row r="79" spans="1:1">
      <c r="A79" t="s">
        <v>892</v>
      </c>
    </row>
    <row r="81" spans="1:1">
      <c r="A81" t="s">
        <v>893</v>
      </c>
    </row>
    <row r="83" spans="1:1">
      <c r="A83" s="55" t="s">
        <v>894</v>
      </c>
    </row>
    <row r="85" spans="1:1">
      <c r="A85" t="s">
        <v>895</v>
      </c>
    </row>
    <row r="86" spans="1:1">
      <c r="A86" t="s">
        <v>896</v>
      </c>
    </row>
    <row r="88" spans="1:1">
      <c r="A88" t="s">
        <v>897</v>
      </c>
    </row>
    <row r="90" spans="1:1">
      <c r="A90" t="s">
        <v>898</v>
      </c>
    </row>
    <row r="91" spans="1:1">
      <c r="A91" t="s">
        <v>899</v>
      </c>
    </row>
    <row r="92" spans="1:1">
      <c r="A92" t="s">
        <v>900</v>
      </c>
    </row>
    <row r="93" spans="1:1">
      <c r="A93" t="s">
        <v>901</v>
      </c>
    </row>
    <row r="95" spans="1:1">
      <c r="A95" s="55" t="s">
        <v>902</v>
      </c>
    </row>
    <row r="97" spans="1:1">
      <c r="A97" t="s">
        <v>903</v>
      </c>
    </row>
    <row r="98" spans="1:1">
      <c r="A98" t="s">
        <v>904</v>
      </c>
    </row>
    <row r="100" spans="1:1">
      <c r="A100" t="s">
        <v>905</v>
      </c>
    </row>
    <row r="102" spans="1:1">
      <c r="A102" t="s">
        <v>906</v>
      </c>
    </row>
    <row r="104" spans="1:1">
      <c r="A104" s="55" t="s">
        <v>907</v>
      </c>
    </row>
    <row r="105" spans="1:1">
      <c r="A105" s="55" t="s">
        <v>908</v>
      </c>
    </row>
    <row r="107" spans="1:1">
      <c r="A107" t="s">
        <v>909</v>
      </c>
    </row>
    <row r="109" spans="1:1">
      <c r="A109" s="55" t="s">
        <v>910</v>
      </c>
    </row>
    <row r="110" spans="1:1">
      <c r="A110" s="55" t="s">
        <v>911</v>
      </c>
    </row>
    <row r="112" spans="1:1">
      <c r="A112" t="s">
        <v>912</v>
      </c>
    </row>
    <row r="114" spans="1:1">
      <c r="A114" s="55" t="s">
        <v>913</v>
      </c>
    </row>
    <row r="115" spans="1:1">
      <c r="A115" s="55" t="s">
        <v>914</v>
      </c>
    </row>
    <row r="116" spans="1:1">
      <c r="A116" s="55" t="s">
        <v>915</v>
      </c>
    </row>
    <row r="118" spans="1:1">
      <c r="A118" t="s">
        <v>916</v>
      </c>
    </row>
    <row r="120" spans="1:1">
      <c r="A120" s="55" t="s">
        <v>917</v>
      </c>
    </row>
    <row r="121" spans="1:1">
      <c r="A121" s="55" t="s">
        <v>918</v>
      </c>
    </row>
    <row r="122" spans="1:1">
      <c r="A122" s="55" t="s">
        <v>919</v>
      </c>
    </row>
  </sheetData>
  <hyperlinks>
    <hyperlink ref="A3" r:id="rId1" display="失業 &amp; 就業" tooltip="https://en.macromicro.me/collections/16106/20Charts_344136/81569/Jobs-Payrolls"/>
    <hyperlink ref="A4" r:id="rId2" display="個人財務狀況" tooltip="https://en.macromicro.me/collections/16106/20Charts_344136/81563/US-Personal-Financial-Condition"/>
    <hyperlink ref="A5" r:id="rId3" display="房屋銷售 &amp; 房價" tooltip="https://en.macromicro.me/collections/16106/20Charts_344136/81571/Housing-Market"/>
    <hyperlink ref="A6" r:id="rId4" display="汽車銷售" tooltip="https://en.macromicro.me/collections/16106/20Charts_344136/82473/Vehicle-Sales"/>
    <hyperlink ref="A7" r:id="rId5" display="零售" tooltip="https://en.macromicro.me/collections/16106/20Charts_344136/80948/Retail-Sales"/>
    <hyperlink ref="A12" r:id="rId6" display="建房許可、新開工 &amp; 庫存" tooltip="https://en.macromicro.me/collections/16106/20Charts_344136/82616/Housing-Supply"/>
    <hyperlink ref="A13" r:id="rId7" display="製造業訂單 &amp; 採購" tooltip="https://en.macromicro.me/collections/16106/20Charts_344136/81572/PMI-Durable-Goods"/>
    <hyperlink ref="A14" r:id="rId8" display="每週經濟指數-WEI" tooltip="https://en.macromicro.me/collections/16106/20Charts_344136/80946/WEI-GDP-Growth"/>
    <hyperlink ref="A15" r:id="rId9" display="銅金比&amp; PPI" tooltip="https://en.macromicro.me/collections/16106/20Charts_344136/82607/Copper-Gold-vs-PPI"/>
    <hyperlink ref="A16" r:id="rId10" display="油金比&amp; CPI" tooltip="https://en.macromicro.me/collections/16106/20Charts_344136/82524/Oil-Gold-vs-CPI"/>
    <hyperlink ref="A17" r:id="rId11" display="通貨膨脹 &amp; 貨幣政策預期" tooltip="https://en.macromicro.me/collections/16106/20Charts_344136/80654/Inflation-Monetary-Policy-Expectation"/>
    <hyperlink ref="A22" r:id="rId12" display="市場利率 &amp; 政策利率" tooltip="https://en.macromicro.me/collections/16106/20Charts_344136/81567/US-Rates"/>
    <hyperlink ref="A23" r:id="rId13" display="信用利差" tooltip="https://en.macromicro.me/collections/16106/20Charts_344136/82929/Credit-Spread-VIX-and-SP500"/>
    <hyperlink ref="A28" r:id="rId14" display="個人投資者調查" tooltip="https://en.macromicro.me/collections/16106/20Charts_344136/80901/AAII-Investor-Sentiment-Survey"/>
    <hyperlink ref="A29" r:id="rId15" display="投資經理人調查" tooltip="https://en.macromicro.me/collections/16106/20Charts_344136/80902/NAAIM-Exposure-Index"/>
    <hyperlink ref="A30" r:id="rId16" display="期權市場投資者交易方向" tooltip="https://en.macromicro.me/collections/16106/20Charts_344136/80896/CBOE-Equity-Put-Call-Ratio"/>
    <hyperlink ref="A31" r:id="rId17" display="標普500指數COT指數" tooltip="https://en.macromicro.me/collections/16106/20Charts_344136/80659/S-P-500-Speculation-Positions"/>
    <hyperlink ref="A32" r:id="rId18" display="納斯達克100指數COT指數" tooltip="https://en.macromicro.me/collections/16106/20Charts_344136/80658/Nasdaq-100-Speculation-Positions"/>
    <hyperlink ref="A33" r:id="rId19" display="標普500指數市場寬度" tooltip="https://en.macromicro.me/collections/16106/20Charts_344136/81081/S-P-500-Breadth"/>
    <hyperlink ref="A34" r:id="rId20" display="板塊強度" tooltip="https://en.macromicro.me/collections/16106/20Charts_344136/83459/Sector-Strength"/>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6"/>
  <sheetViews>
    <sheetView workbookViewId="0">
      <selection activeCell="P27" sqref="P27"/>
    </sheetView>
  </sheetViews>
  <sheetFormatPr defaultColWidth="9.14285714285714" defaultRowHeight="12.75"/>
  <sheetData>
    <row r="1" spans="1:1">
      <c r="A1" t="s">
        <v>920</v>
      </c>
    </row>
    <row r="2" spans="1:1">
      <c r="A2" t="s">
        <v>921</v>
      </c>
    </row>
    <row r="4" spans="1:1">
      <c r="A4" t="s">
        <v>922</v>
      </c>
    </row>
    <row r="6" spans="1:1">
      <c r="A6" t="s">
        <v>923</v>
      </c>
    </row>
    <row r="8" spans="1:1">
      <c r="A8" t="s">
        <v>924</v>
      </c>
    </row>
    <row r="10" spans="1:1">
      <c r="A10" t="s">
        <v>925</v>
      </c>
    </row>
    <row r="12" spans="1:1">
      <c r="A12" t="s">
        <v>926</v>
      </c>
    </row>
    <row r="14" spans="1:1">
      <c r="A14" t="s">
        <v>927</v>
      </c>
    </row>
    <row r="16" spans="1:1">
      <c r="A16" t="s">
        <v>928</v>
      </c>
    </row>
    <row r="18" spans="1:1">
      <c r="A18" t="s">
        <v>929</v>
      </c>
    </row>
    <row r="20" spans="1:1">
      <c r="A20" t="s">
        <v>930</v>
      </c>
    </row>
    <row r="22" spans="1:1">
      <c r="A22" t="s">
        <v>931</v>
      </c>
    </row>
    <row r="24" spans="1:1">
      <c r="A24" t="s">
        <v>932</v>
      </c>
    </row>
    <row r="26" spans="1:1">
      <c r="A26" t="s">
        <v>933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6"/>
  <sheetViews>
    <sheetView topLeftCell="A70" workbookViewId="0">
      <selection activeCell="M12" sqref="M12"/>
    </sheetView>
  </sheetViews>
  <sheetFormatPr defaultColWidth="9.14285714285714" defaultRowHeight="12.75"/>
  <sheetData>
    <row r="1" ht="27" spans="1:11">
      <c r="A1" s="4" t="s">
        <v>934</v>
      </c>
      <c r="B1" s="4"/>
      <c r="C1" s="5"/>
      <c r="D1" s="34"/>
      <c r="E1" s="35"/>
      <c r="F1" s="35"/>
      <c r="G1" s="36"/>
      <c r="H1" s="36"/>
      <c r="I1" s="46"/>
      <c r="J1" s="46"/>
      <c r="K1" s="46"/>
    </row>
    <row r="2" ht="25.5" spans="1:11">
      <c r="A2" s="37" t="s">
        <v>935</v>
      </c>
      <c r="B2" s="10" t="s">
        <v>936</v>
      </c>
      <c r="C2" s="38"/>
      <c r="D2" s="38"/>
      <c r="E2" s="39"/>
      <c r="F2" s="39"/>
      <c r="G2" s="40"/>
      <c r="H2" s="40"/>
      <c r="I2" s="46"/>
      <c r="J2" s="46"/>
      <c r="K2" s="46"/>
    </row>
    <row r="3" ht="25.5" spans="1:11">
      <c r="A3" s="14" t="s">
        <v>937</v>
      </c>
      <c r="B3" s="14"/>
      <c r="C3" s="14"/>
      <c r="D3" s="14"/>
      <c r="E3" s="14"/>
      <c r="F3" s="14"/>
      <c r="G3" s="14"/>
      <c r="H3" s="14"/>
      <c r="I3" s="46"/>
      <c r="J3" s="46"/>
      <c r="K3" s="46"/>
    </row>
    <row r="4" spans="1:11">
      <c r="A4" s="15" t="s">
        <v>938</v>
      </c>
      <c r="B4" s="16">
        <f ca="1">TODAY()</f>
        <v>45517</v>
      </c>
      <c r="C4" s="17" t="s">
        <v>939</v>
      </c>
      <c r="D4" s="17" t="s">
        <v>940</v>
      </c>
      <c r="E4" s="18">
        <v>5</v>
      </c>
      <c r="F4" s="18">
        <v>20</v>
      </c>
      <c r="G4" s="41">
        <v>45488</v>
      </c>
      <c r="H4" s="42"/>
      <c r="I4" s="47"/>
      <c r="J4" s="27" t="s">
        <v>941</v>
      </c>
      <c r="K4" s="27" t="s">
        <v>942</v>
      </c>
    </row>
    <row r="5" spans="1:11">
      <c r="A5" s="43" t="s">
        <v>943</v>
      </c>
      <c r="B5" s="44"/>
      <c r="C5" s="44"/>
      <c r="D5" s="44"/>
      <c r="E5" s="45"/>
      <c r="F5" s="45"/>
      <c r="G5" s="45"/>
      <c r="H5" s="45"/>
      <c r="I5" s="45"/>
      <c r="J5" s="45"/>
      <c r="K5" s="45"/>
    </row>
    <row r="6" spans="1:11">
      <c r="A6" s="20" t="s">
        <v>944</v>
      </c>
      <c r="B6" s="22"/>
      <c r="C6" s="21"/>
      <c r="D6" s="21"/>
      <c r="E6" s="31"/>
      <c r="F6" s="31"/>
      <c r="G6" s="31"/>
      <c r="H6" s="31"/>
      <c r="I6" s="10"/>
      <c r="J6" s="10"/>
      <c r="K6" s="10"/>
    </row>
    <row r="7" spans="1:11">
      <c r="A7" s="10" t="s">
        <v>945</v>
      </c>
      <c r="B7" s="22" t="str">
        <f>IFERROR(__xludf.DUMMYFUNCTION("GOOGLEFINANCE(B7,""name"")"),"iShares MSCI ACWI ETF")</f>
        <v>iShares MSCI ACWI ETF</v>
      </c>
      <c r="C7" s="21">
        <f>IFERROR(__xludf.DUMMYFUNCTION("GOOGLEFINANCE(B7)"),110.57)</f>
        <v>110.57</v>
      </c>
      <c r="D7" s="23">
        <f>IFERROR(__xludf.DUMMYFUNCTION("GOOGLEFINANCE(B7,""changepct"")/100"),0.0004)</f>
        <v>0.0004</v>
      </c>
      <c r="E7" s="23">
        <f>IFERROR(__xludf.DUMMYFUNCTION("$D7/(index(GOOGLEFINANCE($B7,""price"",workday(today(),-F$4),today()),2,2))-1"),0.0310518463259976)</f>
        <v>0.0310518463259976</v>
      </c>
      <c r="F7" s="23">
        <f>IFERROR(__xludf.DUMMYFUNCTION("$D7/(index(GOOGLEFINANCE($B7,""price"",workday(today(),-G$4),today()),2,2))-1"),-0.0473851985870595)</f>
        <v>-0.0473851985870595</v>
      </c>
      <c r="G7" s="32">
        <f>IFERROR(__xludf.DUMMYFUNCTION("$D7/(index(GOOGLEFINANCE($B7,""price"",$H$4,today()),2,2))-1"),-0.0473851985870595)</f>
        <v>-0.0473851985870595</v>
      </c>
      <c r="H7" s="31" t="str">
        <f>IFERROR(__xludf.DUMMYFUNCTION("IF(B7="""","""",SPARKLINE(INDEX(GOOGLEFINANCE($B7,""price"",$H$4,today()),,2),{""charttype"",""line""}))"),"")</f>
        <v/>
      </c>
      <c r="I7" s="10" t="str">
        <f>IFERROR(__xludf.DUMMYFUNCTION("IF(B7="""","""",SPARKLINE(INDEX(GOOGLEFINANCE($B7,""volume"",$H$4,today()),,2), {""charttype"",""column"";""color"",""grey"";""highcolor"",""balck"";""lowcolor"",""red""}))"),"")</f>
        <v/>
      </c>
      <c r="J7" s="23">
        <f t="shared" ref="J7:J11" si="0">E7-$F$13</f>
        <v>0.0828183371864845</v>
      </c>
      <c r="K7" s="23">
        <f t="shared" ref="K7:K11" si="1">F7-$G$13</f>
        <v>0.0043812922734274</v>
      </c>
    </row>
    <row r="8" spans="1:11">
      <c r="A8" s="10" t="s">
        <v>946</v>
      </c>
      <c r="B8" s="22" t="str">
        <f>IFERROR(__xludf.DUMMYFUNCTION("GOOGLEFINANCE(B8,""name"")"),"Vanguard Total World Stock Index Fund ETF")</f>
        <v>Vanguard Total World Stock Index Fund ETF</v>
      </c>
      <c r="C8" s="21">
        <f>IFERROR(__xludf.DUMMYFUNCTION("GOOGLEFINANCE(B8)"),110.98)</f>
        <v>110.98</v>
      </c>
      <c r="D8" s="23">
        <f>IFERROR(__xludf.DUMMYFUNCTION("GOOGLEFINANCE(B8,""changepct"")/100"),-0.0004)</f>
        <v>-0.0004</v>
      </c>
      <c r="E8" s="23">
        <f>IFERROR(__xludf.DUMMYFUNCTION("$D8/(index(GOOGLEFINANCE($B8,""price"",workday(today(),-F$4),today()),2,2))-1"),0.0302636464909022)</f>
        <v>0.0302636464909022</v>
      </c>
      <c r="F8" s="23">
        <f>IFERROR(__xludf.DUMMYFUNCTION("$D8/(index(GOOGLEFINANCE($B8,""price"",workday(today(),-G$4),today()),2,2))-1"),-0.0464816564996992)</f>
        <v>-0.0464816564996992</v>
      </c>
      <c r="G8" s="32">
        <f>IFERROR(__xludf.DUMMYFUNCTION("$D8/(index(GOOGLEFINANCE($B8,""price"",$H$4,today()),2,2))-1"),-0.0464816564996992)</f>
        <v>-0.0464816564996992</v>
      </c>
      <c r="H8" s="31" t="str">
        <f>IFERROR(__xludf.DUMMYFUNCTION("IF(B8="""","""",SPARKLINE(INDEX(GOOGLEFINANCE($B8,""price"",$H$4,today()),,2),{""charttype"",""line""}))"),"")</f>
        <v/>
      </c>
      <c r="I8" s="10" t="str">
        <f>IFERROR(__xludf.DUMMYFUNCTION("IF(B8="""","""",SPARKLINE(INDEX(GOOGLEFINANCE($B8,""volume"",$H$4,today()),,2), {""charttype"",""column"";""color"",""grey"";""highcolor"",""balck"";""lowcolor"",""red""}))"),"")</f>
        <v/>
      </c>
      <c r="J8" s="23">
        <f t="shared" si="0"/>
        <v>0.0820301373513891</v>
      </c>
      <c r="K8" s="23">
        <f t="shared" si="1"/>
        <v>0.0052848343607877</v>
      </c>
    </row>
    <row r="9" spans="1:11">
      <c r="A9" s="10" t="s">
        <v>947</v>
      </c>
      <c r="B9" s="22" t="str">
        <f>IFERROR(__xludf.DUMMYFUNCTION("GOOGLEFINANCE(B9,""name"")"),"iShares MSCI ACWI ex US ETF")</f>
        <v>iShares MSCI ACWI ex US ETF</v>
      </c>
      <c r="C9" s="21">
        <f>IFERROR(__xludf.DUMMYFUNCTION("GOOGLEFINANCE(B9)"),52.67)</f>
        <v>52.67</v>
      </c>
      <c r="D9" s="23">
        <f>IFERROR(__xludf.DUMMYFUNCTION("GOOGLEFINANCE(B9,""changepct"")/100"),0.0008)</f>
        <v>0.0008</v>
      </c>
      <c r="E9" s="23">
        <f>IFERROR(__xludf.DUMMYFUNCTION("$D9/(index(GOOGLEFINANCE($B9,""price"",workday(today(),-F$4),today()),2,2))-1"),0.0329476367915277)</f>
        <v>0.0329476367915277</v>
      </c>
      <c r="F9" s="23">
        <f>IFERROR(__xludf.DUMMYFUNCTION("$D9/(index(GOOGLEFINANCE($B9,""price"",workday(today(),-G$4),today()),2,2))-1"),-0.0409686817188638)</f>
        <v>-0.0409686817188638</v>
      </c>
      <c r="G9" s="32">
        <f>IFERROR(__xludf.DUMMYFUNCTION("$D9/(index(GOOGLEFINANCE($B9,""price"",$H$4,today()),2,2))-1"),-0.0409686817188638)</f>
        <v>-0.0409686817188638</v>
      </c>
      <c r="H9" s="31" t="str">
        <f>IFERROR(__xludf.DUMMYFUNCTION("IF(B9="""","""",SPARKLINE(INDEX(GOOGLEFINANCE($B9,""price"",$H$4,today()),,2),{""charttype"",""line""}))"),"")</f>
        <v/>
      </c>
      <c r="I9" s="10" t="str">
        <f>IFERROR(__xludf.DUMMYFUNCTION("IF(B9="""","""",SPARKLINE(INDEX(GOOGLEFINANCE($B9,""volume"",$H$4,today()),,2), {""charttype"",""column"";""color"",""grey"";""highcolor"",""balck"";""lowcolor"",""red""}))"),"")</f>
        <v/>
      </c>
      <c r="J9" s="23">
        <f t="shared" si="0"/>
        <v>0.0847141276520146</v>
      </c>
      <c r="K9" s="23">
        <f t="shared" si="1"/>
        <v>0.0107978091416231</v>
      </c>
    </row>
    <row r="10" spans="1:11">
      <c r="A10" s="10" t="s">
        <v>948</v>
      </c>
      <c r="B10" s="22" t="str">
        <f>IFERROR(__xludf.DUMMYFUNCTION("GOOGLEFINANCE(B10,""name"")"),"Global X US Dollar Currency ETF")</f>
        <v>Global X US Dollar Currency ETF</v>
      </c>
      <c r="C10" s="21">
        <f>IFERROR(__xludf.DUMMYFUNCTION("GOOGLEFINANCE(B10)"),14.01)</f>
        <v>14.01</v>
      </c>
      <c r="D10" s="23">
        <f>IFERROR(__xludf.DUMMYFUNCTION("GOOGLEFINANCE(B10,""changepct"")/100"),0.0007)</f>
        <v>0.0007</v>
      </c>
      <c r="E10" s="23">
        <f>IFERROR(__xludf.DUMMYFUNCTION("$D10/(index(GOOGLEFINANCE($B10,""price"",workday(today(),-F$4),today()),2,2))-1"),-0.00213675213675212)</f>
        <v>-0.00213675213675212</v>
      </c>
      <c r="F10" s="23">
        <f>IFERROR(__xludf.DUMMYFUNCTION("$D10/(index(GOOGLEFINANCE($B10,""price"",workday(today(),-G$4),today()),2,2))-1"),0.0079136690647481)</f>
        <v>0.0079136690647481</v>
      </c>
      <c r="G10" s="32">
        <f>IFERROR(__xludf.DUMMYFUNCTION("$D10/(index(GOOGLEFINANCE($B10,""price"",$H$4,today()),2,2))-1"),0.0079136690647481)</f>
        <v>0.0079136690647481</v>
      </c>
      <c r="H10" s="31" t="str">
        <f>IFERROR(__xludf.DUMMYFUNCTION("IF(B10="""","""",SPARKLINE(INDEX(GOOGLEFINANCE($B10,""price"",$H$4,today()),,2),{""charttype"",""line""}))"),"")</f>
        <v/>
      </c>
      <c r="I10" s="10" t="str">
        <f>IFERROR(__xludf.DUMMYFUNCTION("IF(B10="""","""",SPARKLINE(INDEX(GOOGLEFINANCE($B10,""volume"",$H$4,today()),,2), {""charttype"",""column"";""color"",""grey"";""highcolor"",""balck"";""lowcolor"",""red""}))"),"")</f>
        <v/>
      </c>
      <c r="J10" s="23">
        <f t="shared" si="0"/>
        <v>0.0496297387237348</v>
      </c>
      <c r="K10" s="23">
        <f t="shared" si="1"/>
        <v>0.059680159925235</v>
      </c>
    </row>
    <row r="11" spans="1:11">
      <c r="A11" s="10" t="s">
        <v>949</v>
      </c>
      <c r="B11" s="22" t="str">
        <f>IFERROR(__xludf.DUMMYFUNCTION("GOOGLEFINANCE(B11,""name"")"),"Global X SuperDividend Etf")</f>
        <v>Global X SuperDividend Etf</v>
      </c>
      <c r="C11" s="21">
        <f>IFERROR(__xludf.DUMMYFUNCTION("GOOGLEFINANCE(B11)"),21.63)</f>
        <v>21.63</v>
      </c>
      <c r="D11" s="23">
        <f>IFERROR(__xludf.DUMMYFUNCTION("GOOGLEFINANCE(B11,""changepct"")/100"),-0.006)</f>
        <v>-0.006</v>
      </c>
      <c r="E11" s="23">
        <f>IFERROR(__xludf.DUMMYFUNCTION("$D11/(index(GOOGLEFINANCE($B11,""price"",workday(today(),-F$4),today()),2,2))-1"),0.0275534441805225)</f>
        <v>0.0275534441805225</v>
      </c>
      <c r="F11" s="23">
        <f>IFERROR(__xludf.DUMMYFUNCTION("$D11/(index(GOOGLEFINANCE($B11,""price"",workday(today(),-G$4),today()),2,2))-1"),-0.0437665782493369)</f>
        <v>-0.0437665782493369</v>
      </c>
      <c r="G11" s="32">
        <f>IFERROR(__xludf.DUMMYFUNCTION("$D11/(index(GOOGLEFINANCE($B11,""price"",$H$4,today()),2,2))-1"),-0.0437665782493369)</f>
        <v>-0.0437665782493369</v>
      </c>
      <c r="H11" s="31" t="str">
        <f>IFERROR(__xludf.DUMMYFUNCTION("IF(B11="""","""",SPARKLINE(INDEX(GOOGLEFINANCE($B11,""price"",$H$4,today()),,2),{""charttype"",""line""}))"),"")</f>
        <v/>
      </c>
      <c r="I11" s="10" t="str">
        <f>IFERROR(__xludf.DUMMYFUNCTION("IF(B11="""","""",SPARKLINE(INDEX(GOOGLEFINANCE($B11,""volume"",$H$4,today()),,2), {""charttype"",""column"";""color"",""grey"";""highcolor"",""balck"";""lowcolor"",""red""}))"),"")</f>
        <v/>
      </c>
      <c r="J11" s="23">
        <f t="shared" si="0"/>
        <v>0.0793199350410094</v>
      </c>
      <c r="K11" s="23">
        <f t="shared" si="1"/>
        <v>0.00799991261115</v>
      </c>
    </row>
    <row r="12" spans="1:11">
      <c r="A12" s="20" t="s">
        <v>950</v>
      </c>
      <c r="B12" s="22"/>
      <c r="C12" s="21"/>
      <c r="D12" s="23"/>
      <c r="E12" s="23"/>
      <c r="F12" s="23"/>
      <c r="G12" s="32"/>
      <c r="H12" s="31"/>
      <c r="I12" s="10"/>
      <c r="J12" s="10"/>
      <c r="K12" s="10"/>
    </row>
    <row r="13" spans="1:11">
      <c r="A13" s="10" t="s">
        <v>951</v>
      </c>
      <c r="B13" s="22" t="str">
        <f>IFERROR(__xludf.DUMMYFUNCTION("GOOGLEFINANCE(B13,""name"")"),"Vanguard Total Stock Market Index Fund ETF")</f>
        <v>Vanguard Total Stock Market Index Fund ETF</v>
      </c>
      <c r="C13" s="21">
        <f>IFERROR(__xludf.DUMMYFUNCTION("GOOGLEFINANCE(B13)"),262.49)</f>
        <v>262.49</v>
      </c>
      <c r="D13" s="23">
        <f>IFERROR(__xludf.DUMMYFUNCTION("GOOGLEFINANCE(B13,""changepct"")/100"),-0.0016)</f>
        <v>-0.0016</v>
      </c>
      <c r="E13" s="23">
        <f>IFERROR(__xludf.DUMMYFUNCTION("$D13/(index(GOOGLEFINANCE($B13,""price"",workday(today(),-F$4),today()),2,2))-1"),0.0286464456462105)</f>
        <v>0.0286464456462105</v>
      </c>
      <c r="F13" s="23">
        <f>IFERROR(__xludf.DUMMYFUNCTION("$D13/(index(GOOGLEFINANCE($B13,""price"",workday(today(),-G$4),today()),2,2))-1"),-0.0517664908604869)</f>
        <v>-0.0517664908604869</v>
      </c>
      <c r="G13" s="32">
        <f>IFERROR(__xludf.DUMMYFUNCTION("$D13/(index(GOOGLEFINANCE($B13,""price"",$H$4,today()),2,2))-1"),-0.0517664908604869)</f>
        <v>-0.0517664908604869</v>
      </c>
      <c r="H13" s="31" t="str">
        <f>IFERROR(__xludf.DUMMYFUNCTION("IF(B13="""","""",SPARKLINE(INDEX(GOOGLEFINANCE($B13,""price"",$H$4,today()),,2),{""charttype"",""line""}))"),"")</f>
        <v/>
      </c>
      <c r="I13" s="10" t="str">
        <f>IFERROR(__xludf.DUMMYFUNCTION("IF(B13="""","""",SPARKLINE(INDEX(GOOGLEFINANCE($B13,""volume"",$H$4,today()),,2), {""charttype"",""column"";""color"",""grey"";""highcolor"",""balck"";""lowcolor"",""red""}))"),"")</f>
        <v/>
      </c>
      <c r="J13" s="23">
        <f t="shared" ref="J13:J20" si="2">E13-$F$13</f>
        <v>0.0804129365066974</v>
      </c>
      <c r="K13" s="23">
        <f t="shared" ref="K13:K20" si="3">F13-$G$13</f>
        <v>0</v>
      </c>
    </row>
    <row r="14" spans="1:11">
      <c r="A14" s="10" t="s">
        <v>952</v>
      </c>
      <c r="B14" s="22" t="str">
        <f>IFERROR(__xludf.DUMMYFUNCTION("GOOGLEFINANCE(B14,""name"")"),"SPDR S&amp;P 500 ETF Trust")</f>
        <v>SPDR S&amp;P 500 ETF Trust</v>
      </c>
      <c r="C14" s="21">
        <f>IFERROR(__xludf.DUMMYFUNCTION("GOOGLEFINANCE(B14)"),532.83)</f>
        <v>532.83</v>
      </c>
      <c r="D14" s="23">
        <f>IFERROR(__xludf.DUMMYFUNCTION("GOOGLEFINANCE(B14,""changepct"")/100"),-0.0003)</f>
        <v>-0.0003</v>
      </c>
      <c r="E14" s="23">
        <f>IFERROR(__xludf.DUMMYFUNCTION("$D14/(index(GOOGLEFINANCE($B14,""price"",workday(today(),-F$4),today()),2,2))-1"),0.0298619969848081)</f>
        <v>0.0298619969848081</v>
      </c>
      <c r="F14" s="23">
        <f>IFERROR(__xludf.DUMMYFUNCTION("$D14/(index(GOOGLEFINANCE($B14,""price"",workday(today(),-G$4),today()),2,2))-1"),-0.0511103591971933)</f>
        <v>-0.0511103591971933</v>
      </c>
      <c r="G14" s="32">
        <f>IFERROR(__xludf.DUMMYFUNCTION("$D14/(index(GOOGLEFINANCE($B14,""price"",$H$4,today()),2,2))-1"),-0.0511103591971933)</f>
        <v>-0.0511103591971933</v>
      </c>
      <c r="H14" s="31" t="str">
        <f>IFERROR(__xludf.DUMMYFUNCTION("IF(B14="""","""",SPARKLINE(INDEX(GOOGLEFINANCE($B14,""price"",$H$4,today()),,2),{""charttype"",""line""}))"),"")</f>
        <v/>
      </c>
      <c r="I14" s="10" t="str">
        <f>IFERROR(__xludf.DUMMYFUNCTION("IF(B14="""","""",SPARKLINE(INDEX(GOOGLEFINANCE($B14,""volume"",$H$4,today()),,2), {""charttype"",""column"";""color"",""grey"";""highcolor"",""balck"";""lowcolor"",""red""}))"),"")</f>
        <v/>
      </c>
      <c r="J14" s="23">
        <f t="shared" si="2"/>
        <v>0.081628487845295</v>
      </c>
      <c r="K14" s="23">
        <f t="shared" si="3"/>
        <v>0.000656131663293605</v>
      </c>
    </row>
    <row r="15" spans="1:11">
      <c r="A15" s="10" t="s">
        <v>953</v>
      </c>
      <c r="B15" s="22" t="str">
        <f>IFERROR(__xludf.DUMMYFUNCTION("GOOGLEFINANCE(B15,""name"")"),"Invesco QQQ Trust, Series 1")</f>
        <v>Invesco QQQ Trust, Series 1</v>
      </c>
      <c r="C15" s="21">
        <f>IFERROR(__xludf.DUMMYFUNCTION("GOOGLEFINANCE(B15)"),451.15)</f>
        <v>451.15</v>
      </c>
      <c r="D15" s="23">
        <f>IFERROR(__xludf.DUMMYFUNCTION("GOOGLEFINANCE(B15,""changepct"")/100"),0.0016)</f>
        <v>0.0016</v>
      </c>
      <c r="E15" s="23">
        <f>IFERROR(__xludf.DUMMYFUNCTION("$D15/(index(GOOGLEFINANCE($B15,""price"",workday(today(),-F$4),today()),2,2))-1"),0.0362450329604704)</f>
        <v>0.0362450329604704</v>
      </c>
      <c r="F15" s="23">
        <f>IFERROR(__xludf.DUMMYFUNCTION("$D15/(index(GOOGLEFINANCE($B15,""price"",workday(today(),-G$4),today()),2,2))-1"),-0.0906983775068024)</f>
        <v>-0.0906983775068024</v>
      </c>
      <c r="G15" s="32">
        <f>IFERROR(__xludf.DUMMYFUNCTION("$D15/(index(GOOGLEFINANCE($B15,""price"",$H$4,today()),2,2))-1"),-0.0906983775068024)</f>
        <v>-0.0906983775068024</v>
      </c>
      <c r="H15" s="31" t="str">
        <f>IFERROR(__xludf.DUMMYFUNCTION("IF(B15="""","""",SPARKLINE(INDEX(GOOGLEFINANCE($B15,""price"",$H$4,today()),,2),{""charttype"",""line""}))"),"")</f>
        <v/>
      </c>
      <c r="I15" s="10" t="str">
        <f>IFERROR(__xludf.DUMMYFUNCTION("IF(B15="""","""",SPARKLINE(INDEX(GOOGLEFINANCE($B15,""volume"",$H$4,today()),,2), {""charttype"",""column"";""color"",""grey"";""highcolor"",""balck"";""lowcolor"",""red""}))"),"")</f>
        <v/>
      </c>
      <c r="J15" s="23">
        <f t="shared" si="2"/>
        <v>0.0880115238209573</v>
      </c>
      <c r="K15" s="23">
        <f t="shared" si="3"/>
        <v>-0.0389318866463155</v>
      </c>
    </row>
    <row r="16" spans="1:11">
      <c r="A16" s="10" t="s">
        <v>954</v>
      </c>
      <c r="B16" s="22" t="str">
        <f>IFERROR(__xludf.DUMMYFUNCTION("GOOGLEFINANCE(B16,""name"")"),"BMO NASDAQ 100 Equity Hedged to CAD Index ETF")</f>
        <v>BMO NASDAQ 100 Equity Hedged to CAD Index ETF</v>
      </c>
      <c r="C16" s="21">
        <f>IFERROR(__xludf.DUMMYFUNCTION("GOOGLEFINANCE(B16)"),129.84)</f>
        <v>129.84</v>
      </c>
      <c r="D16" s="23">
        <f>IFERROR(__xludf.DUMMYFUNCTION("GOOGLEFINANCE(B16,""changepct"")/100"),-0.0003)</f>
        <v>-0.0003</v>
      </c>
      <c r="E16" s="23">
        <f>IFERROR(__xludf.DUMMYFUNCTION("$D16/(index(GOOGLEFINANCE($B16,""price"",workday(today(),-F$4),today()),2,2))-1"),0.0241362991008045)</f>
        <v>0.0241362991008045</v>
      </c>
      <c r="F16" s="23">
        <f>IFERROR(__xludf.DUMMYFUNCTION("$D16/(index(GOOGLEFINANCE($B16,""price"",workday(today(),-G$4),today()),2,2))-1"),-0.0910745537276863)</f>
        <v>-0.0910745537276863</v>
      </c>
      <c r="G16" s="32">
        <f>IFERROR(__xludf.DUMMYFUNCTION("$D16/(index(GOOGLEFINANCE($B16,""price"",$H$4,today()),2,2))-1"),-0.0910745537276863)</f>
        <v>-0.0910745537276863</v>
      </c>
      <c r="H16" s="31" t="str">
        <f>IFERROR(__xludf.DUMMYFUNCTION("IF(B16="""","""",SPARKLINE(INDEX(GOOGLEFINANCE($B16,""price"",$H$4,today()),,2),{""charttype"",""line""}))"),"")</f>
        <v/>
      </c>
      <c r="I16" s="10" t="str">
        <f>IFERROR(__xludf.DUMMYFUNCTION("IF(B16="""","""",SPARKLINE(INDEX(GOOGLEFINANCE($B16,""volume"",$H$4,today()),,2), {""charttype"",""column"";""color"",""grey"";""highcolor"",""balck"";""lowcolor"",""red""}))"),"")</f>
        <v/>
      </c>
      <c r="J16" s="23">
        <f t="shared" si="2"/>
        <v>0.0759027899612914</v>
      </c>
      <c r="K16" s="23">
        <f t="shared" si="3"/>
        <v>-0.0393080628671994</v>
      </c>
    </row>
    <row r="17" spans="1:11">
      <c r="A17" s="10" t="s">
        <v>955</v>
      </c>
      <c r="B17" s="22" t="str">
        <f>IFERROR(__xludf.DUMMYFUNCTION("GOOGLEFINANCE(B17,""name"")"),"Vanguard S&amp;P 500 Index ETF")</f>
        <v>Vanguard S&amp;P 500 Index ETF</v>
      </c>
      <c r="C17" s="21">
        <f>IFERROR(__xludf.DUMMYFUNCTION("GOOGLEFINANCE(B17)"),130.25)</f>
        <v>130.25</v>
      </c>
      <c r="D17" s="23">
        <f>IFERROR(__xludf.DUMMYFUNCTION("GOOGLEFINANCE(B17,""changepct"")/100"),0.0002)</f>
        <v>0.0002</v>
      </c>
      <c r="E17" s="23">
        <f>IFERROR(__xludf.DUMMYFUNCTION("$D17/(index(GOOGLEFINANCE($B17,""price"",workday(today(),-F$4),today()),2,2))-1"),0.0167837626854021)</f>
        <v>0.0167837626854021</v>
      </c>
      <c r="F17" s="23">
        <f>IFERROR(__xludf.DUMMYFUNCTION("$D17/(index(GOOGLEFINANCE($B17,""price"",workday(today(),-G$4),today()),2,2))-1"),-0.0460670865680385)</f>
        <v>-0.0460670865680385</v>
      </c>
      <c r="G17" s="32">
        <f>IFERROR(__xludf.DUMMYFUNCTION("$D17/(index(GOOGLEFINANCE($B17,""price"",$H$4,today()),2,2))-1"),-0.0460670865680385)</f>
        <v>-0.0460670865680385</v>
      </c>
      <c r="H17" s="31" t="str">
        <f>IFERROR(__xludf.DUMMYFUNCTION("IF(B17="""","""",SPARKLINE(INDEX(GOOGLEFINANCE($B17,""price"",$H$4,today()),,2),{""charttype"",""line""}))"),"")</f>
        <v/>
      </c>
      <c r="I17" s="10" t="str">
        <f>IFERROR(__xludf.DUMMYFUNCTION("IF(B17="""","""",SPARKLINE(INDEX(GOOGLEFINANCE($B17,""volume"",$H$4,today()),,2), {""charttype"",""column"";""color"",""grey"";""highcolor"",""balck"";""lowcolor"",""red""}))"),"")</f>
        <v/>
      </c>
      <c r="J17" s="23">
        <f t="shared" si="2"/>
        <v>0.068550253545889</v>
      </c>
      <c r="K17" s="23">
        <f t="shared" si="3"/>
        <v>0.0056994042924484</v>
      </c>
    </row>
    <row r="18" spans="1:11">
      <c r="A18" s="10" t="s">
        <v>956</v>
      </c>
      <c r="B18" s="22" t="str">
        <f>IFERROR(__xludf.DUMMYFUNCTION("GOOGLEFINANCE(B18,""name"")"),"BMO S&amp;P 500 Index ETF")</f>
        <v>BMO S&amp;P 500 Index ETF</v>
      </c>
      <c r="C18" s="21">
        <f>IFERROR(__xludf.DUMMYFUNCTION("GOOGLEFINANCE(B18)"),80.24)</f>
        <v>80.24</v>
      </c>
      <c r="D18" s="23">
        <f>IFERROR(__xludf.DUMMYFUNCTION("GOOGLEFINANCE(B18,""changepct"")/100"),0.0001)</f>
        <v>0.0001</v>
      </c>
      <c r="E18" s="23">
        <f>IFERROR(__xludf.DUMMYFUNCTION("$D18/(index(GOOGLEFINANCE($B18,""price"",workday(today(),-F$4),today()),2,2))-1"),0.0178865913992134)</f>
        <v>0.0178865913992134</v>
      </c>
      <c r="F18" s="23">
        <f>IFERROR(__xludf.DUMMYFUNCTION("$D18/(index(GOOGLEFINANCE($B18,""price"",workday(today(),-G$4),today()),2,2))-1"),-0.0460111758411604)</f>
        <v>-0.0460111758411604</v>
      </c>
      <c r="G18" s="32">
        <f>IFERROR(__xludf.DUMMYFUNCTION("$D18/(index(GOOGLEFINANCE($B18,""price"",$H$4,today()),2,2))-1"),-0.0460111758411604)</f>
        <v>-0.0460111758411604</v>
      </c>
      <c r="H18" s="31" t="str">
        <f>IFERROR(__xludf.DUMMYFUNCTION("IF(B18="""","""",SPARKLINE(INDEX(GOOGLEFINANCE($B18,""price"",$H$4,today()),,2),{""charttype"",""line""}))"),"")</f>
        <v/>
      </c>
      <c r="I18" s="10" t="str">
        <f>IFERROR(__xludf.DUMMYFUNCTION("IF(B18="""","""",SPARKLINE(INDEX(GOOGLEFINANCE($B18,""volume"",$H$4,today()),,2), {""charttype"",""column"";""color"",""grey"";""highcolor"",""balck"";""lowcolor"",""red""}))"),"")</f>
        <v/>
      </c>
      <c r="J18" s="23">
        <f t="shared" si="2"/>
        <v>0.0696530822597003</v>
      </c>
      <c r="K18" s="23">
        <f t="shared" si="3"/>
        <v>0.0057553150193265</v>
      </c>
    </row>
    <row r="19" spans="1:11">
      <c r="A19" s="10" t="s">
        <v>957</v>
      </c>
      <c r="B19" s="22" t="str">
        <f>IFERROR(__xludf.DUMMYFUNCTION("GOOGLEFINANCE(B19,""name"")"),"iShares Core S&amp;P 500 Index ETF (CAD-Hedged)")</f>
        <v>iShares Core S&amp;P 500 Index ETF (CAD-Hedged)</v>
      </c>
      <c r="C19" s="21">
        <f>IFERROR(__xludf.DUMMYFUNCTION("GOOGLEFINANCE(B19)"),55.83)</f>
        <v>55.83</v>
      </c>
      <c r="D19" s="23">
        <f>IFERROR(__xludf.DUMMYFUNCTION("GOOGLEFINANCE(B19,""changepct"")/100"),-0.0011)</f>
        <v>-0.0011</v>
      </c>
      <c r="E19" s="23">
        <f>IFERROR(__xludf.DUMMYFUNCTION("$D19/(index(GOOGLEFINANCE($B19,""price"",workday(today(),-F$4),today()),2,2))-1"),0.0195398100803505)</f>
        <v>0.0195398100803505</v>
      </c>
      <c r="F19" s="23">
        <f>IFERROR(__xludf.DUMMYFUNCTION("$D19/(index(GOOGLEFINANCE($B19,""price"",workday(today(),-G$4),today()),2,2))-1"),-0.0518002717391304)</f>
        <v>-0.0518002717391304</v>
      </c>
      <c r="G19" s="32">
        <f>IFERROR(__xludf.DUMMYFUNCTION("$D19/(index(GOOGLEFINANCE($B19,""price"",$H$4,today()),2,2))-1"),-0.0518002717391304)</f>
        <v>-0.0518002717391304</v>
      </c>
      <c r="H19" s="31" t="str">
        <f>IFERROR(__xludf.DUMMYFUNCTION("IF(B19="""","""",SPARKLINE(INDEX(GOOGLEFINANCE($B19,""price"",$H$4,today()),,2),{""charttype"",""line""}))"),"")</f>
        <v/>
      </c>
      <c r="I19" s="10" t="str">
        <f>IFERROR(__xludf.DUMMYFUNCTION("IF(B19="""","""",SPARKLINE(INDEX(GOOGLEFINANCE($B19,""volume"",$H$4,today()),,2), {""charttype"",""column"";""color"",""grey"";""highcolor"",""balck"";""lowcolor"",""red""}))"),"")</f>
        <v/>
      </c>
      <c r="J19" s="23">
        <f t="shared" si="2"/>
        <v>0.0713063009408374</v>
      </c>
      <c r="K19" s="23">
        <f t="shared" si="3"/>
        <v>-3.37808786434954e-5</v>
      </c>
    </row>
    <row r="20" spans="1:11">
      <c r="A20" s="10" t="s">
        <v>958</v>
      </c>
      <c r="B20" s="22" t="str">
        <f>IFERROR(__xludf.DUMMYFUNCTION("GOOGLEFINANCE(B20,""name"")"),"iShares Core S&amp;P 500 Index ETF")</f>
        <v>iShares Core S&amp;P 500 Index ETF</v>
      </c>
      <c r="C20" s="21">
        <f>IFERROR(__xludf.DUMMYFUNCTION("GOOGLEFINANCE(B20)"),45.49)</f>
        <v>45.49</v>
      </c>
      <c r="D20" s="23">
        <f>IFERROR(__xludf.DUMMYFUNCTION("GOOGLEFINANCE(B20,""changepct"")/100"),-0.0004)</f>
        <v>-0.0004</v>
      </c>
      <c r="E20" s="23">
        <f>IFERROR(__xludf.DUMMYFUNCTION("$D20/(index(GOOGLEFINANCE($B20,""price"",workday(today(),-F$4),today()),2,2))-1"),0.0169908338922424)</f>
        <v>0.0169908338922424</v>
      </c>
      <c r="F20" s="23">
        <f>IFERROR(__xludf.DUMMYFUNCTION("$D20/(index(GOOGLEFINANCE($B20,""price"",workday(today(),-G$4),today()),2,2))-1"),-0.0463312368972747)</f>
        <v>-0.0463312368972747</v>
      </c>
      <c r="G20" s="32">
        <f>IFERROR(__xludf.DUMMYFUNCTION("$D20/(index(GOOGLEFINANCE($B20,""price"",$H$4,today()),2,2))-1"),-0.0463312368972747)</f>
        <v>-0.0463312368972747</v>
      </c>
      <c r="H20" s="31" t="str">
        <f>IFERROR(__xludf.DUMMYFUNCTION("IF(B20="""","""",SPARKLINE(INDEX(GOOGLEFINANCE($B20,""price"",$H$4,today()),,2),{""charttype"",""line""}))"),"")</f>
        <v/>
      </c>
      <c r="I20" s="10" t="str">
        <f>IFERROR(__xludf.DUMMYFUNCTION("IF(B20="""","""",SPARKLINE(INDEX(GOOGLEFINANCE($B20,""volume"",$H$4,today()),,2), {""charttype"",""column"";""color"",""grey"";""highcolor"",""balck"";""lowcolor"",""red""}))"),"")</f>
        <v/>
      </c>
      <c r="J20" s="23">
        <f t="shared" si="2"/>
        <v>0.0687573247527293</v>
      </c>
      <c r="K20" s="23">
        <f t="shared" si="3"/>
        <v>0.00543525396321221</v>
      </c>
    </row>
    <row r="21" spans="1:11">
      <c r="A21" s="20" t="s">
        <v>959</v>
      </c>
      <c r="B21" s="22"/>
      <c r="C21" s="21"/>
      <c r="D21" s="23"/>
      <c r="E21" s="23"/>
      <c r="F21" s="23"/>
      <c r="G21" s="32"/>
      <c r="H21" s="31"/>
      <c r="I21" s="10"/>
      <c r="J21" s="10"/>
      <c r="K21" s="10"/>
    </row>
    <row r="22" spans="1:11">
      <c r="A22" s="10" t="s">
        <v>960</v>
      </c>
      <c r="B22" s="22" t="str">
        <f>IFERROR(__xludf.DUMMYFUNCTION("GOOGLEFINANCE(B22,""name"")"),"iShares S&amp;P/TSX 60 Index ETF")</f>
        <v>iShares S&amp;P/TSX 60 Index ETF</v>
      </c>
      <c r="C22" s="21">
        <f>IFERROR(__xludf.DUMMYFUNCTION("GOOGLEFINANCE(B22)"),34.09)</f>
        <v>34.09</v>
      </c>
      <c r="D22" s="23">
        <f>IFERROR(__xludf.DUMMYFUNCTION("GOOGLEFINANCE(B22,""changepct"")/100"),0.0032)</f>
        <v>0.0032</v>
      </c>
      <c r="E22" s="23">
        <f>IFERROR(__xludf.DUMMYFUNCTION("$D22/(index(GOOGLEFINANCE($B22,""price"",workday(today(),-F$4),today()),2,2))-1"),0.0218824940047963)</f>
        <v>0.0218824940047963</v>
      </c>
      <c r="F22" s="23">
        <f>IFERROR(__xludf.DUMMYFUNCTION("$D22/(index(GOOGLEFINANCE($B22,""price"",workday(today(),-G$4),today()),2,2))-1"),-0.00814663951120142)</f>
        <v>-0.00814663951120142</v>
      </c>
      <c r="G22" s="32">
        <f>IFERROR(__xludf.DUMMYFUNCTION("$D22/(index(GOOGLEFINANCE($B22,""price"",$H$4,today()),2,2))-1"),-0.00814663951120142)</f>
        <v>-0.00814663951120142</v>
      </c>
      <c r="H22" s="31" t="str">
        <f>IFERROR(__xludf.DUMMYFUNCTION("IF(B22="""","""",SPARKLINE(INDEX(GOOGLEFINANCE($B22,""price"",$H$4,today()),,2),{""charttype"",""line""}))"),"")</f>
        <v/>
      </c>
      <c r="I22" s="10" t="str">
        <f>IFERROR(__xludf.DUMMYFUNCTION("IF(B22="""","""",SPARKLINE(INDEX(GOOGLEFINANCE($B22,""volume"",$H$4,today()),,2), {""charttype"",""column"";""color"",""grey"";""highcolor"",""balck"";""lowcolor"",""red""}))"),"")</f>
        <v/>
      </c>
      <c r="J22" s="23">
        <f t="shared" ref="J22:J39" si="4">E22-$F$13</f>
        <v>0.0736489848652832</v>
      </c>
      <c r="K22" s="23">
        <f t="shared" ref="K22:K39" si="5">F22-$G$13</f>
        <v>0.0436198513492855</v>
      </c>
    </row>
    <row r="23" spans="1:11">
      <c r="A23" s="10" t="s">
        <v>961</v>
      </c>
      <c r="B23" s="22" t="str">
        <f>IFERROR(__xludf.DUMMYFUNCTION("GOOGLEFINANCE(B23,""name"")"),"Vanguard FTSE Canada All Cap Index ETF")</f>
        <v>Vanguard FTSE Canada All Cap Index ETF</v>
      </c>
      <c r="C23" s="21">
        <f>IFERROR(__xludf.DUMMYFUNCTION("GOOGLEFINANCE(B23)"),45.69)</f>
        <v>45.69</v>
      </c>
      <c r="D23" s="23">
        <f>IFERROR(__xludf.DUMMYFUNCTION("GOOGLEFINANCE(B23,""changepct"")/100"),0.0044)</f>
        <v>0.0044</v>
      </c>
      <c r="E23" s="23">
        <f>IFERROR(__xludf.DUMMYFUNCTION("$D23/(index(GOOGLEFINANCE($B23,""price"",workday(today(),-F$4),today()),2,2))-1"),0.0198660714285714)</f>
        <v>0.0198660714285714</v>
      </c>
      <c r="F23" s="23">
        <f>IFERROR(__xludf.DUMMYFUNCTION("$D23/(index(GOOGLEFINANCE($B23,""price"",workday(today(),-G$4),today()),2,2))-1"),-0.0136010362694301)</f>
        <v>-0.0136010362694301</v>
      </c>
      <c r="G23" s="32">
        <f>IFERROR(__xludf.DUMMYFUNCTION("$D23/(index(GOOGLEFINANCE($B23,""price"",$H$4,today()),2,2))-1"),-0.0136010362694301)</f>
        <v>-0.0136010362694301</v>
      </c>
      <c r="H23" s="31" t="str">
        <f>IFERROR(__xludf.DUMMYFUNCTION("IF(B23="""","""",SPARKLINE(INDEX(GOOGLEFINANCE($B23,""price"",$H$4,today()),,2),{""charttype"",""line""}))"),"")</f>
        <v/>
      </c>
      <c r="I23" s="10" t="str">
        <f>IFERROR(__xludf.DUMMYFUNCTION("IF(B23="""","""",SPARKLINE(INDEX(GOOGLEFINANCE($B23,""volume"",$H$4,today()),,2), {""charttype"",""column"";""color"",""grey"";""highcolor"",""balck"";""lowcolor"",""red""}))"),"")</f>
        <v/>
      </c>
      <c r="J23" s="23">
        <f t="shared" si="4"/>
        <v>0.0716325622890583</v>
      </c>
      <c r="K23" s="23">
        <f t="shared" si="5"/>
        <v>0.0381654545910568</v>
      </c>
    </row>
    <row r="24" spans="1:11">
      <c r="A24" s="10" t="s">
        <v>962</v>
      </c>
      <c r="B24" s="22" t="str">
        <f>IFERROR(__xludf.DUMMYFUNCTION("GOOGLEFINANCE(B24,""name"")"),"iShares Core S&amp;P/TSX Capped Composite Index ETF")</f>
        <v>iShares Core S&amp;P/TSX Capped Composite Index ETF</v>
      </c>
      <c r="C24" s="21">
        <f>IFERROR(__xludf.DUMMYFUNCTION("GOOGLEFINANCE(B24)"),35.79)</f>
        <v>35.79</v>
      </c>
      <c r="D24" s="23">
        <f>IFERROR(__xludf.DUMMYFUNCTION("GOOGLEFINANCE(B24,""changepct"")/100"),0.0051)</f>
        <v>0.0051</v>
      </c>
      <c r="E24" s="23">
        <f>IFERROR(__xludf.DUMMYFUNCTION("$D24/(index(GOOGLEFINANCE($B24,""price"",workday(today(),-F$4),today()),2,2))-1"),0.020821448944666)</f>
        <v>0.020821448944666</v>
      </c>
      <c r="F24" s="23">
        <f>IFERROR(__xludf.DUMMYFUNCTION("$D24/(index(GOOGLEFINANCE($B24,""price"",workday(today(),-G$4),today()),2,2))-1"),-0.01296194153337)</f>
        <v>-0.01296194153337</v>
      </c>
      <c r="G24" s="32">
        <f>IFERROR(__xludf.DUMMYFUNCTION("$D24/(index(GOOGLEFINANCE($B24,""price"",$H$4,today()),2,2))-1"),-0.01296194153337)</f>
        <v>-0.01296194153337</v>
      </c>
      <c r="H24" s="31" t="str">
        <f>IFERROR(__xludf.DUMMYFUNCTION("IF(B24="""","""",SPARKLINE(INDEX(GOOGLEFINANCE($B24,""price"",$H$4,today()),,2),{""charttype"",""line""}))"),"")</f>
        <v/>
      </c>
      <c r="I24" s="10" t="str">
        <f>IFERROR(__xludf.DUMMYFUNCTION("IF(B24="""","""",SPARKLINE(INDEX(GOOGLEFINANCE($B24,""volume"",$H$4,today()),,2), {""charttype"",""column"";""color"",""grey"";""highcolor"",""balck"";""lowcolor"",""red""}))"),"")</f>
        <v/>
      </c>
      <c r="J24" s="23">
        <f t="shared" si="4"/>
        <v>0.0725879398051529</v>
      </c>
      <c r="K24" s="23">
        <f t="shared" si="5"/>
        <v>0.0388045493271169</v>
      </c>
    </row>
    <row r="25" spans="1:11">
      <c r="A25" s="10" t="s">
        <v>963</v>
      </c>
      <c r="B25" s="22" t="str">
        <f>IFERROR(__xludf.DUMMYFUNCTION("GOOGLEFINANCE(B25,""name"")"),"Global X S&amp;P/TSX 60 Index Corporate Class ETF")</f>
        <v>Global X S&amp;P/TSX 60 Index Corporate Class ETF</v>
      </c>
      <c r="C25" s="21">
        <f>IFERROR(__xludf.DUMMYFUNCTION("GOOGLEFINANCE(B25)"),57.78)</f>
        <v>57.78</v>
      </c>
      <c r="D25" s="23">
        <f>IFERROR(__xludf.DUMMYFUNCTION("GOOGLEFINANCE(B25,""changepct"")/100"),0.0033)</f>
        <v>0.0033</v>
      </c>
      <c r="E25" s="23">
        <f>IFERROR(__xludf.DUMMYFUNCTION("$D25/(index(GOOGLEFINANCE($B25,""price"",workday(today(),-F$4),today()),2,2))-1"),0.0213894290259855)</f>
        <v>0.0213894290259855</v>
      </c>
      <c r="F25" s="23">
        <f>IFERROR(__xludf.DUMMYFUNCTION("$D25/(index(GOOGLEFINANCE($B25,""price"",workday(today(),-G$4),today()),2,2))-1"),-0.00789835164835162)</f>
        <v>-0.00789835164835162</v>
      </c>
      <c r="G25" s="32">
        <f>IFERROR(__xludf.DUMMYFUNCTION("$D25/(index(GOOGLEFINANCE($B25,""price"",$H$4,today()),2,2))-1"),-0.00789835164835162)</f>
        <v>-0.00789835164835162</v>
      </c>
      <c r="H25" s="31" t="str">
        <f>IFERROR(__xludf.DUMMYFUNCTION("IF(B25="""","""",SPARKLINE(INDEX(GOOGLEFINANCE($B25,""price"",$H$4,today()),,2),{""charttype"",""line""}))"),"")</f>
        <v/>
      </c>
      <c r="I25" s="10" t="str">
        <f>IFERROR(__xludf.DUMMYFUNCTION("IF(B25="""","""",SPARKLINE(INDEX(GOOGLEFINANCE($B25,""volume"",$H$4,today()),,2), {""charttype"",""column"";""color"",""grey"";""highcolor"",""balck"";""lowcolor"",""red""}))"),"")</f>
        <v/>
      </c>
      <c r="J25" s="23">
        <f t="shared" si="4"/>
        <v>0.0731559198864724</v>
      </c>
      <c r="K25" s="23">
        <f t="shared" si="5"/>
        <v>0.0438681392121353</v>
      </c>
    </row>
    <row r="26" spans="1:11">
      <c r="A26" s="10" t="s">
        <v>964</v>
      </c>
      <c r="B26" s="22" t="str">
        <f>IFERROR(__xludf.DUMMYFUNCTION("GOOGLEFINANCE(B26,""name"")"),"BMO S&amp;P/TSX Capped Composite Index ETF")</f>
        <v>BMO S&amp;P/TSX Capped Composite Index ETF</v>
      </c>
      <c r="C26" s="21">
        <f>IFERROR(__xludf.DUMMYFUNCTION("GOOGLEFINANCE(B26)"),30.02)</f>
        <v>30.02</v>
      </c>
      <c r="D26" s="23">
        <f>IFERROR(__xludf.DUMMYFUNCTION("GOOGLEFINANCE(B26,""changepct"")/100"),0.00569999999999999)</f>
        <v>0.00569999999999999</v>
      </c>
      <c r="E26" s="23">
        <f>IFERROR(__xludf.DUMMYFUNCTION("$D26/(index(GOOGLEFINANCE($B26,""price"",workday(today(),-F$4),today()),2,2))-1"),0.0197010869565217)</f>
        <v>0.0197010869565217</v>
      </c>
      <c r="F26" s="23">
        <f>IFERROR(__xludf.DUMMYFUNCTION("$D26/(index(GOOGLEFINANCE($B26,""price"",workday(today(),-G$4),today()),2,2))-1"),-0.0131492439184747)</f>
        <v>-0.0131492439184747</v>
      </c>
      <c r="G26" s="32">
        <f>IFERROR(__xludf.DUMMYFUNCTION("$D26/(index(GOOGLEFINANCE($B26,""price"",$H$4,today()),2,2))-1"),-0.0131492439184747)</f>
        <v>-0.0131492439184747</v>
      </c>
      <c r="H26" s="31" t="str">
        <f>IFERROR(__xludf.DUMMYFUNCTION("IF(B26="""","""",SPARKLINE(INDEX(GOOGLEFINANCE($B26,""price"",$H$4,today()),,2),{""charttype"",""line""}))"),"")</f>
        <v/>
      </c>
      <c r="I26" s="10" t="str">
        <f>IFERROR(__xludf.DUMMYFUNCTION("IF(B26="""","""",SPARKLINE(INDEX(GOOGLEFINANCE($B26,""volume"",$H$4,today()),,2), {""charttype"",""column"";""color"",""grey"";""highcolor"",""balck"";""lowcolor"",""red""}))"),"")</f>
        <v/>
      </c>
      <c r="J26" s="23">
        <f t="shared" si="4"/>
        <v>0.0714675778170086</v>
      </c>
      <c r="K26" s="23">
        <f t="shared" si="5"/>
        <v>0.0386172469420122</v>
      </c>
    </row>
    <row r="27" spans="1:11">
      <c r="A27" s="10" t="s">
        <v>965</v>
      </c>
      <c r="B27" s="22" t="str">
        <f>IFERROR(__xludf.DUMMYFUNCTION("GOOGLEFINANCE(B27,""name"")"),"Global X Active Preferred Share ETF")</f>
        <v>Global X Active Preferred Share ETF</v>
      </c>
      <c r="C27" s="21">
        <f>IFERROR(__xludf.DUMMYFUNCTION("GOOGLEFINANCE(B27)"),8.84)</f>
        <v>8.84</v>
      </c>
      <c r="D27" s="23">
        <f>IFERROR(__xludf.DUMMYFUNCTION("GOOGLEFINANCE(B27,""changepct"")/100"),0.0034)</f>
        <v>0.0034</v>
      </c>
      <c r="E27" s="23">
        <f>IFERROR(__xludf.DUMMYFUNCTION("$D27/(index(GOOGLEFINANCE($B27,""price"",workday(today(),-F$4),today()),2,2))-1"),0.0114416475972538)</f>
        <v>0.0114416475972538</v>
      </c>
      <c r="F27" s="23">
        <f>IFERROR(__xludf.DUMMYFUNCTION("$D27/(index(GOOGLEFINANCE($B27,""price"",workday(today(),-G$4),today()),2,2))-1"),0.00340522133938692)</f>
        <v>0.00340522133938692</v>
      </c>
      <c r="G27" s="32">
        <f>IFERROR(__xludf.DUMMYFUNCTION("$D27/(index(GOOGLEFINANCE($B27,""price"",$H$4,today()),2,2))-1"),0.00340522133938692)</f>
        <v>0.00340522133938692</v>
      </c>
      <c r="H27" s="31" t="str">
        <f>IFERROR(__xludf.DUMMYFUNCTION("IF(B27="""","""",SPARKLINE(INDEX(GOOGLEFINANCE($B27,""price"",$H$4,today()),,2),{""charttype"",""line""}))"),"")</f>
        <v/>
      </c>
      <c r="I27" s="10" t="str">
        <f>IFERROR(__xludf.DUMMYFUNCTION("IF(B27="""","""",SPARKLINE(INDEX(GOOGLEFINANCE($B27,""volume"",$H$4,today()),,2), {""charttype"",""column"";""color"",""grey"";""highcolor"",""balck"";""lowcolor"",""red""}))"),"")</f>
        <v/>
      </c>
      <c r="J27" s="23">
        <f t="shared" si="4"/>
        <v>0.0632081384577407</v>
      </c>
      <c r="K27" s="23">
        <f t="shared" si="5"/>
        <v>0.0551717121998738</v>
      </c>
    </row>
    <row r="28" spans="1:11">
      <c r="A28" s="10" t="s">
        <v>966</v>
      </c>
      <c r="B28" s="22" t="str">
        <f>IFERROR(__xludf.DUMMYFUNCTION("GOOGLEFINANCE(B28,""name"")"),"BMO Laddered Preferred Share Index ETF")</f>
        <v>BMO Laddered Preferred Share Index ETF</v>
      </c>
      <c r="C28" s="21">
        <f>IFERROR(__xludf.DUMMYFUNCTION("GOOGLEFINANCE(B28)"),10.33)</f>
        <v>10.33</v>
      </c>
      <c r="D28" s="23">
        <f>IFERROR(__xludf.DUMMYFUNCTION("GOOGLEFINANCE(B28,""changepct"")/100"),0.0044)</f>
        <v>0.0044</v>
      </c>
      <c r="E28" s="23">
        <f>IFERROR(__xludf.DUMMYFUNCTION("$D28/(index(GOOGLEFINANCE($B28,""price"",workday(today(),-F$4),today()),2,2))-1"),0.013738959764475)</f>
        <v>0.013738959764475</v>
      </c>
      <c r="F28" s="23">
        <f>IFERROR(__xludf.DUMMYFUNCTION("$D28/(index(GOOGLEFINANCE($B28,""price"",workday(today(),-G$4),today()),2,2))-1"),-0.00481695568400775)</f>
        <v>-0.00481695568400775</v>
      </c>
      <c r="G28" s="32">
        <f>IFERROR(__xludf.DUMMYFUNCTION("$D28/(index(GOOGLEFINANCE($B28,""price"",$H$4,today()),2,2))-1"),-0.00481695568400775)</f>
        <v>-0.00481695568400775</v>
      </c>
      <c r="H28" s="31" t="str">
        <f>IFERROR(__xludf.DUMMYFUNCTION("IF(B28="""","""",SPARKLINE(INDEX(GOOGLEFINANCE($B28,""price"",$H$4,today()),,2),{""charttype"",""line""}))"),"")</f>
        <v/>
      </c>
      <c r="I28" s="10" t="str">
        <f>IFERROR(__xludf.DUMMYFUNCTION("IF(B28="""","""",SPARKLINE(INDEX(GOOGLEFINANCE($B28,""volume"",$H$4,today()),,2), {""charttype"",""column"";""color"",""grey"";""highcolor"",""balck"";""lowcolor"",""red""}))"),"")</f>
        <v/>
      </c>
      <c r="J28" s="23">
        <f t="shared" si="4"/>
        <v>0.0655054506249619</v>
      </c>
      <c r="K28" s="23">
        <f t="shared" si="5"/>
        <v>0.0469495351764792</v>
      </c>
    </row>
    <row r="29" spans="1:11">
      <c r="A29" s="10" t="s">
        <v>967</v>
      </c>
      <c r="B29" s="22" t="str">
        <f>IFERROR(__xludf.DUMMYFUNCTION("GOOGLEFINANCE(B29,""name"")"),"iShares S&amp;P/TSX Cdn Preferred Share Idx ETF-Com")</f>
        <v>iShares S&amp;P/TSX Cdn Preferred Share Idx ETF-Com</v>
      </c>
      <c r="C29" s="21">
        <f>IFERROR(__xludf.DUMMYFUNCTION("GOOGLEFINANCE(B29)"),12.17)</f>
        <v>12.17</v>
      </c>
      <c r="D29" s="23">
        <f>IFERROR(__xludf.DUMMYFUNCTION("GOOGLEFINANCE(B29,""changepct"")/100"),0.0083)</f>
        <v>0.0083</v>
      </c>
      <c r="E29" s="23">
        <f>IFERROR(__xludf.DUMMYFUNCTION("$D29/(index(GOOGLEFINANCE($B29,""price"",workday(today(),-F$4),today()),2,2))-1"),0.0141666666666666)</f>
        <v>0.0141666666666666</v>
      </c>
      <c r="F29" s="23">
        <f>IFERROR(__xludf.DUMMYFUNCTION("$D29/(index(GOOGLEFINANCE($B29,""price"",workday(today(),-G$4),today()),2,2))-1"),0.0116375727348296)</f>
        <v>0.0116375727348296</v>
      </c>
      <c r="G29" s="32">
        <f>IFERROR(__xludf.DUMMYFUNCTION("$D29/(index(GOOGLEFINANCE($B29,""price"",$H$4,today()),2,2))-1"),0.0116375727348296)</f>
        <v>0.0116375727348296</v>
      </c>
      <c r="H29" s="31" t="str">
        <f>IFERROR(__xludf.DUMMYFUNCTION("IF(B29="""","""",SPARKLINE(INDEX(GOOGLEFINANCE($B29,""price"",$H$4,today()),,2),{""charttype"",""line""}))"),"")</f>
        <v/>
      </c>
      <c r="I29" s="10" t="str">
        <f>IFERROR(__xludf.DUMMYFUNCTION("IF(B29="""","""",SPARKLINE(INDEX(GOOGLEFINANCE($B29,""volume"",$H$4,today()),,2), {""charttype"",""column"";""color"",""grey"";""highcolor"",""balck"";""lowcolor"",""red""}))"),"")</f>
        <v/>
      </c>
      <c r="J29" s="23">
        <f t="shared" si="4"/>
        <v>0.0659331575271535</v>
      </c>
      <c r="K29" s="23">
        <f t="shared" si="5"/>
        <v>0.0634040635953165</v>
      </c>
    </row>
    <row r="30" spans="1:11">
      <c r="A30" s="10" t="s">
        <v>968</v>
      </c>
      <c r="B30" s="22" t="str">
        <f>IFERROR(__xludf.DUMMYFUNCTION("GOOGLEFINANCE(B30,""name"")"),"BMO EQUAL WEIGHT BANKS INDEX ETF")</f>
        <v>BMO EQUAL WEIGHT BANKS INDEX ETF</v>
      </c>
      <c r="C30" s="21">
        <f>IFERROR(__xludf.DUMMYFUNCTION("GOOGLEFINANCE(B30)"),35.8)</f>
        <v>35.8</v>
      </c>
      <c r="D30" s="23">
        <f>IFERROR(__xludf.DUMMYFUNCTION("GOOGLEFINANCE(B30,""changepct"")/100"),-0.0069)</f>
        <v>-0.0069</v>
      </c>
      <c r="E30" s="23">
        <f>IFERROR(__xludf.DUMMYFUNCTION("$D30/(index(GOOGLEFINANCE($B30,""price"",workday(today(),-F$4),today()),2,2))-1"),0.00703234880450076)</f>
        <v>0.00703234880450076</v>
      </c>
      <c r="F30" s="23">
        <f>IFERROR(__xludf.DUMMYFUNCTION("$D30/(index(GOOGLEFINANCE($B30,""price"",workday(today(),-G$4),today()),2,2))-1"),-0.0137741046831956)</f>
        <v>-0.0137741046831956</v>
      </c>
      <c r="G30" s="32">
        <f>IFERROR(__xludf.DUMMYFUNCTION("$D30/(index(GOOGLEFINANCE($B30,""price"",$H$4,today()),2,2))-1"),-0.0137741046831956)</f>
        <v>-0.0137741046831956</v>
      </c>
      <c r="H30" s="31" t="str">
        <f>IFERROR(__xludf.DUMMYFUNCTION("IF(B30="""","""",SPARKLINE(INDEX(GOOGLEFINANCE($B30,""price"",$H$4,today()),,2),{""charttype"",""line""}))"),"")</f>
        <v/>
      </c>
      <c r="I30" s="10" t="str">
        <f>IFERROR(__xludf.DUMMYFUNCTION("IF(B30="""","""",SPARKLINE(INDEX(GOOGLEFINANCE($B30,""volume"",$H$4,today()),,2), {""charttype"",""column"";""color"",""grey"";""highcolor"",""balck"";""lowcolor"",""red""}))"),"")</f>
        <v/>
      </c>
      <c r="J30" s="23">
        <f t="shared" si="4"/>
        <v>0.0587988396649877</v>
      </c>
      <c r="K30" s="23">
        <f t="shared" si="5"/>
        <v>0.0379923861772913</v>
      </c>
    </row>
    <row r="31" spans="1:11">
      <c r="A31" s="10" t="s">
        <v>969</v>
      </c>
      <c r="B31" s="22" t="str">
        <f>IFERROR(__xludf.DUMMYFUNCTION("GOOGLEFINANCE(B31,""name"")"),"iShares S&amp;P/TSX Capped Financials Index ETF")</f>
        <v>iShares S&amp;P/TSX Capped Financials Index ETF</v>
      </c>
      <c r="C31" s="21">
        <f>IFERROR(__xludf.DUMMYFUNCTION("GOOGLEFINANCE(B31)"),50.1)</f>
        <v>50.1</v>
      </c>
      <c r="D31" s="23">
        <f>IFERROR(__xludf.DUMMYFUNCTION("GOOGLEFINANCE(B31,""changepct"")/100"),-0.0044)</f>
        <v>-0.0044</v>
      </c>
      <c r="E31" s="23">
        <f>IFERROR(__xludf.DUMMYFUNCTION("$D31/(index(GOOGLEFINANCE($B31,""price"",workday(today(),-F$4),today()),2,2))-1"),0.00562023283821755)</f>
        <v>0.00562023283821755</v>
      </c>
      <c r="F31" s="23">
        <f>IFERROR(__xludf.DUMMYFUNCTION("$D31/(index(GOOGLEFINANCE($B31,""price"",workday(today(),-G$4),today()),2,2))-1"),-0.0209106898573382)</f>
        <v>-0.0209106898573382</v>
      </c>
      <c r="G31" s="32">
        <f>IFERROR(__xludf.DUMMYFUNCTION("$D31/(index(GOOGLEFINANCE($B31,""price"",$H$4,today()),2,2))-1"),-0.0209106898573382)</f>
        <v>-0.0209106898573382</v>
      </c>
      <c r="H31" s="31" t="str">
        <f>IFERROR(__xludf.DUMMYFUNCTION("IF(B31="""","""",SPARKLINE(INDEX(GOOGLEFINANCE($B31,""price"",$H$4,today()),,2),{""charttype"",""line""}))"),"")</f>
        <v/>
      </c>
      <c r="I31" s="10" t="str">
        <f>IFERROR(__xludf.DUMMYFUNCTION("IF(B31="""","""",SPARKLINE(INDEX(GOOGLEFINANCE($B31,""volume"",$H$4,today()),,2), {""charttype"",""column"";""color"",""grey"";""highcolor"",""balck"";""lowcolor"",""red""}))"),"")</f>
        <v/>
      </c>
      <c r="J31" s="23">
        <f t="shared" si="4"/>
        <v>0.0573867236987045</v>
      </c>
      <c r="K31" s="23">
        <f t="shared" si="5"/>
        <v>0.0308558010031487</v>
      </c>
    </row>
    <row r="32" spans="1:11">
      <c r="A32" s="10" t="s">
        <v>970</v>
      </c>
      <c r="B32" s="22" t="str">
        <f>IFERROR(__xludf.DUMMYFUNCTION("GOOGLEFINANCE(B32,""name"")"),"BMO Covered Call Canadian Banks ETF")</f>
        <v>BMO Covered Call Canadian Banks ETF</v>
      </c>
      <c r="C32" s="21">
        <f>IFERROR(__xludf.DUMMYFUNCTION("GOOGLEFINANCE(B32)"),17.66)</f>
        <v>17.66</v>
      </c>
      <c r="D32" s="23">
        <f>IFERROR(__xludf.DUMMYFUNCTION("GOOGLEFINANCE(B32,""changepct"")/100"),-0.0062)</f>
        <v>-0.0062</v>
      </c>
      <c r="E32" s="23">
        <f>IFERROR(__xludf.DUMMYFUNCTION("$D32/(index(GOOGLEFINANCE($B32,""price"",workday(today(),-F$4),today()),2,2))-1"),0.00512236767216856)</f>
        <v>0.00512236767216856</v>
      </c>
      <c r="F32" s="23">
        <f>IFERROR(__xludf.DUMMYFUNCTION("$D32/(index(GOOGLEFINANCE($B32,""price"",workday(today(),-G$4),today()),2,2))-1"),-0.0161559888579386)</f>
        <v>-0.0161559888579386</v>
      </c>
      <c r="G32" s="32">
        <f>IFERROR(__xludf.DUMMYFUNCTION("$D32/(index(GOOGLEFINANCE($B32,""price"",$H$4,today()),2,2))-1"),-0.0161559888579386)</f>
        <v>-0.0161559888579386</v>
      </c>
      <c r="H32" s="31" t="str">
        <f>IFERROR(__xludf.DUMMYFUNCTION("IF(B32="""","""",SPARKLINE(INDEX(GOOGLEFINANCE($B32,""price"",$H$4,today()),,2),{""charttype"",""line""}))"),"")</f>
        <v/>
      </c>
      <c r="I32" s="10" t="str">
        <f>IFERROR(__xludf.DUMMYFUNCTION("IF(B32="""","""",SPARKLINE(INDEX(GOOGLEFINANCE($B32,""volume"",$H$4,today()),,2), {""charttype"",""column"";""color"",""grey"";""highcolor"",""balck"";""lowcolor"",""red""}))"),"")</f>
        <v/>
      </c>
      <c r="J32" s="23">
        <f t="shared" si="4"/>
        <v>0.0568888585326555</v>
      </c>
      <c r="K32" s="23">
        <f t="shared" si="5"/>
        <v>0.0356105020025483</v>
      </c>
    </row>
    <row r="33" spans="1:11">
      <c r="A33" s="10" t="s">
        <v>971</v>
      </c>
      <c r="B33" s="22" t="str">
        <f>IFERROR(__xludf.DUMMYFUNCTION("GOOGLEFINANCE(B33,""name"")"),"BMO Covered Call Utilities ETF")</f>
        <v>BMO Covered Call Utilities ETF</v>
      </c>
      <c r="C33" s="21">
        <f>IFERROR(__xludf.DUMMYFUNCTION("GOOGLEFINANCE(B33)"),10.71)</f>
        <v>10.71</v>
      </c>
      <c r="D33" s="23">
        <f>IFERROR(__xludf.DUMMYFUNCTION("GOOGLEFINANCE(B33,""changepct"")/100"),-0.0033)</f>
        <v>-0.0033</v>
      </c>
      <c r="E33" s="23">
        <f>IFERROR(__xludf.DUMMYFUNCTION("$D33/(index(GOOGLEFINANCE($B33,""price"",workday(today(),-F$4),today()),2,2))-1"),0.002808988764045)</f>
        <v>0.002808988764045</v>
      </c>
      <c r="F33" s="23">
        <f>IFERROR(__xludf.DUMMYFUNCTION("$D33/(index(GOOGLEFINANCE($B33,""price"",workday(today(),-G$4),today()),2,2))-1"),0.0398058252427184)</f>
        <v>0.0398058252427184</v>
      </c>
      <c r="G33" s="32">
        <f>IFERROR(__xludf.DUMMYFUNCTION("$D33/(index(GOOGLEFINANCE($B33,""price"",$H$4,today()),2,2))-1"),0.0398058252427184)</f>
        <v>0.0398058252427184</v>
      </c>
      <c r="H33" s="31" t="str">
        <f>IFERROR(__xludf.DUMMYFUNCTION("IF(B33="""","""",SPARKLINE(INDEX(GOOGLEFINANCE($B33,""price"",$H$4,today()),,2),{""charttype"",""line""}))"),"")</f>
        <v/>
      </c>
      <c r="I33" s="10" t="str">
        <f>IFERROR(__xludf.DUMMYFUNCTION("IF(B33="""","""",SPARKLINE(INDEX(GOOGLEFINANCE($B33,""volume"",$H$4,today()),,2), {""charttype"",""column"";""color"",""grey"";""highcolor"",""balck"";""lowcolor"",""red""}))"),"")</f>
        <v/>
      </c>
      <c r="J33" s="23">
        <f t="shared" si="4"/>
        <v>0.0545754796245319</v>
      </c>
      <c r="K33" s="23">
        <f t="shared" si="5"/>
        <v>0.0915723161032053</v>
      </c>
    </row>
    <row r="34" spans="1:11">
      <c r="A34" s="10" t="s">
        <v>972</v>
      </c>
      <c r="B34" s="22" t="str">
        <f>IFERROR(__xludf.DUMMYFUNCTION("GOOGLEFINANCE(B34,""name"")"),"iShares S&amp;P/TSX Capped Energy Index ETF")</f>
        <v>iShares S&amp;P/TSX Capped Energy Index ETF</v>
      </c>
      <c r="C34" s="21">
        <f>IFERROR(__xludf.DUMMYFUNCTION("GOOGLEFINANCE(B34)"),18.46)</f>
        <v>18.46</v>
      </c>
      <c r="D34" s="23">
        <f>IFERROR(__xludf.DUMMYFUNCTION("GOOGLEFINANCE(B34,""changepct"")/100"),0.033)</f>
        <v>0.033</v>
      </c>
      <c r="E34" s="23">
        <f>IFERROR(__xludf.DUMMYFUNCTION("$D34/(index(GOOGLEFINANCE($B34,""price"",workday(today(),-F$4),today()),2,2))-1"),0.0720092915214867)</f>
        <v>0.0720092915214867</v>
      </c>
      <c r="F34" s="23">
        <f>IFERROR(__xludf.DUMMYFUNCTION("$D34/(index(GOOGLEFINANCE($B34,""price"",workday(today(),-G$4),today()),2,2))-1"),-0.0101876675603216)</f>
        <v>-0.0101876675603216</v>
      </c>
      <c r="G34" s="32">
        <f>IFERROR(__xludf.DUMMYFUNCTION("$D34/(index(GOOGLEFINANCE($B34,""price"",$H$4,today()),2,2))-1"),-0.0101876675603216)</f>
        <v>-0.0101876675603216</v>
      </c>
      <c r="H34" s="31" t="str">
        <f>IFERROR(__xludf.DUMMYFUNCTION("IF(B34="""","""",SPARKLINE(INDEX(GOOGLEFINANCE($B34,""price"",$H$4,today()),,2),{""charttype"",""line""}))"),"")</f>
        <v/>
      </c>
      <c r="I34" s="10" t="str">
        <f>IFERROR(__xludf.DUMMYFUNCTION("IF(B34="""","""",SPARKLINE(INDEX(GOOGLEFINANCE($B34,""volume"",$H$4,today()),,2), {""charttype"",""column"";""color"",""grey"";""highcolor"",""balck"";""lowcolor"",""red""}))"),"")</f>
        <v/>
      </c>
      <c r="J34" s="23">
        <f t="shared" si="4"/>
        <v>0.123775782381974</v>
      </c>
      <c r="K34" s="23">
        <f t="shared" si="5"/>
        <v>0.0415788233001653</v>
      </c>
    </row>
    <row r="35" spans="1:11">
      <c r="A35" s="10" t="s">
        <v>973</v>
      </c>
      <c r="B35" s="22" t="str">
        <f>IFERROR(__xludf.DUMMYFUNCTION("GOOGLEFINANCE(B35,""name"")"),"iShares Canadian Financial Monthly Inc ETF-Com Cl")</f>
        <v>iShares Canadian Financial Monthly Inc ETF-Com Cl</v>
      </c>
      <c r="C35" s="21">
        <f>IFERROR(__xludf.DUMMYFUNCTION("GOOGLEFINANCE(B35)"),7.23)</f>
        <v>7.23</v>
      </c>
      <c r="D35" s="23">
        <f>IFERROR(__xludf.DUMMYFUNCTION("GOOGLEFINANCE(B35,""changepct"")/100"),0.0014)</f>
        <v>0.0014</v>
      </c>
      <c r="E35" s="23">
        <f>IFERROR(__xludf.DUMMYFUNCTION("$D35/(index(GOOGLEFINANCE($B35,""price"",workday(today(),-F$4),today()),2,2))-1"),0.0126050420168069)</f>
        <v>0.0126050420168069</v>
      </c>
      <c r="F35" s="23">
        <f>IFERROR(__xludf.DUMMYFUNCTION("$D35/(index(GOOGLEFINANCE($B35,""price"",workday(today(),-G$4),today()),2,2))-1"),-0.00823045267489708)</f>
        <v>-0.00823045267489708</v>
      </c>
      <c r="G35" s="32">
        <f>IFERROR(__xludf.DUMMYFUNCTION("$D35/(index(GOOGLEFINANCE($B35,""price"",$H$4,today()),2,2))-1"),-0.00823045267489708)</f>
        <v>-0.00823045267489708</v>
      </c>
      <c r="H35" s="31" t="str">
        <f>IFERROR(__xludf.DUMMYFUNCTION("IF(B35="""","""",SPARKLINE(INDEX(GOOGLEFINANCE($B35,""price"",$H$4,today()),,2),{""charttype"",""line""}))"),"")</f>
        <v/>
      </c>
      <c r="I35" s="10" t="str">
        <f>IFERROR(__xludf.DUMMYFUNCTION("IF(B35="""","""",SPARKLINE(INDEX(GOOGLEFINANCE($B35,""volume"",$H$4,today()),,2), {""charttype"",""column"";""color"",""grey"";""highcolor"",""balck"";""lowcolor"",""red""}))"),"")</f>
        <v/>
      </c>
      <c r="J35" s="23">
        <f t="shared" si="4"/>
        <v>0.0643715328772938</v>
      </c>
      <c r="K35" s="23">
        <f t="shared" si="5"/>
        <v>0.0435360381855898</v>
      </c>
    </row>
    <row r="36" spans="1:11">
      <c r="A36" s="10" t="s">
        <v>974</v>
      </c>
      <c r="B36" s="22" t="str">
        <f>IFERROR(__xludf.DUMMYFUNCTION("GOOGLEFINANCE(B36,""name"")"),"Vanguard Balanced ETF Portfolio")</f>
        <v>Vanguard Balanced ETF Portfolio</v>
      </c>
      <c r="C36" s="21">
        <f>IFERROR(__xludf.DUMMYFUNCTION("GOOGLEFINANCE(B36)"),31.29)</f>
        <v>31.29</v>
      </c>
      <c r="D36" s="23">
        <f>IFERROR(__xludf.DUMMYFUNCTION("GOOGLEFINANCE(B36,""changepct"")/100"),0.0016)</f>
        <v>0.0016</v>
      </c>
      <c r="E36" s="23">
        <f>IFERROR(__xludf.DUMMYFUNCTION("$D36/(index(GOOGLEFINANCE($B36,""price"",workday(today(),-F$4),today()),2,2))-1"),0.012621359223301)</f>
        <v>0.012621359223301</v>
      </c>
      <c r="F36" s="23">
        <f>IFERROR(__xludf.DUMMYFUNCTION("$D36/(index(GOOGLEFINANCE($B36,""price"",workday(today(),-G$4),today()),2,2))-1"),-0.012310606060606)</f>
        <v>-0.012310606060606</v>
      </c>
      <c r="G36" s="32">
        <f>IFERROR(__xludf.DUMMYFUNCTION("$D36/(index(GOOGLEFINANCE($B36,""price"",$H$4,today()),2,2))-1"),-0.012310606060606)</f>
        <v>-0.012310606060606</v>
      </c>
      <c r="H36" s="31" t="str">
        <f>IFERROR(__xludf.DUMMYFUNCTION("IF(B36="""","""",SPARKLINE(INDEX(GOOGLEFINANCE($B36,""price"",$H$4,today()),,2),{""charttype"",""line""}))"),"")</f>
        <v/>
      </c>
      <c r="I36" s="10" t="str">
        <f>IFERROR(__xludf.DUMMYFUNCTION("IF(B36="""","""",SPARKLINE(INDEX(GOOGLEFINANCE($B36,""volume"",$H$4,today()),,2), {""charttype"",""column"";""color"",""grey"";""highcolor"",""balck"";""lowcolor"",""red""}))"),"")</f>
        <v/>
      </c>
      <c r="J36" s="23">
        <f t="shared" si="4"/>
        <v>0.0643878500837879</v>
      </c>
      <c r="K36" s="23">
        <f t="shared" si="5"/>
        <v>0.0394558847998809</v>
      </c>
    </row>
    <row r="37" spans="1:11">
      <c r="A37" s="10" t="s">
        <v>975</v>
      </c>
      <c r="B37" s="22" t="str">
        <f>IFERROR(__xludf.DUMMYFUNCTION("GOOGLEFINANCE(B37,""name"")"),"BMO Low Volatility Canadian Equity ETF")</f>
        <v>BMO Low Volatility Canadian Equity ETF</v>
      </c>
      <c r="C37" s="21">
        <f>IFERROR(__xludf.DUMMYFUNCTION("GOOGLEFINANCE(B37)"),45.56)</f>
        <v>45.56</v>
      </c>
      <c r="D37" s="23">
        <f>IFERROR(__xludf.DUMMYFUNCTION("GOOGLEFINANCE(B37,""changepct"")/100"),0.0029)</f>
        <v>0.0029</v>
      </c>
      <c r="E37" s="23">
        <f>IFERROR(__xludf.DUMMYFUNCTION("$D37/(index(GOOGLEFINANCE($B37,""price"",workday(today(),-F$4),today()),2,2))-1"),0.00618374558303891)</f>
        <v>0.00618374558303891</v>
      </c>
      <c r="F37" s="23">
        <f>IFERROR(__xludf.DUMMYFUNCTION("$D37/(index(GOOGLEFINANCE($B37,""price"",workday(today(),-G$4),today()),2,2))-1"),0.0133451957295374)</f>
        <v>0.0133451957295374</v>
      </c>
      <c r="G37" s="32">
        <f>IFERROR(__xludf.DUMMYFUNCTION("$D37/(index(GOOGLEFINANCE($B37,""price"",$H$4,today()),2,2))-1"),0.0133451957295374)</f>
        <v>0.0133451957295374</v>
      </c>
      <c r="H37" s="31" t="str">
        <f>IFERROR(__xludf.DUMMYFUNCTION("IF(B37="""","""",SPARKLINE(INDEX(GOOGLEFINANCE($B37,""price"",$H$4,today()),,2),{""charttype"",""line""}))"),"")</f>
        <v/>
      </c>
      <c r="I37" s="10" t="str">
        <f>IFERROR(__xludf.DUMMYFUNCTION("IF(B37="""","""",SPARKLINE(INDEX(GOOGLEFINANCE($B37,""volume"",$H$4,today()),,2), {""charttype"",""column"";""color"",""grey"";""highcolor"",""balck"";""lowcolor"",""red""}))"),"")</f>
        <v/>
      </c>
      <c r="J37" s="23">
        <f t="shared" si="4"/>
        <v>0.0579502364435258</v>
      </c>
      <c r="K37" s="23">
        <f t="shared" si="5"/>
        <v>0.0651116865900243</v>
      </c>
    </row>
    <row r="38" spans="1:11">
      <c r="A38" s="10" t="s">
        <v>976</v>
      </c>
      <c r="B38" s="22" t="str">
        <f>IFERROR(__xludf.DUMMYFUNCTION("GOOGLEFINANCE(B38,""name"")"),"Global X Marijuana Life Sciences Index ETF")</f>
        <v>Global X Marijuana Life Sciences Index ETF</v>
      </c>
      <c r="C38" s="21">
        <f>IFERROR(__xludf.DUMMYFUNCTION("GOOGLEFINANCE(B38)"),10.11)</f>
        <v>10.11</v>
      </c>
      <c r="D38" s="23">
        <f>IFERROR(__xludf.DUMMYFUNCTION("GOOGLEFINANCE(B38,""changepct"")/100"),-0.0098)</f>
        <v>-0.0098</v>
      </c>
      <c r="E38" s="23">
        <f>IFERROR(__xludf.DUMMYFUNCTION("$D38/(index(GOOGLEFINANCE($B38,""price"",workday(today(),-F$4),today()),2,2))-1"),-0.0165369649805446)</f>
        <v>-0.0165369649805446</v>
      </c>
      <c r="F38" s="23">
        <f>IFERROR(__xludf.DUMMYFUNCTION("$D38/(index(GOOGLEFINANCE($B38,""price"",workday(today(),-G$4),today()),2,2))-1"),-0.043519394512772)</f>
        <v>-0.043519394512772</v>
      </c>
      <c r="G38" s="32">
        <f>IFERROR(__xludf.DUMMYFUNCTION("$D38/(index(GOOGLEFINANCE($B38,""price"",$H$4,today()),2,2))-1"),-0.043519394512772)</f>
        <v>-0.043519394512772</v>
      </c>
      <c r="H38" s="31" t="str">
        <f>IFERROR(__xludf.DUMMYFUNCTION("IF(B38="""","""",SPARKLINE(INDEX(GOOGLEFINANCE($B38,""price"",$H$4,today()),,2),{""charttype"",""line""}))"),"")</f>
        <v/>
      </c>
      <c r="I38" s="10" t="str">
        <f>IFERROR(__xludf.DUMMYFUNCTION("IF(B38="""","""",SPARKLINE(INDEX(GOOGLEFINANCE($B38,""volume"",$H$4,today()),,2), {""charttype"",""column"";""color"",""grey"";""highcolor"",""balck"";""lowcolor"",""red""}))"),"")</f>
        <v/>
      </c>
      <c r="J38" s="23">
        <f t="shared" si="4"/>
        <v>0.0352295258799423</v>
      </c>
      <c r="K38" s="23">
        <f t="shared" si="5"/>
        <v>0.0082470963477149</v>
      </c>
    </row>
    <row r="39" spans="1:11">
      <c r="A39" s="10" t="s">
        <v>977</v>
      </c>
      <c r="B39" s="22" t="str">
        <f>IFERROR(__xludf.DUMMYFUNCTION("GOOGLEFINANCE(B39,""name"")"),"iShares Canadian Select Dividend Index ETF")</f>
        <v>iShares Canadian Select Dividend Index ETF</v>
      </c>
      <c r="C39" s="21">
        <f>IFERROR(__xludf.DUMMYFUNCTION("GOOGLEFINANCE(B39)"),28.35)</f>
        <v>28.35</v>
      </c>
      <c r="D39" s="23">
        <f>IFERROR(__xludf.DUMMYFUNCTION("GOOGLEFINANCE(B39,""changepct"")/100"),0.0018)</f>
        <v>0.0018</v>
      </c>
      <c r="E39" s="23">
        <f>IFERROR(__xludf.DUMMYFUNCTION("$D39/(index(GOOGLEFINANCE($B39,""price"",workday(today(),-F$4),today()),2,2))-1"),0.0117773019271949)</f>
        <v>0.0117773019271949</v>
      </c>
      <c r="F39" s="23">
        <f>IFERROR(__xludf.DUMMYFUNCTION("$D39/(index(GOOGLEFINANCE($B39,""price"",workday(today(),-G$4),today()),2,2))-1"),0.0172228202368138)</f>
        <v>0.0172228202368138</v>
      </c>
      <c r="G39" s="32">
        <f>IFERROR(__xludf.DUMMYFUNCTION("$D39/(index(GOOGLEFINANCE($B39,""price"",$H$4,today()),2,2))-1"),0.0172228202368138)</f>
        <v>0.0172228202368138</v>
      </c>
      <c r="H39" s="31" t="str">
        <f>IFERROR(__xludf.DUMMYFUNCTION("IF(B39="""","""",SPARKLINE(INDEX(GOOGLEFINANCE($B39,""price"",$H$4,today()),,2),{""charttype"",""line""}))"),"")</f>
        <v/>
      </c>
      <c r="I39" s="10" t="str">
        <f>IFERROR(__xludf.DUMMYFUNCTION("IF(B39="""","""",SPARKLINE(INDEX(GOOGLEFINANCE($B39,""volume"",$H$4,today()),,2), {""charttype"",""column"";""color"",""grey"";""highcolor"",""balck"";""lowcolor"",""red""}))"),"")</f>
        <v/>
      </c>
      <c r="J39" s="23">
        <f t="shared" si="4"/>
        <v>0.0635437927876818</v>
      </c>
      <c r="K39" s="23">
        <f t="shared" si="5"/>
        <v>0.0689893110973007</v>
      </c>
    </row>
    <row r="40" spans="1:11">
      <c r="A40" s="20" t="s">
        <v>978</v>
      </c>
      <c r="B40" s="22"/>
      <c r="C40" s="21"/>
      <c r="D40" s="23"/>
      <c r="E40" s="23"/>
      <c r="F40" s="23"/>
      <c r="G40" s="32"/>
      <c r="H40" s="31"/>
      <c r="I40" s="10"/>
      <c r="J40" s="10"/>
      <c r="K40" s="10"/>
    </row>
    <row r="41" spans="1:11">
      <c r="A41" s="10" t="s">
        <v>979</v>
      </c>
      <c r="B41" s="22" t="str">
        <f>IFERROR(__xludf.DUMMYFUNCTION("GOOGLEFINANCE(B41,""name"")"),"iShares MSCI EAFE ETF")</f>
        <v>iShares MSCI EAFE ETF</v>
      </c>
      <c r="C41" s="21">
        <f>IFERROR(__xludf.DUMMYFUNCTION("GOOGLEFINANCE(B41)"),77.28)</f>
        <v>77.28</v>
      </c>
      <c r="D41" s="23">
        <f>IFERROR(__xludf.DUMMYFUNCTION("GOOGLEFINANCE(B41,""changepct"")/100"),-0.0013)</f>
        <v>-0.0013</v>
      </c>
      <c r="E41" s="23">
        <f>IFERROR(__xludf.DUMMYFUNCTION("$D41/(index(GOOGLEFINANCE($B41,""price"",workday(today(),-F$4),today()),2,2))-1"),0.0260223048327139)</f>
        <v>0.0260223048327139</v>
      </c>
      <c r="F41" s="23">
        <f>IFERROR(__xludf.DUMMYFUNCTION("$D41/(index(GOOGLEFINANCE($B41,""price"",workday(today(),-G$4),today()),2,2))-1"),-0.0442740539203561)</f>
        <v>-0.0442740539203561</v>
      </c>
      <c r="G41" s="32">
        <f>IFERROR(__xludf.DUMMYFUNCTION("$D41/(index(GOOGLEFINANCE($B41,""price"",$H$4,today()),2,2))-1"),-0.0442740539203561)</f>
        <v>-0.0442740539203561</v>
      </c>
      <c r="H41" s="31" t="str">
        <f>IFERROR(__xludf.DUMMYFUNCTION("IF(B41="""","""",SPARKLINE(INDEX(GOOGLEFINANCE($B41,""price"",$H$4,today()),,2),{""charttype"",""line""}))"),"")</f>
        <v/>
      </c>
      <c r="I41" s="10" t="str">
        <f>IFERROR(__xludf.DUMMYFUNCTION("IF(B41="""","""",SPARKLINE(INDEX(GOOGLEFINANCE($B41,""volume"",$H$4,today()),,2), {""charttype"",""column"";""color"",""grey"";""highcolor"",""balck"";""lowcolor"",""red""}))"),"")</f>
        <v/>
      </c>
      <c r="J41" s="23">
        <f t="shared" ref="J41:J48" si="6">E41-$F$13</f>
        <v>0.0777887956932008</v>
      </c>
      <c r="K41" s="23">
        <f t="shared" ref="K41:K48" si="7">F41-$G$13</f>
        <v>0.0074924369401308</v>
      </c>
    </row>
    <row r="42" spans="1:11">
      <c r="A42" s="10" t="s">
        <v>980</v>
      </c>
      <c r="B42" s="22" t="str">
        <f>IFERROR(__xludf.DUMMYFUNCTION("GOOGLEFINANCE(B42,""name"")"),"iShares MSCI Eurozone ETF")</f>
        <v>iShares MSCI Eurozone ETF</v>
      </c>
      <c r="C42" s="21">
        <f>IFERROR(__xludf.DUMMYFUNCTION("GOOGLEFINANCE(B42)"),47.85)</f>
        <v>47.85</v>
      </c>
      <c r="D42" s="23">
        <f>IFERROR(__xludf.DUMMYFUNCTION("GOOGLEFINANCE(B42,""changepct"")/100"),-0.0029)</f>
        <v>-0.0029</v>
      </c>
      <c r="E42" s="23">
        <f>IFERROR(__xludf.DUMMYFUNCTION("$D42/(index(GOOGLEFINANCE($B42,""price"",workday(today(),-F$4),today()),2,2))-1"),0.0189522998296423)</f>
        <v>0.0189522998296423</v>
      </c>
      <c r="F42" s="23">
        <f>IFERROR(__xludf.DUMMYFUNCTION("$D42/(index(GOOGLEFINANCE($B42,""price"",workday(today(),-G$4),today()),2,2))-1"),-0.0524752475247524)</f>
        <v>-0.0524752475247524</v>
      </c>
      <c r="G42" s="32">
        <f>IFERROR(__xludf.DUMMYFUNCTION("$D42/(index(GOOGLEFINANCE($B42,""price"",$H$4,today()),2,2))-1"),-0.0524752475247524)</f>
        <v>-0.0524752475247524</v>
      </c>
      <c r="H42" s="31" t="str">
        <f>IFERROR(__xludf.DUMMYFUNCTION("IF(B42="""","""",SPARKLINE(INDEX(GOOGLEFINANCE($B42,""price"",$H$4,today()),,2),{""charttype"",""line""}))"),"")</f>
        <v/>
      </c>
      <c r="I42" s="10" t="str">
        <f>IFERROR(__xludf.DUMMYFUNCTION("IF(B42="""","""",SPARKLINE(INDEX(GOOGLEFINANCE($B42,""volume"",$H$4,today()),,2), {""charttype"",""column"";""color"",""grey"";""highcolor"",""balck"";""lowcolor"",""red""}))"),"")</f>
        <v/>
      </c>
      <c r="J42" s="23">
        <f t="shared" si="6"/>
        <v>0.0707187906901292</v>
      </c>
      <c r="K42" s="23">
        <f t="shared" si="7"/>
        <v>-0.000708756664265495</v>
      </c>
    </row>
    <row r="43" spans="1:11">
      <c r="A43" s="10" t="s">
        <v>981</v>
      </c>
      <c r="B43" s="22" t="str">
        <f>IFERROR(__xludf.DUMMYFUNCTION("GOOGLEFINANCE(B43,""name"")"),"iShares MSCI United Kingdom ETF")</f>
        <v>iShares MSCI United Kingdom ETF</v>
      </c>
      <c r="C43" s="21">
        <f>IFERROR(__xludf.DUMMYFUNCTION("GOOGLEFINANCE(B43)"),35.5)</f>
        <v>35.5</v>
      </c>
      <c r="D43" s="23">
        <f>IFERROR(__xludf.DUMMYFUNCTION("GOOGLEFINANCE(B43,""changepct"")/100"),0.0028)</f>
        <v>0.0028</v>
      </c>
      <c r="E43" s="23">
        <f>IFERROR(__xludf.DUMMYFUNCTION("$D43/(index(GOOGLEFINANCE($B43,""price"",workday(today(),-F$4),today()),2,2))-1"),0.0295823665893273)</f>
        <v>0.0295823665893273</v>
      </c>
      <c r="F43" s="23">
        <f>IFERROR(__xludf.DUMMYFUNCTION("$D43/(index(GOOGLEFINANCE($B43,""price"",workday(today(),-G$4),today()),2,2))-1"),-0.00615901455767076)</f>
        <v>-0.00615901455767076</v>
      </c>
      <c r="G43" s="32">
        <f>IFERROR(__xludf.DUMMYFUNCTION("$D43/(index(GOOGLEFINANCE($B43,""price"",$H$4,today()),2,2))-1"),-0.00615901455767076)</f>
        <v>-0.00615901455767076</v>
      </c>
      <c r="H43" s="31" t="str">
        <f>IFERROR(__xludf.DUMMYFUNCTION("IF(B43="""","""",SPARKLINE(INDEX(GOOGLEFINANCE($B43,""price"",$H$4,today()),,2),{""charttype"",""line""}))"),"")</f>
        <v/>
      </c>
      <c r="I43" s="10" t="str">
        <f>IFERROR(__xludf.DUMMYFUNCTION("IF(B43="""","""",SPARKLINE(INDEX(GOOGLEFINANCE($B43,""volume"",$H$4,today()),,2), {""charttype"",""column"";""color"",""grey"";""highcolor"",""balck"";""lowcolor"",""red""}))"),"")</f>
        <v/>
      </c>
      <c r="J43" s="23">
        <f t="shared" si="6"/>
        <v>0.0813488574498142</v>
      </c>
      <c r="K43" s="23">
        <f t="shared" si="7"/>
        <v>0.0456074763028161</v>
      </c>
    </row>
    <row r="44" spans="1:11">
      <c r="A44" s="10" t="s">
        <v>982</v>
      </c>
      <c r="B44" s="22" t="str">
        <f>IFERROR(__xludf.DUMMYFUNCTION("GOOGLEFINANCE(B44,""name"")"),"iShares MSCI Germany ETF")</f>
        <v>iShares MSCI Germany ETF</v>
      </c>
      <c r="C44" s="21">
        <f>IFERROR(__xludf.DUMMYFUNCTION("GOOGLEFINANCE(B44)"),30.09)</f>
        <v>30.09</v>
      </c>
      <c r="D44" s="23">
        <f>IFERROR(__xludf.DUMMYFUNCTION("GOOGLEFINANCE(B44,""changepct"")/100"),-0.0023)</f>
        <v>-0.0023</v>
      </c>
      <c r="E44" s="23">
        <f>IFERROR(__xludf.DUMMYFUNCTION("$D44/(index(GOOGLEFINANCE($B44,""price"",workday(today(),-F$4),today()),2,2))-1"),0.0179296346414072)</f>
        <v>0.0179296346414072</v>
      </c>
      <c r="F44" s="23">
        <f>IFERROR(__xludf.DUMMYFUNCTION("$D44/(index(GOOGLEFINANCE($B44,""price"",workday(today(),-G$4),today()),2,2))-1"),-0.0477848101265823)</f>
        <v>-0.0477848101265823</v>
      </c>
      <c r="G44" s="32">
        <f>IFERROR(__xludf.DUMMYFUNCTION("$D44/(index(GOOGLEFINANCE($B44,""price"",$H$4,today()),2,2))-1"),-0.0477848101265823)</f>
        <v>-0.0477848101265823</v>
      </c>
      <c r="H44" s="31" t="str">
        <f>IFERROR(__xludf.DUMMYFUNCTION("IF(B44="""","""",SPARKLINE(INDEX(GOOGLEFINANCE($B44,""price"",$H$4,today()),,2),{""charttype"",""line""}))"),"")</f>
        <v/>
      </c>
      <c r="I44" s="10" t="str">
        <f>IFERROR(__xludf.DUMMYFUNCTION("IF(B44="""","""",SPARKLINE(INDEX(GOOGLEFINANCE($B44,""volume"",$H$4,today()),,2), {""charttype"",""column"";""color"",""grey"";""highcolor"",""balck"";""lowcolor"",""red""}))"),"")</f>
        <v/>
      </c>
      <c r="J44" s="23">
        <f t="shared" si="6"/>
        <v>0.0696961255018941</v>
      </c>
      <c r="K44" s="23">
        <f t="shared" si="7"/>
        <v>0.00398168073390461</v>
      </c>
    </row>
    <row r="45" spans="1:11">
      <c r="A45" s="10" t="s">
        <v>983</v>
      </c>
      <c r="B45" s="22" t="str">
        <f>IFERROR(__xludf.DUMMYFUNCTION("GOOGLEFINANCE(B45,""name"")"),"Ishares Msci Italy ETF")</f>
        <v>Ishares Msci Italy ETF</v>
      </c>
      <c r="C45" s="21">
        <f>IFERROR(__xludf.DUMMYFUNCTION("GOOGLEFINANCE(B45)"),35.66)</f>
        <v>35.66</v>
      </c>
      <c r="D45" s="23">
        <f>IFERROR(__xludf.DUMMYFUNCTION("GOOGLEFINANCE(B45,""changepct"")/100"),0.0028)</f>
        <v>0.0028</v>
      </c>
      <c r="E45" s="23">
        <f>IFERROR(__xludf.DUMMYFUNCTION("$D45/(index(GOOGLEFINANCE($B45,""price"",workday(today(),-F$4),today()),2,2))-1"),0.016533637400228)</f>
        <v>0.016533637400228</v>
      </c>
      <c r="F45" s="23">
        <f>IFERROR(__xludf.DUMMYFUNCTION("$D45/(index(GOOGLEFINANCE($B45,""price"",workday(today(),-G$4),today()),2,2))-1"),-0.0495735607675907)</f>
        <v>-0.0495735607675907</v>
      </c>
      <c r="G45" s="32">
        <f>IFERROR(__xludf.DUMMYFUNCTION("$D45/(index(GOOGLEFINANCE($B45,""price"",$H$4,today()),2,2))-1"),-0.0495735607675907)</f>
        <v>-0.0495735607675907</v>
      </c>
      <c r="H45" s="31" t="str">
        <f>IFERROR(__xludf.DUMMYFUNCTION("IF(B45="""","""",SPARKLINE(INDEX(GOOGLEFINANCE($B45,""price"",$H$4,today()),,2),{""charttype"",""line""}))"),"")</f>
        <v/>
      </c>
      <c r="I45" s="10" t="str">
        <f>IFERROR(__xludf.DUMMYFUNCTION("IF(B45="""","""",SPARKLINE(INDEX(GOOGLEFINANCE($B45,""volume"",$H$4,today()),,2), {""charttype"",""column"";""color"",""grey"";""highcolor"",""balck"";""lowcolor"",""red""}))"),"")</f>
        <v/>
      </c>
      <c r="J45" s="23">
        <f t="shared" si="6"/>
        <v>0.0683001282607149</v>
      </c>
      <c r="K45" s="23">
        <f t="shared" si="7"/>
        <v>0.0021929300928962</v>
      </c>
    </row>
    <row r="46" spans="1:11">
      <c r="A46" s="10" t="s">
        <v>984</v>
      </c>
      <c r="B46" s="22" t="str">
        <f>IFERROR(__xludf.DUMMYFUNCTION("GOOGLEFINANCE(B46,""name"")"),"Ishares Msci Spain ETF")</f>
        <v>Ishares Msci Spain ETF</v>
      </c>
      <c r="C46" s="21">
        <f>IFERROR(__xludf.DUMMYFUNCTION("GOOGLEFINANCE(B46)"),31.36)</f>
        <v>31.36</v>
      </c>
      <c r="D46" s="23">
        <f>IFERROR(__xludf.DUMMYFUNCTION("GOOGLEFINANCE(B46,""changepct"")/100"),-0.0003)</f>
        <v>-0.0003</v>
      </c>
      <c r="E46" s="23">
        <f>IFERROR(__xludf.DUMMYFUNCTION("$D46/(index(GOOGLEFINANCE($B46,""price"",workday(today(),-F$4),today()),2,2))-1"),0.0191745206369839)</f>
        <v>0.0191745206369839</v>
      </c>
      <c r="F46" s="23">
        <f>IFERROR(__xludf.DUMMYFUNCTION("$D46/(index(GOOGLEFINANCE($B46,""price"",workday(today(),-G$4),today()),2,2))-1"),-0.0359667998770366)</f>
        <v>-0.0359667998770366</v>
      </c>
      <c r="G46" s="32">
        <f>IFERROR(__xludf.DUMMYFUNCTION("$D46/(index(GOOGLEFINANCE($B46,""price"",$H$4,today()),2,2))-1"),-0.0359667998770366)</f>
        <v>-0.0359667998770366</v>
      </c>
      <c r="H46" s="31" t="str">
        <f>IFERROR(__xludf.DUMMYFUNCTION("IF(B46="""","""",SPARKLINE(INDEX(GOOGLEFINANCE($B46,""price"",$H$4,today()),,2),{""charttype"",""line""}))"),"")</f>
        <v/>
      </c>
      <c r="I46" s="10" t="str">
        <f>IFERROR(__xludf.DUMMYFUNCTION("IF(B46="""","""",SPARKLINE(INDEX(GOOGLEFINANCE($B46,""volume"",$H$4,today()),,2), {""charttype"",""column"";""color"",""grey"";""highcolor"",""balck"";""lowcolor"",""red""}))"),"")</f>
        <v/>
      </c>
      <c r="J46" s="23">
        <f t="shared" si="6"/>
        <v>0.0709410114974708</v>
      </c>
      <c r="K46" s="23">
        <f t="shared" si="7"/>
        <v>0.0157996909834503</v>
      </c>
    </row>
    <row r="47" spans="1:11">
      <c r="A47" s="10" t="s">
        <v>985</v>
      </c>
      <c r="B47" s="22" t="str">
        <f>IFERROR(__xludf.DUMMYFUNCTION("GOOGLEFINANCE(B47,""name"")"),"iShares MSCI Canada ETF")</f>
        <v>iShares MSCI Canada ETF</v>
      </c>
      <c r="C47" s="21">
        <f>IFERROR(__xludf.DUMMYFUNCTION("GOOGLEFINANCE(B47)"),37.93)</f>
        <v>37.93</v>
      </c>
      <c r="D47" s="23">
        <f>IFERROR(__xludf.DUMMYFUNCTION("GOOGLEFINANCE(B47,""changepct"")/100"),0.0026)</f>
        <v>0.0026</v>
      </c>
      <c r="E47" s="23">
        <f>IFERROR(__xludf.DUMMYFUNCTION("$D47/(index(GOOGLEFINANCE($B47,""price"",workday(today(),-F$4),today()),2,2))-1"),0.0386089813800656)</f>
        <v>0.0386089813800656</v>
      </c>
      <c r="F47" s="23">
        <f>IFERROR(__xludf.DUMMYFUNCTION("$D47/(index(GOOGLEFINANCE($B47,""price"",workday(today(),-G$4),today()),2,2))-1"),-0.0173575129533679)</f>
        <v>-0.0173575129533679</v>
      </c>
      <c r="G47" s="32">
        <f>IFERROR(__xludf.DUMMYFUNCTION("$D47/(index(GOOGLEFINANCE($B47,""price"",$H$4,today()),2,2))-1"),-0.0173575129533679)</f>
        <v>-0.0173575129533679</v>
      </c>
      <c r="H47" s="31" t="str">
        <f>IFERROR(__xludf.DUMMYFUNCTION("IF(B47="""","""",SPARKLINE(INDEX(GOOGLEFINANCE($B47,""price"",$H$4,today()),,2),{""charttype"",""line""}))"),"")</f>
        <v/>
      </c>
      <c r="I47" s="10" t="str">
        <f>IFERROR(__xludf.DUMMYFUNCTION("IF(B47="""","""",SPARKLINE(INDEX(GOOGLEFINANCE($B47,""volume"",$H$4,today()),,2), {""charttype"",""column"";""color"",""grey"";""highcolor"",""balck"";""lowcolor"",""red""}))"),"")</f>
        <v/>
      </c>
      <c r="J47" s="23">
        <f t="shared" si="6"/>
        <v>0.0903754722405525</v>
      </c>
      <c r="K47" s="23">
        <f t="shared" si="7"/>
        <v>0.034408977907119</v>
      </c>
    </row>
    <row r="48" spans="1:11">
      <c r="A48" s="10" t="s">
        <v>986</v>
      </c>
      <c r="B48" s="22" t="str">
        <f>IFERROR(__xludf.DUMMYFUNCTION("GOOGLEFINANCE(B48,""name"")"),"iShares MSCI Japan ETF")</f>
        <v>iShares MSCI Japan ETF</v>
      </c>
      <c r="C48" s="21">
        <f>IFERROR(__xludf.DUMMYFUNCTION("GOOGLEFINANCE(B48)"),65.76)</f>
        <v>65.76</v>
      </c>
      <c r="D48" s="23">
        <f>IFERROR(__xludf.DUMMYFUNCTION("GOOGLEFINANCE(B48,""changepct"")/100"),0.006)</f>
        <v>0.006</v>
      </c>
      <c r="E48" s="23">
        <f>IFERROR(__xludf.DUMMYFUNCTION("$D48/(index(GOOGLEFINANCE($B48,""price"",workday(today(),-F$4),today()),2,2))-1"),0.03673340690525)</f>
        <v>0.03673340690525</v>
      </c>
      <c r="F48" s="23">
        <f>IFERROR(__xludf.DUMMYFUNCTION("$D48/(index(GOOGLEFINANCE($B48,""price"",workday(today(),-G$4),today()),2,2))-1"),-0.0745848578665915)</f>
        <v>-0.0745848578665915</v>
      </c>
      <c r="G48" s="32">
        <f>IFERROR(__xludf.DUMMYFUNCTION("$D48/(index(GOOGLEFINANCE($B48,""price"",$H$4,today()),2,2))-1"),-0.0745848578665915)</f>
        <v>-0.0745848578665915</v>
      </c>
      <c r="H48" s="31" t="str">
        <f>IFERROR(__xludf.DUMMYFUNCTION("IF(B48="""","""",SPARKLINE(INDEX(GOOGLEFINANCE($B48,""price"",$H$4,today()),,2),{""charttype"",""line""}))"),"")</f>
        <v/>
      </c>
      <c r="I48" s="10" t="str">
        <f>IFERROR(__xludf.DUMMYFUNCTION("IF(B48="""","""",SPARKLINE(INDEX(GOOGLEFINANCE($B48,""volume"",$H$4,today()),,2), {""charttype"",""column"";""color"",""grey"";""highcolor"",""balck"";""lowcolor"",""red""}))"),"")</f>
        <v/>
      </c>
      <c r="J48" s="23">
        <f t="shared" si="6"/>
        <v>0.0884998977657369</v>
      </c>
      <c r="K48" s="23">
        <f t="shared" si="7"/>
        <v>-0.0228183670061046</v>
      </c>
    </row>
    <row r="49" spans="1:11">
      <c r="A49" s="20" t="s">
        <v>987</v>
      </c>
      <c r="B49" s="22"/>
      <c r="C49" s="21"/>
      <c r="D49" s="23"/>
      <c r="E49" s="23"/>
      <c r="F49" s="23"/>
      <c r="G49" s="32"/>
      <c r="H49" s="31"/>
      <c r="I49" s="10"/>
      <c r="J49" s="10"/>
      <c r="K49" s="10"/>
    </row>
    <row r="50" spans="1:11">
      <c r="A50" s="10" t="s">
        <v>988</v>
      </c>
      <c r="B50" s="22" t="str">
        <f>IFERROR(__xludf.DUMMYFUNCTION("GOOGLEFINANCE(B50,""name"")"),"iShares MSCI Emerging Markets ETF")</f>
        <v>iShares MSCI Emerging Markets ETF</v>
      </c>
      <c r="C50" s="21">
        <f>IFERROR(__xludf.DUMMYFUNCTION("GOOGLEFINANCE(B50)"),42.24)</f>
        <v>42.24</v>
      </c>
      <c r="D50" s="23">
        <f>IFERROR(__xludf.DUMMYFUNCTION("GOOGLEFINANCE(B50,""changepct"")/100"),0.0043)</f>
        <v>0.0043</v>
      </c>
      <c r="E50" s="23">
        <f>IFERROR(__xludf.DUMMYFUNCTION("$D50/(index(GOOGLEFINANCE($B50,""price"",workday(today(),-F$4),today()),2,2))-1"),0.0450272142503711)</f>
        <v>0.0450272142503711</v>
      </c>
      <c r="F50" s="23">
        <f>IFERROR(__xludf.DUMMYFUNCTION("$D50/(index(GOOGLEFINANCE($B50,""price"",workday(today(),-G$4),today()),2,2))-1"),-0.0408719346049045)</f>
        <v>-0.0408719346049045</v>
      </c>
      <c r="G50" s="32">
        <f>IFERROR(__xludf.DUMMYFUNCTION("$D50/(index(GOOGLEFINANCE($B50,""price"",$H$4,today()),2,2))-1"),-0.0408719346049045)</f>
        <v>-0.0408719346049045</v>
      </c>
      <c r="H50" s="31" t="str">
        <f>IFERROR(__xludf.DUMMYFUNCTION("IF(B50="""","""",SPARKLINE(INDEX(GOOGLEFINANCE($B50,""price"",$H$4,today()),,2),{""charttype"",""line""}))"),"")</f>
        <v/>
      </c>
      <c r="I50" s="10" t="str">
        <f>IFERROR(__xludf.DUMMYFUNCTION("IF(B50="""","""",SPARKLINE(INDEX(GOOGLEFINANCE($B50,""volume"",$H$4,today()),,2), {""charttype"",""column"";""color"",""grey"";""highcolor"",""balck"";""lowcolor"",""red""}))"),"")</f>
        <v/>
      </c>
      <c r="J50" s="23">
        <f t="shared" ref="J50:J60" si="8">E50-$F$13</f>
        <v>0.096793705110858</v>
      </c>
      <c r="K50" s="23">
        <f t="shared" ref="K50:K60" si="9">F50-$G$13</f>
        <v>0.0108945562555824</v>
      </c>
    </row>
    <row r="51" spans="1:11">
      <c r="A51" s="10" t="s">
        <v>989</v>
      </c>
      <c r="B51" s="22" t="str">
        <f>IFERROR(__xludf.DUMMYFUNCTION("GOOGLEFINANCE(B51,""name"")"),"Ishares Msci South Korea ETF")</f>
        <v>Ishares Msci South Korea ETF</v>
      </c>
      <c r="C51" s="21">
        <f>IFERROR(__xludf.DUMMYFUNCTION("GOOGLEFINANCE(B51)"),62.34)</f>
        <v>62.34</v>
      </c>
      <c r="D51" s="23">
        <f>IFERROR(__xludf.DUMMYFUNCTION("GOOGLEFINANCE(B51,""changepct"")/100"),0.0019)</f>
        <v>0.0019</v>
      </c>
      <c r="E51" s="23">
        <f>IFERROR(__xludf.DUMMYFUNCTION("$D51/(index(GOOGLEFINANCE($B51,""price"",workday(today(),-F$4),today()),2,2))-1"),0.0370986524704708)</f>
        <v>0.0370986524704708</v>
      </c>
      <c r="F51" s="23">
        <f>IFERROR(__xludf.DUMMYFUNCTION("$D51/(index(GOOGLEFINANCE($B51,""price"",workday(today(),-G$4),today()),2,2))-1"),-0.077947049253069)</f>
        <v>-0.077947049253069</v>
      </c>
      <c r="G51" s="32">
        <f>IFERROR(__xludf.DUMMYFUNCTION("$D51/(index(GOOGLEFINANCE($B51,""price"",$H$4,today()),2,2))-1"),-0.077947049253069)</f>
        <v>-0.077947049253069</v>
      </c>
      <c r="H51" s="31" t="str">
        <f>IFERROR(__xludf.DUMMYFUNCTION("IF(B51="""","""",SPARKLINE(INDEX(GOOGLEFINANCE($B51,""price"",$H$4,today()),,2),{""charttype"",""line""}))"),"")</f>
        <v/>
      </c>
      <c r="I51" s="10" t="str">
        <f>IFERROR(__xludf.DUMMYFUNCTION("IF(B51="""","""",SPARKLINE(INDEX(GOOGLEFINANCE($B51,""volume"",$H$4,today()),,2), {""charttype"",""column"";""color"",""grey"";""highcolor"",""balck"";""lowcolor"",""red""}))"),"")</f>
        <v/>
      </c>
      <c r="J51" s="23">
        <f t="shared" si="8"/>
        <v>0.0888651433309577</v>
      </c>
      <c r="K51" s="23">
        <f t="shared" si="9"/>
        <v>-0.0261805583925821</v>
      </c>
    </row>
    <row r="52" spans="1:11">
      <c r="A52" s="10" t="s">
        <v>990</v>
      </c>
      <c r="B52" s="22" t="str">
        <f>IFERROR(__xludf.DUMMYFUNCTION("GOOGLEFINANCE(B52,""name"")"),"Ishares Msci Singapore Etf")</f>
        <v>Ishares Msci Singapore Etf</v>
      </c>
      <c r="C52" s="21">
        <f>IFERROR(__xludf.DUMMYFUNCTION("GOOGLEFINANCE(B52)"),19.02)</f>
        <v>19.02</v>
      </c>
      <c r="D52" s="23">
        <f>IFERROR(__xludf.DUMMYFUNCTION("GOOGLEFINANCE(B52,""changepct"")/100"),-0.0034)</f>
        <v>-0.0034</v>
      </c>
      <c r="E52" s="23">
        <f>IFERROR(__xludf.DUMMYFUNCTION("$D52/(index(GOOGLEFINANCE($B52,""price"",workday(today(),-F$4),today()),2,2))-1"),0.0242326332794831)</f>
        <v>0.0242326332794831</v>
      </c>
      <c r="F52" s="23">
        <f>IFERROR(__xludf.DUMMYFUNCTION("$D52/(index(GOOGLEFINANCE($B52,""price"",workday(today(),-G$4),today()),2,2))-1"),-0.0518444666001993)</f>
        <v>-0.0518444666001993</v>
      </c>
      <c r="G52" s="32">
        <f>IFERROR(__xludf.DUMMYFUNCTION("$D52/(index(GOOGLEFINANCE($B52,""price"",$H$4,today()),2,2))-1"),-0.0518444666001993)</f>
        <v>-0.0518444666001993</v>
      </c>
      <c r="H52" s="31" t="str">
        <f>IFERROR(__xludf.DUMMYFUNCTION("IF(B52="""","""",SPARKLINE(INDEX(GOOGLEFINANCE($B52,""price"",$H$4,today()),,2),{""charttype"",""line""}))"),"")</f>
        <v/>
      </c>
      <c r="I52" s="10" t="str">
        <f>IFERROR(__xludf.DUMMYFUNCTION("IF(B52="""","""",SPARKLINE(INDEX(GOOGLEFINANCE($B52,""volume"",$H$4,today()),,2), {""charttype"",""column"";""color"",""grey"";""highcolor"",""balck"";""lowcolor"",""red""}))"),"")</f>
        <v/>
      </c>
      <c r="J52" s="23">
        <f t="shared" si="8"/>
        <v>0.07599912413997</v>
      </c>
      <c r="K52" s="23">
        <f t="shared" si="9"/>
        <v>-7.79757397123965e-5</v>
      </c>
    </row>
    <row r="53" spans="1:11">
      <c r="A53" s="10" t="s">
        <v>991</v>
      </c>
      <c r="B53" s="22" t="str">
        <f>IFERROR(__xludf.DUMMYFUNCTION("GOOGLEFINANCE(B53,""name"")"),"iShares MSCI Indonesia ETF")</f>
        <v>iShares MSCI Indonesia ETF</v>
      </c>
      <c r="C53" s="21">
        <f>IFERROR(__xludf.DUMMYFUNCTION("GOOGLEFINANCE(B53)"),20.55)</f>
        <v>20.55</v>
      </c>
      <c r="D53" s="23">
        <f>IFERROR(__xludf.DUMMYFUNCTION("GOOGLEFINANCE(B53,""changepct"")/100"),0.0034)</f>
        <v>0.0034</v>
      </c>
      <c r="E53" s="23">
        <f>IFERROR(__xludf.DUMMYFUNCTION("$D53/(index(GOOGLEFINANCE($B53,""price"",workday(today(),-F$4),today()),2,2))-1"),0.0506134969325153)</f>
        <v>0.0506134969325153</v>
      </c>
      <c r="F53" s="23">
        <f>IFERROR(__xludf.DUMMYFUNCTION("$D53/(index(GOOGLEFINANCE($B53,""price"",workday(today(),-G$4),today()),2,2))-1"),0.0193452380952381)</f>
        <v>0.0193452380952381</v>
      </c>
      <c r="G53" s="32">
        <f>IFERROR(__xludf.DUMMYFUNCTION("$D53/(index(GOOGLEFINANCE($B53,""price"",$H$4,today()),2,2))-1"),0.0193452380952381)</f>
        <v>0.0193452380952381</v>
      </c>
      <c r="H53" s="31" t="str">
        <f>IFERROR(__xludf.DUMMYFUNCTION("IF(B53="""","""",SPARKLINE(INDEX(GOOGLEFINANCE($B53,""price"",$H$4,today()),,2),{""charttype"",""line""}))"),"")</f>
        <v/>
      </c>
      <c r="I53" s="10" t="str">
        <f>IFERROR(__xludf.DUMMYFUNCTION("IF(B53="""","""",SPARKLINE(INDEX(GOOGLEFINANCE($B53,""volume"",$H$4,today()),,2), {""charttype"",""column"";""color"",""grey"";""highcolor"",""balck"";""lowcolor"",""red""}))"),"")</f>
        <v/>
      </c>
      <c r="J53" s="23">
        <f t="shared" si="8"/>
        <v>0.102379987793002</v>
      </c>
      <c r="K53" s="23">
        <f t="shared" si="9"/>
        <v>0.071111728955725</v>
      </c>
    </row>
    <row r="54" spans="1:11">
      <c r="A54" s="10" t="s">
        <v>992</v>
      </c>
      <c r="B54" s="22" t="str">
        <f>IFERROR(__xludf.DUMMYFUNCTION("GOOGLEFINANCE(B54,""name"")"),"iShares MSCI South Africa ETF")</f>
        <v>iShares MSCI South Africa ETF</v>
      </c>
      <c r="C54" s="21">
        <f>IFERROR(__xludf.DUMMYFUNCTION("GOOGLEFINANCE(B54)"),43.94)</f>
        <v>43.94</v>
      </c>
      <c r="D54" s="23">
        <f>IFERROR(__xludf.DUMMYFUNCTION("GOOGLEFINANCE(B54,""changepct"")/100"),-0.0048)</f>
        <v>-0.0048</v>
      </c>
      <c r="E54" s="23">
        <f>IFERROR(__xludf.DUMMYFUNCTION("$D54/(index(GOOGLEFINANCE($B54,""price"",workday(today(),-F$4),today()),2,2))-1"),0.0285580524344568)</f>
        <v>0.0285580524344568</v>
      </c>
      <c r="F54" s="23">
        <f>IFERROR(__xludf.DUMMYFUNCTION("$D54/(index(GOOGLEFINANCE($B54,""price"",workday(today(),-G$4),today()),2,2))-1"),-0.00924464487034959)</f>
        <v>-0.00924464487034959</v>
      </c>
      <c r="G54" s="32">
        <f>IFERROR(__xludf.DUMMYFUNCTION("$D54/(index(GOOGLEFINANCE($B54,""price"",$H$4,today()),2,2))-1"),-0.00924464487034959)</f>
        <v>-0.00924464487034959</v>
      </c>
      <c r="H54" s="31" t="str">
        <f>IFERROR(__xludf.DUMMYFUNCTION("IF(B54="""","""",SPARKLINE(INDEX(GOOGLEFINANCE($B54,""price"",$H$4,today()),,2),{""charttype"",""line""}))"),"")</f>
        <v/>
      </c>
      <c r="I54" s="10" t="str">
        <f>IFERROR(__xludf.DUMMYFUNCTION("IF(B54="""","""",SPARKLINE(INDEX(GOOGLEFINANCE($B54,""volume"",$H$4,today()),,2), {""charttype"",""column"";""color"",""grey"";""highcolor"",""balck"";""lowcolor"",""red""}))"),"")</f>
        <v/>
      </c>
      <c r="J54" s="23">
        <f t="shared" si="8"/>
        <v>0.0803245432949437</v>
      </c>
      <c r="K54" s="23">
        <f t="shared" si="9"/>
        <v>0.0425218459901373</v>
      </c>
    </row>
    <row r="55" spans="1:11">
      <c r="A55" s="10" t="s">
        <v>993</v>
      </c>
      <c r="B55" s="22" t="str">
        <f>IFERROR(__xludf.DUMMYFUNCTION("GOOGLEFINANCE(B55,""name"")"),"iShares MSCI Malaysia ETF")</f>
        <v>iShares MSCI Malaysia ETF</v>
      </c>
      <c r="C55" s="21">
        <f>IFERROR(__xludf.DUMMYFUNCTION("GOOGLEFINANCE(B55)"),24.02)</f>
        <v>24.02</v>
      </c>
      <c r="D55" s="23">
        <f>IFERROR(__xludf.DUMMYFUNCTION("GOOGLEFINANCE(B55,""changepct"")/100"),0.0059)</f>
        <v>0.0059</v>
      </c>
      <c r="E55" s="23">
        <f>IFERROR(__xludf.DUMMYFUNCTION("$D55/(index(GOOGLEFINANCE($B55,""price"",workday(today(),-F$4),today()),2,2))-1"),0.045711797997388)</f>
        <v>0.045711797997388</v>
      </c>
      <c r="F55" s="23">
        <f>IFERROR(__xludf.DUMMYFUNCTION("$D55/(index(GOOGLEFINANCE($B55,""price"",workday(today(),-G$4),today()),2,2))-1"),0.0313439244310862)</f>
        <v>0.0313439244310862</v>
      </c>
      <c r="G55" s="32">
        <f>IFERROR(__xludf.DUMMYFUNCTION("$D55/(index(GOOGLEFINANCE($B55,""price"",$H$4,today()),2,2))-1"),0.0313439244310862)</f>
        <v>0.0313439244310862</v>
      </c>
      <c r="H55" s="31" t="str">
        <f>IFERROR(__xludf.DUMMYFUNCTION("IF(B55="""","""",SPARKLINE(INDEX(GOOGLEFINANCE($B55,""price"",$H$4,today()),,2),{""charttype"",""line""}))"),"")</f>
        <v/>
      </c>
      <c r="I55" s="10" t="str">
        <f>IFERROR(__xludf.DUMMYFUNCTION("IF(B55="""","""",SPARKLINE(INDEX(GOOGLEFINANCE($B55,""volume"",$H$4,today()),,2), {""charttype"",""column"";""color"",""grey"";""highcolor"",""balck"";""lowcolor"",""red""}))"),"")</f>
        <v/>
      </c>
      <c r="J55" s="23">
        <f t="shared" si="8"/>
        <v>0.0974782888578749</v>
      </c>
      <c r="K55" s="23">
        <f t="shared" si="9"/>
        <v>0.0831104152915731</v>
      </c>
    </row>
    <row r="56" spans="1:11">
      <c r="A56" s="10" t="s">
        <v>994</v>
      </c>
      <c r="B56" s="22" t="str">
        <f>IFERROR(__xludf.DUMMYFUNCTION("GOOGLEFINANCE(B56,""name"")"),"iShares MSCI India ETF")</f>
        <v>iShares MSCI India ETF</v>
      </c>
      <c r="C56" s="21">
        <f>IFERROR(__xludf.DUMMYFUNCTION("GOOGLEFINANCE(B56)"),55.73)</f>
        <v>55.73</v>
      </c>
      <c r="D56" s="23">
        <f>IFERROR(__xludf.DUMMYFUNCTION("GOOGLEFINANCE(B56,""changepct"")/100"),-0.0011)</f>
        <v>-0.0011</v>
      </c>
      <c r="E56" s="23">
        <f>IFERROR(__xludf.DUMMYFUNCTION("$D56/(index(GOOGLEFINANCE($B56,""price"",workday(today(),-F$4),today()),2,2))-1"),0.0158585490339044)</f>
        <v>0.0158585490339044</v>
      </c>
      <c r="F56" s="23">
        <f>IFERROR(__xludf.DUMMYFUNCTION("$D56/(index(GOOGLEFINANCE($B56,""price"",workday(today(),-G$4),today()),2,2))-1"),-0.0250174947515745)</f>
        <v>-0.0250174947515745</v>
      </c>
      <c r="G56" s="32">
        <f>IFERROR(__xludf.DUMMYFUNCTION("$D56/(index(GOOGLEFINANCE($B56,""price"",$H$4,today()),2,2))-1"),-0.0250174947515745)</f>
        <v>-0.0250174947515745</v>
      </c>
      <c r="H56" s="31" t="str">
        <f>IFERROR(__xludf.DUMMYFUNCTION("IF(B56="""","""",SPARKLINE(INDEX(GOOGLEFINANCE($B56,""price"",$H$4,today()),,2),{""charttype"",""line""}))"),"")</f>
        <v/>
      </c>
      <c r="I56" s="10" t="str">
        <f>IFERROR(__xludf.DUMMYFUNCTION("IF(B56="""","""",SPARKLINE(INDEX(GOOGLEFINANCE($B56,""volume"",$H$4,today()),,2), {""charttype"",""column"";""color"",""grey"";""highcolor"",""balck"";""lowcolor"",""red""}))"),"")</f>
        <v/>
      </c>
      <c r="J56" s="23">
        <f t="shared" si="8"/>
        <v>0.0676250398943913</v>
      </c>
      <c r="K56" s="23">
        <f t="shared" si="9"/>
        <v>0.0267489961089124</v>
      </c>
    </row>
    <row r="57" spans="1:11">
      <c r="A57" s="10" t="s">
        <v>995</v>
      </c>
      <c r="B57" s="22" t="str">
        <f>IFERROR(__xludf.DUMMYFUNCTION("GOOGLEFINANCE(B57,""name"")"),"VanEck Vietnam ETF")</f>
        <v>VanEck Vietnam ETF</v>
      </c>
      <c r="C57" s="21">
        <f>IFERROR(__xludf.DUMMYFUNCTION("GOOGLEFINANCE(B57)"),11.88)</f>
        <v>11.88</v>
      </c>
      <c r="D57" s="23">
        <f>IFERROR(__xludf.DUMMYFUNCTION("GOOGLEFINANCE(B57,""changepct"")/100"),0.003)</f>
        <v>0.003</v>
      </c>
      <c r="E57" s="23">
        <f>IFERROR(__xludf.DUMMYFUNCTION("$D57/(index(GOOGLEFINANCE($B57,""price"",workday(today(),-F$4),today()),2,2))-1"),0.0421052631578948)</f>
        <v>0.0421052631578948</v>
      </c>
      <c r="F57" s="23">
        <f>IFERROR(__xludf.DUMMYFUNCTION("$D57/(index(GOOGLEFINANCE($B57,""price"",workday(today(),-G$4),today()),2,2))-1"),-0.0380566801619431)</f>
        <v>-0.0380566801619431</v>
      </c>
      <c r="G57" s="32">
        <f>IFERROR(__xludf.DUMMYFUNCTION("$D57/(index(GOOGLEFINANCE($B57,""price"",$H$4,today()),2,2))-1"),-0.0380566801619431)</f>
        <v>-0.0380566801619431</v>
      </c>
      <c r="H57" s="31" t="str">
        <f>IFERROR(__xludf.DUMMYFUNCTION("IF(B57="""","""",SPARKLINE(INDEX(GOOGLEFINANCE($B57,""price"",$H$4,today()),,2),{""charttype"",""line""}))"),"")</f>
        <v/>
      </c>
      <c r="I57" s="10" t="str">
        <f>IFERROR(__xludf.DUMMYFUNCTION("IF(B57="""","""",SPARKLINE(INDEX(GOOGLEFINANCE($B57,""volume"",$H$4,today()),,2), {""charttype"",""column"";""color"",""grey"";""highcolor"",""balck"";""lowcolor"",""red""}))"),"")</f>
        <v/>
      </c>
      <c r="J57" s="23">
        <f t="shared" si="8"/>
        <v>0.0938717540183817</v>
      </c>
      <c r="K57" s="23">
        <f t="shared" si="9"/>
        <v>0.0137098106985438</v>
      </c>
    </row>
    <row r="58" spans="1:11">
      <c r="A58" s="10" t="s">
        <v>996</v>
      </c>
      <c r="B58" s="22" t="str">
        <f>IFERROR(__xludf.DUMMYFUNCTION("GOOGLEFINANCE(B58,""name"")"),"iShares MSCI Mexico ETF")</f>
        <v>iShares MSCI Mexico ETF</v>
      </c>
      <c r="C58" s="21">
        <f>IFERROR(__xludf.DUMMYFUNCTION("GOOGLEFINANCE(B58)"),54.89)</f>
        <v>54.89</v>
      </c>
      <c r="D58" s="23">
        <f>IFERROR(__xludf.DUMMYFUNCTION("GOOGLEFINANCE(B58,""changepct"")/100"),-0.0137)</f>
        <v>-0.0137</v>
      </c>
      <c r="E58" s="23">
        <f>IFERROR(__xludf.DUMMYFUNCTION("$D58/(index(GOOGLEFINANCE($B58,""price"",workday(today(),-F$4),today()),2,2))-1"),0.0441316340117938)</f>
        <v>0.0441316340117938</v>
      </c>
      <c r="F58" s="23">
        <f>IFERROR(__xludf.DUMMYFUNCTION("$D58/(index(GOOGLEFINANCE($B58,""price"",workday(today(),-G$4),today()),2,2))-1"),-0.0928772103784497)</f>
        <v>-0.0928772103784497</v>
      </c>
      <c r="G58" s="32">
        <f>IFERROR(__xludf.DUMMYFUNCTION("$D58/(index(GOOGLEFINANCE($B58,""price"",$H$4,today()),2,2))-1"),-0.0928772103784497)</f>
        <v>-0.0928772103784497</v>
      </c>
      <c r="H58" s="31" t="str">
        <f>IFERROR(__xludf.DUMMYFUNCTION("IF(B58="""","""",SPARKLINE(INDEX(GOOGLEFINANCE($B58,""price"",$H$4,today()),,2),{""charttype"",""line""}))"),"")</f>
        <v/>
      </c>
      <c r="I58" s="10" t="str">
        <f>IFERROR(__xludf.DUMMYFUNCTION("IF(B58="""","""",SPARKLINE(INDEX(GOOGLEFINANCE($B58,""volume"",$H$4,today()),,2), {""charttype"",""column"";""color"",""grey"";""highcolor"",""balck"";""lowcolor"",""red""}))"),"")</f>
        <v/>
      </c>
      <c r="J58" s="23">
        <f t="shared" si="8"/>
        <v>0.0958981248722807</v>
      </c>
      <c r="K58" s="23">
        <f t="shared" si="9"/>
        <v>-0.0411107195179628</v>
      </c>
    </row>
    <row r="59" spans="1:11">
      <c r="A59" s="10" t="s">
        <v>997</v>
      </c>
      <c r="B59" s="22" t="str">
        <f>IFERROR(__xludf.DUMMYFUNCTION("GOOGLEFINANCE(B59,""name"")"),"Ishares Msci Brazil ETF")</f>
        <v>Ishares Msci Brazil ETF</v>
      </c>
      <c r="C59" s="21">
        <f>IFERROR(__xludf.DUMMYFUNCTION("GOOGLEFINANCE(B59)"),29.4)</f>
        <v>29.4</v>
      </c>
      <c r="D59" s="23">
        <f>IFERROR(__xludf.DUMMYFUNCTION("GOOGLEFINANCE(B59,""changepct"")/100"),0.0075)</f>
        <v>0.0075</v>
      </c>
      <c r="E59" s="23">
        <f>IFERROR(__xludf.DUMMYFUNCTION("$D59/(index(GOOGLEFINANCE($B59,""price"",workday(today(),-F$4),today()),2,2))-1"),0.0941570524748789)</f>
        <v>0.0941570524748789</v>
      </c>
      <c r="F59" s="23">
        <f>IFERROR(__xludf.DUMMYFUNCTION("$D59/(index(GOOGLEFINANCE($B59,""price"",workday(today(),-G$4),today()),2,2))-1"),0.00926879505664257)</f>
        <v>0.00926879505664257</v>
      </c>
      <c r="G59" s="32">
        <f>IFERROR(__xludf.DUMMYFUNCTION("$D59/(index(GOOGLEFINANCE($B59,""price"",$H$4,today()),2,2))-1"),0.00926879505664257)</f>
        <v>0.00926879505664257</v>
      </c>
      <c r="H59" s="31" t="str">
        <f>IFERROR(__xludf.DUMMYFUNCTION("IF(B59="""","""",SPARKLINE(INDEX(GOOGLEFINANCE($B59,""price"",$H$4,today()),,2),{""charttype"",""line""}))"),"")</f>
        <v/>
      </c>
      <c r="I59" s="10" t="str">
        <f>IFERROR(__xludf.DUMMYFUNCTION("IF(B59="""","""",SPARKLINE(INDEX(GOOGLEFINANCE($B59,""volume"",$H$4,today()),,2), {""charttype"",""column"";""color"",""grey"";""highcolor"",""balck"";""lowcolor"",""red""}))"),"")</f>
        <v/>
      </c>
      <c r="J59" s="23">
        <f t="shared" si="8"/>
        <v>0.145923543335366</v>
      </c>
      <c r="K59" s="23">
        <f t="shared" si="9"/>
        <v>0.0610352859171295</v>
      </c>
    </row>
    <row r="60" spans="1:11">
      <c r="A60" s="10" t="s">
        <v>998</v>
      </c>
      <c r="B60" s="22" t="str">
        <f>IFERROR(__xludf.DUMMYFUNCTION("GOOGLEFINANCE(B60,""name"")"),"Ishares Msci Taiwan ETF")</f>
        <v>Ishares Msci Taiwan ETF</v>
      </c>
      <c r="C60" s="21">
        <f>IFERROR(__xludf.DUMMYFUNCTION("GOOGLEFINANCE(B60)"),51.88)</f>
        <v>51.88</v>
      </c>
      <c r="D60" s="23">
        <f>IFERROR(__xludf.DUMMYFUNCTION("GOOGLEFINANCE(B60,""changepct"")/100"),0.0078)</f>
        <v>0.0078</v>
      </c>
      <c r="E60" s="23">
        <f>IFERROR(__xludf.DUMMYFUNCTION("$D60/(index(GOOGLEFINANCE($B60,""price"",workday(today(),-F$4),today()),2,2))-1"),0.0858099623273336)</f>
        <v>0.0858099623273336</v>
      </c>
      <c r="F60" s="23">
        <f>IFERROR(__xludf.DUMMYFUNCTION("$D60/(index(GOOGLEFINANCE($B60,""price"",workday(today(),-G$4),today()),2,2))-1"),-0.0714157866475746)</f>
        <v>-0.0714157866475746</v>
      </c>
      <c r="G60" s="32">
        <f>IFERROR(__xludf.DUMMYFUNCTION("$D60/(index(GOOGLEFINANCE($B60,""price"",$H$4,today()),2,2))-1"),-0.0714157866475746)</f>
        <v>-0.0714157866475746</v>
      </c>
      <c r="H60" s="31" t="str">
        <f>IFERROR(__xludf.DUMMYFUNCTION("IF(B60="""","""",SPARKLINE(INDEX(GOOGLEFINANCE($B60,""price"",$H$4,today()),,2),{""charttype"",""line""}))"),"")</f>
        <v/>
      </c>
      <c r="I60" s="10" t="str">
        <f>IFERROR(__xludf.DUMMYFUNCTION("IF(B60="""","""",SPARKLINE(INDEX(GOOGLEFINANCE($B60,""volume"",$H$4,today()),,2), {""charttype"",""column"";""color"",""grey"";""highcolor"",""balck"";""lowcolor"",""red""}))"),"")</f>
        <v/>
      </c>
      <c r="J60" s="23">
        <f t="shared" si="8"/>
        <v>0.13757645318782</v>
      </c>
      <c r="K60" s="23">
        <f t="shared" si="9"/>
        <v>-0.0196492957870877</v>
      </c>
    </row>
    <row r="61" spans="1:11">
      <c r="A61" s="20" t="s">
        <v>999</v>
      </c>
      <c r="B61" s="22"/>
      <c r="C61" s="21"/>
      <c r="D61" s="23"/>
      <c r="E61" s="23"/>
      <c r="F61" s="23"/>
      <c r="G61" s="32"/>
      <c r="H61" s="31"/>
      <c r="I61" s="10"/>
      <c r="J61" s="10"/>
      <c r="K61" s="10"/>
    </row>
    <row r="62" spans="1:11">
      <c r="A62" s="10" t="s">
        <v>1000</v>
      </c>
      <c r="B62" s="22" t="str">
        <f>IFERROR(__xludf.DUMMYFUNCTION("GOOGLEFINANCE(B62,""name"")"),"iShares MSCI China ETF")</f>
        <v>iShares MSCI China ETF</v>
      </c>
      <c r="C62" s="21">
        <f>IFERROR(__xludf.DUMMYFUNCTION("GOOGLEFINANCE(B62)"),41.97)</f>
        <v>41.97</v>
      </c>
      <c r="D62" s="23">
        <f>IFERROR(__xludf.DUMMYFUNCTION("GOOGLEFINANCE(B62,""changepct"")/100"),0.011)</f>
        <v>0.011</v>
      </c>
      <c r="E62" s="23">
        <f>IFERROR(__xludf.DUMMYFUNCTION("$D62/(index(GOOGLEFINANCE($B62,""price"",workday(today(),-F$4),today()),2,2))-1"),0.0332348596750369)</f>
        <v>0.0332348596750369</v>
      </c>
      <c r="F62" s="23">
        <f>IFERROR(__xludf.DUMMYFUNCTION("$D62/(index(GOOGLEFINANCE($B62,""price"",workday(today(),-G$4),today()),2,2))-1"),-0.0257660167130918)</f>
        <v>-0.0257660167130918</v>
      </c>
      <c r="G62" s="32">
        <f>IFERROR(__xludf.DUMMYFUNCTION("$D62/(index(GOOGLEFINANCE($B62,""price"",$H$4,today()),2,2))-1"),-0.0257660167130918)</f>
        <v>-0.0257660167130918</v>
      </c>
      <c r="H62" s="31" t="str">
        <f>IFERROR(__xludf.DUMMYFUNCTION("IF(B62="""","""",SPARKLINE(INDEX(GOOGLEFINANCE($B62,""price"",$H$4,today()),,2),{""charttype"",""line""}))"),"")</f>
        <v/>
      </c>
      <c r="I62" s="10" t="str">
        <f>IFERROR(__xludf.DUMMYFUNCTION("IF(B62="""","""",SPARKLINE(INDEX(GOOGLEFINANCE($B62,""volume"",$H$4,today()),,2), {""charttype"",""column"";""color"",""grey"";""highcolor"",""balck"";""lowcolor"",""red""}))"),"")</f>
        <v/>
      </c>
      <c r="J62" s="23">
        <f t="shared" ref="J62:J65" si="10">E62-$F$13</f>
        <v>0.0850013505355238</v>
      </c>
      <c r="K62" s="23">
        <f t="shared" ref="K62:K65" si="11">F62-$G$13</f>
        <v>0.0260004741473951</v>
      </c>
    </row>
    <row r="63" spans="1:11">
      <c r="A63" s="10" t="s">
        <v>1001</v>
      </c>
      <c r="B63" s="22" t="str">
        <f>IFERROR(__xludf.DUMMYFUNCTION("GOOGLEFINANCE(B63,""name"")"),"iShares China Large-Cap ETF")</f>
        <v>iShares China Large-Cap ETF</v>
      </c>
      <c r="C63" s="21">
        <f>IFERROR(__xludf.DUMMYFUNCTION("GOOGLEFINANCE(B63)"),25.68)</f>
        <v>25.68</v>
      </c>
      <c r="D63" s="23">
        <f>IFERROR(__xludf.DUMMYFUNCTION("GOOGLEFINANCE(B63,""changepct"")/100"),0.0088)</f>
        <v>0.0088</v>
      </c>
      <c r="E63" s="23">
        <f>IFERROR(__xludf.DUMMYFUNCTION("$D63/(index(GOOGLEFINANCE($B63,""price"",workday(today(),-F$4),today()),2,2))-1"),0.0259688373951259)</f>
        <v>0.0259688373951259</v>
      </c>
      <c r="F63" s="23">
        <f>IFERROR(__xludf.DUMMYFUNCTION("$D63/(index(GOOGLEFINANCE($B63,""price"",workday(today(),-G$4),today()),2,2))-1"),-0.0349492671927846)</f>
        <v>-0.0349492671927846</v>
      </c>
      <c r="G63" s="32">
        <f>IFERROR(__xludf.DUMMYFUNCTION("$D63/(index(GOOGLEFINANCE($B63,""price"",$H$4,today()),2,2))-1"),-0.0349492671927846)</f>
        <v>-0.0349492671927846</v>
      </c>
      <c r="H63" s="31" t="str">
        <f>IFERROR(__xludf.DUMMYFUNCTION("IF(B63="""","""",SPARKLINE(INDEX(GOOGLEFINANCE($B63,""price"",$H$4,today()),,2),{""charttype"",""line""}))"),"")</f>
        <v/>
      </c>
      <c r="I63" s="10" t="str">
        <f>IFERROR(__xludf.DUMMYFUNCTION("IF(B63="""","""",SPARKLINE(INDEX(GOOGLEFINANCE($B63,""volume"",$H$4,today()),,2), {""charttype"",""column"";""color"",""grey"";""highcolor"",""balck"";""lowcolor"",""red""}))"),"")</f>
        <v/>
      </c>
      <c r="J63" s="23">
        <f t="shared" si="10"/>
        <v>0.0777353282556128</v>
      </c>
      <c r="K63" s="23">
        <f t="shared" si="11"/>
        <v>0.0168172236677023</v>
      </c>
    </row>
    <row r="64" spans="1:11">
      <c r="A64" s="10" t="s">
        <v>1002</v>
      </c>
      <c r="B64" s="22" t="str">
        <f>IFERROR(__xludf.DUMMYFUNCTION("GOOGLEFINANCE(B64,""name"")"),"KraneShares CSI China Internet ETF")</f>
        <v>KraneShares CSI China Internet ETF</v>
      </c>
      <c r="C64" s="21">
        <f>IFERROR(__xludf.DUMMYFUNCTION("GOOGLEFINANCE(B64)"),26.64)</f>
        <v>26.64</v>
      </c>
      <c r="D64" s="23">
        <f>IFERROR(__xludf.DUMMYFUNCTION("GOOGLEFINANCE(B64,""changepct"")/100"),0.011)</f>
        <v>0.011</v>
      </c>
      <c r="E64" s="23">
        <f>IFERROR(__xludf.DUMMYFUNCTION("$D64/(index(GOOGLEFINANCE($B64,""price"",workday(today(),-F$4),today()),2,2))-1"),0.0341614906832297)</f>
        <v>0.0341614906832297</v>
      </c>
      <c r="F64" s="23">
        <f>IFERROR(__xludf.DUMMYFUNCTION("$D64/(index(GOOGLEFINANCE($B64,""price"",workday(today(),-G$4),today()),2,2))-1"),-0.0427596119295723)</f>
        <v>-0.0427596119295723</v>
      </c>
      <c r="G64" s="32">
        <f>IFERROR(__xludf.DUMMYFUNCTION("$D64/(index(GOOGLEFINANCE($B64,""price"",$H$4,today()),2,2))-1"),-0.0427596119295723)</f>
        <v>-0.0427596119295723</v>
      </c>
      <c r="H64" s="31" t="str">
        <f>IFERROR(__xludf.DUMMYFUNCTION("IF(B64="""","""",SPARKLINE(INDEX(GOOGLEFINANCE($B64,""price"",$H$4,today()),,2),{""charttype"",""line""}))"),"")</f>
        <v/>
      </c>
      <c r="I64" s="10" t="str">
        <f>IFERROR(__xludf.DUMMYFUNCTION("IF(B64="""","""",SPARKLINE(INDEX(GOOGLEFINANCE($B64,""volume"",$H$4,today()),,2), {""charttype"",""column"";""color"",""grey"";""highcolor"",""balck"";""lowcolor"",""red""}))"),"")</f>
        <v/>
      </c>
      <c r="J64" s="23">
        <f t="shared" si="10"/>
        <v>0.0859279815437166</v>
      </c>
      <c r="K64" s="23">
        <f t="shared" si="11"/>
        <v>0.00900687893091461</v>
      </c>
    </row>
    <row r="65" spans="1:11">
      <c r="A65" s="10" t="s">
        <v>1003</v>
      </c>
      <c r="B65" s="22" t="str">
        <f>IFERROR(__xludf.DUMMYFUNCTION("GOOGLEFINANCE(B65,""name"")"),"Xtrackers Hvst CSI 300 China A-Shs ETF")</f>
        <v>Xtrackers Hvst CSI 300 China A-Shs ETF</v>
      </c>
      <c r="C65" s="21">
        <f>IFERROR(__xludf.DUMMYFUNCTION("GOOGLEFINANCE(B65)"),23.32)</f>
        <v>23.32</v>
      </c>
      <c r="D65" s="23">
        <f>IFERROR(__xludf.DUMMYFUNCTION("GOOGLEFINANCE(B65,""changepct"")/100"),-0.0006)</f>
        <v>-0.0006</v>
      </c>
      <c r="E65" s="23">
        <f>IFERROR(__xludf.DUMMYFUNCTION("$D65/(index(GOOGLEFINANCE($B65,""price"",workday(today(),-F$4),today()),2,2))-1"),-0.0160337552742615)</f>
        <v>-0.0160337552742615</v>
      </c>
      <c r="F65" s="23">
        <f>IFERROR(__xludf.DUMMYFUNCTION("$D65/(index(GOOGLEFINANCE($B65,""price"",workday(today(),-G$4),today()),2,2))-1"),-0.0226320201173512)</f>
        <v>-0.0226320201173512</v>
      </c>
      <c r="G65" s="32">
        <f>IFERROR(__xludf.DUMMYFUNCTION("$D65/(index(GOOGLEFINANCE($B65,""price"",$H$4,today()),2,2))-1"),-0.0226320201173512)</f>
        <v>-0.0226320201173512</v>
      </c>
      <c r="H65" s="31" t="str">
        <f>IFERROR(__xludf.DUMMYFUNCTION("IF(B65="""","""",SPARKLINE(INDEX(GOOGLEFINANCE($B65,""price"",$H$4,today()),,2),{""charttype"",""line""}))"),"")</f>
        <v/>
      </c>
      <c r="I65" s="10" t="str">
        <f>IFERROR(__xludf.DUMMYFUNCTION("IF(B65="""","""",SPARKLINE(INDEX(GOOGLEFINANCE($B65,""volume"",$H$4,today()),,2), {""charttype"",""column"";""color"",""grey"";""highcolor"",""balck"";""lowcolor"",""red""}))"),"")</f>
        <v/>
      </c>
      <c r="J65" s="23">
        <f t="shared" si="10"/>
        <v>0.0357327355862254</v>
      </c>
      <c r="K65" s="23">
        <f t="shared" si="11"/>
        <v>0.0291344707431357</v>
      </c>
    </row>
    <row r="66" spans="1:11">
      <c r="A66" s="20" t="s">
        <v>1004</v>
      </c>
      <c r="B66" s="22"/>
      <c r="C66" s="21"/>
      <c r="D66" s="23"/>
      <c r="E66" s="23"/>
      <c r="F66" s="23"/>
      <c r="G66" s="32"/>
      <c r="H66" s="31"/>
      <c r="I66" s="10"/>
      <c r="J66" s="10"/>
      <c r="K66" s="10"/>
    </row>
    <row r="67" spans="1:11">
      <c r="A67" s="10" t="s">
        <v>1005</v>
      </c>
      <c r="B67" s="22" t="str">
        <f>IFERROR(__xludf.DUMMYFUNCTION("GOOGLEFINANCE(B67,""name"")"),"iShares Global REIT ETF")</f>
        <v>iShares Global REIT ETF</v>
      </c>
      <c r="C67" s="21">
        <f>IFERROR(__xludf.DUMMYFUNCTION("GOOGLEFINANCE(B67)"),24.65)</f>
        <v>24.65</v>
      </c>
      <c r="D67" s="23">
        <f>IFERROR(__xludf.DUMMYFUNCTION("GOOGLEFINANCE(B67,""changepct"")/100"),-0.0108)</f>
        <v>-0.0108</v>
      </c>
      <c r="E67" s="23">
        <f>IFERROR(__xludf.DUMMYFUNCTION("$D67/(index(GOOGLEFINANCE($B67,""price"",workday(today(),-F$4),today()),2,2))-1"),0.0219734660033166)</f>
        <v>0.0219734660033166</v>
      </c>
      <c r="F67" s="23">
        <f>IFERROR(__xludf.DUMMYFUNCTION("$D67/(index(GOOGLEFINANCE($B67,""price"",workday(today(),-G$4),today()),2,2))-1"),0.0123203285420943)</f>
        <v>0.0123203285420943</v>
      </c>
      <c r="G67" s="32">
        <f>IFERROR(__xludf.DUMMYFUNCTION("$D67/(index(GOOGLEFINANCE($B67,""price"",$H$4,today()),2,2))-1"),0.0123203285420943)</f>
        <v>0.0123203285420943</v>
      </c>
      <c r="H67" s="31" t="str">
        <f>IFERROR(__xludf.DUMMYFUNCTION("IF(B67="""","""",SPARKLINE(INDEX(GOOGLEFINANCE($B67,""price"",$H$4,today()),,2),{""charttype"",""line""}))"),"")</f>
        <v/>
      </c>
      <c r="I67" s="10" t="str">
        <f>IFERROR(__xludf.DUMMYFUNCTION("IF(B67="""","""",SPARKLINE(INDEX(GOOGLEFINANCE($B67,""volume"",$H$4,today()),,2), {""charttype"",""column"";""color"",""grey"";""highcolor"",""balck"";""lowcolor"",""red""}))"),"")</f>
        <v/>
      </c>
      <c r="J67" s="23">
        <f t="shared" ref="J67:J73" si="12">E67-$F$13</f>
        <v>0.0737399568638035</v>
      </c>
      <c r="K67" s="23">
        <f t="shared" ref="K67:K73" si="13">F67-$G$13</f>
        <v>0.0640868194025812</v>
      </c>
    </row>
    <row r="68" spans="1:11">
      <c r="A68" s="10" t="s">
        <v>1006</v>
      </c>
      <c r="B68" s="22" t="str">
        <f>IFERROR(__xludf.DUMMYFUNCTION("GOOGLEFINANCE(B68,""name"")"),"Vanguard Global ex-US Real Estate Index Fd ETF")</f>
        <v>Vanguard Global ex-US Real Estate Index Fd ETF</v>
      </c>
      <c r="C68" s="21">
        <f>IFERROR(__xludf.DUMMYFUNCTION("GOOGLEFINANCE(B68)"),42.18)</f>
        <v>42.18</v>
      </c>
      <c r="D68" s="23">
        <f>IFERROR(__xludf.DUMMYFUNCTION("GOOGLEFINANCE(B68,""changepct"")/100"),-0.0074)</f>
        <v>-0.0074</v>
      </c>
      <c r="E68" s="23">
        <f>IFERROR(__xludf.DUMMYFUNCTION("$D68/(index(GOOGLEFINANCE($B68,""price"",workday(today(),-F$4),today()),2,2))-1"),0.02978515625)</f>
        <v>0.02978515625</v>
      </c>
      <c r="F68" s="23">
        <f>IFERROR(__xludf.DUMMYFUNCTION("$D68/(index(GOOGLEFINANCE($B68,""price"",workday(today(),-G$4),today()),2,2))-1"),-0.0137947159223755)</f>
        <v>-0.0137947159223755</v>
      </c>
      <c r="G68" s="32">
        <f>IFERROR(__xludf.DUMMYFUNCTION("$D68/(index(GOOGLEFINANCE($B68,""price"",$H$4,today()),2,2))-1"),-0.0137947159223755)</f>
        <v>-0.0137947159223755</v>
      </c>
      <c r="H68" s="31" t="str">
        <f>IFERROR(__xludf.DUMMYFUNCTION("IF(B68="""","""",SPARKLINE(INDEX(GOOGLEFINANCE($B68,""price"",$H$4,today()),,2),{""charttype"",""line""}))"),"")</f>
        <v/>
      </c>
      <c r="I68" s="10" t="str">
        <f>IFERROR(__xludf.DUMMYFUNCTION("IF(B68="""","""",SPARKLINE(INDEX(GOOGLEFINANCE($B68,""volume"",$H$4,today()),,2), {""charttype"",""column"";""color"",""grey"";""highcolor"",""balck"";""lowcolor"",""red""}))"),"")</f>
        <v/>
      </c>
      <c r="J68" s="23">
        <f t="shared" si="12"/>
        <v>0.0815516471104869</v>
      </c>
      <c r="K68" s="23">
        <f t="shared" si="13"/>
        <v>0.0379717749381114</v>
      </c>
    </row>
    <row r="69" spans="1:11">
      <c r="A69" s="10" t="s">
        <v>1007</v>
      </c>
      <c r="B69" s="22" t="str">
        <f>IFERROR(__xludf.DUMMYFUNCTION("GOOGLEFINANCE(B69,""name"")"),"Vanguard Real Estate Index Fund ETF")</f>
        <v>Vanguard Real Estate Index Fund ETF</v>
      </c>
      <c r="C69" s="21">
        <f>IFERROR(__xludf.DUMMYFUNCTION("GOOGLEFINANCE(B69)"),90.15)</f>
        <v>90.15</v>
      </c>
      <c r="D69" s="23">
        <f>IFERROR(__xludf.DUMMYFUNCTION("GOOGLEFINANCE(B69,""changepct"")/100"),-0.0103)</f>
        <v>-0.0103</v>
      </c>
      <c r="E69" s="23">
        <f>IFERROR(__xludf.DUMMYFUNCTION("$D69/(index(GOOGLEFINANCE($B69,""price"",workday(today(),-F$4),today()),2,2))-1"),0.016805774870291)</f>
        <v>0.016805774870291</v>
      </c>
      <c r="F69" s="23">
        <f>IFERROR(__xludf.DUMMYFUNCTION("$D69/(index(GOOGLEFINANCE($B69,""price"",workday(today(),-G$4),today()),2,2))-1"),0.0238500851788756)</f>
        <v>0.0238500851788756</v>
      </c>
      <c r="G69" s="32">
        <f>IFERROR(__xludf.DUMMYFUNCTION("$D69/(index(GOOGLEFINANCE($B69,""price"",$H$4,today()),2,2))-1"),0.0238500851788756)</f>
        <v>0.0238500851788756</v>
      </c>
      <c r="H69" s="31" t="str">
        <f>IFERROR(__xludf.DUMMYFUNCTION("IF(B69="""","""",SPARKLINE(INDEX(GOOGLEFINANCE($B69,""price"",$H$4,today()),,2),{""charttype"",""line""}))"),"")</f>
        <v/>
      </c>
      <c r="I69" s="10" t="str">
        <f>IFERROR(__xludf.DUMMYFUNCTION("IF(B69="""","""",SPARKLINE(INDEX(GOOGLEFINANCE($B69,""volume"",$H$4,today()),,2), {""charttype"",""column"";""color"",""grey"";""highcolor"",""balck"";""lowcolor"",""red""}))"),"")</f>
        <v/>
      </c>
      <c r="J69" s="23">
        <f t="shared" si="12"/>
        <v>0.0685722657307779</v>
      </c>
      <c r="K69" s="23">
        <f t="shared" si="13"/>
        <v>0.0756165760393625</v>
      </c>
    </row>
    <row r="70" spans="1:11">
      <c r="A70" s="10" t="s">
        <v>1008</v>
      </c>
      <c r="B70" s="22" t="str">
        <f>IFERROR(__xludf.DUMMYFUNCTION("GOOGLEFINANCE(B70,""name"")"),"Ishares Mortgage Real Estate Etf")</f>
        <v>Ishares Mortgage Real Estate Etf</v>
      </c>
      <c r="C70" s="21">
        <f>IFERROR(__xludf.DUMMYFUNCTION("GOOGLEFINANCE(B70)"),22.65)</f>
        <v>22.65</v>
      </c>
      <c r="D70" s="23">
        <f>IFERROR(__xludf.DUMMYFUNCTION("GOOGLEFINANCE(B70,""changepct"")/100"),-0.0174)</f>
        <v>-0.0174</v>
      </c>
      <c r="E70" s="23">
        <f>IFERROR(__xludf.DUMMYFUNCTION("$D70/(index(GOOGLEFINANCE($B70,""price"",workday(today(),-F$4),today()),2,2))-1"),0.0143304970891178)</f>
        <v>0.0143304970891178</v>
      </c>
      <c r="F70" s="23">
        <f>IFERROR(__xludf.DUMMYFUNCTION("$D70/(index(GOOGLEFINANCE($B70,""price"",workday(today(),-G$4),today()),2,2))-1"),-0.0451096121416526)</f>
        <v>-0.0451096121416526</v>
      </c>
      <c r="G70" s="32">
        <f>IFERROR(__xludf.DUMMYFUNCTION("$D70/(index(GOOGLEFINANCE($B70,""price"",$H$4,today()),2,2))-1"),-0.0451096121416526)</f>
        <v>-0.0451096121416526</v>
      </c>
      <c r="H70" s="31" t="str">
        <f>IFERROR(__xludf.DUMMYFUNCTION("IF(B70="""","""",SPARKLINE(INDEX(GOOGLEFINANCE($B70,""price"",$H$4,today()),,2),{""charttype"",""line""}))"),"")</f>
        <v/>
      </c>
      <c r="I70" s="10" t="str">
        <f>IFERROR(__xludf.DUMMYFUNCTION("IF(B70="""","""",SPARKLINE(INDEX(GOOGLEFINANCE($B70,""volume"",$H$4,today()),,2), {""charttype"",""column"";""color"",""grey"";""highcolor"",""balck"";""lowcolor"",""red""}))"),"")</f>
        <v/>
      </c>
      <c r="J70" s="23">
        <f t="shared" si="12"/>
        <v>0.0660969879496047</v>
      </c>
      <c r="K70" s="23">
        <f t="shared" si="13"/>
        <v>0.0066568787188343</v>
      </c>
    </row>
    <row r="71" spans="1:11">
      <c r="A71" s="10" t="s">
        <v>1009</v>
      </c>
      <c r="B71" s="22" t="str">
        <f>IFERROR(__xludf.DUMMYFUNCTION("GOOGLEFINANCE(B71,""name"")"),"SPDR Dow Jones REIT ETF")</f>
        <v>SPDR Dow Jones REIT ETF</v>
      </c>
      <c r="C71" s="21">
        <f>IFERROR(__xludf.DUMMYFUNCTION("GOOGLEFINANCE(B71)"),98.84)</f>
        <v>98.84</v>
      </c>
      <c r="D71" s="23">
        <f>IFERROR(__xludf.DUMMYFUNCTION("GOOGLEFINANCE(B71,""changepct"")/100"),-0.0134)</f>
        <v>-0.0134</v>
      </c>
      <c r="E71" s="23">
        <f>IFERROR(__xludf.DUMMYFUNCTION("$D71/(index(GOOGLEFINANCE($B71,""price"",workday(today(),-F$4),today()),2,2))-1"),0.0209689081706434)</f>
        <v>0.0209689081706434</v>
      </c>
      <c r="F71" s="23">
        <f>IFERROR(__xludf.DUMMYFUNCTION("$D71/(index(GOOGLEFINANCE($B71,""price"",workday(today(),-G$4),today()),2,2))-1"),0.016872427983539)</f>
        <v>0.016872427983539</v>
      </c>
      <c r="G71" s="32">
        <f>IFERROR(__xludf.DUMMYFUNCTION("$D71/(index(GOOGLEFINANCE($B71,""price"",$H$4,today()),2,2))-1"),0.016872427983539)</f>
        <v>0.016872427983539</v>
      </c>
      <c r="H71" s="31" t="str">
        <f>IFERROR(__xludf.DUMMYFUNCTION("IF(B71="""","""",SPARKLINE(INDEX(GOOGLEFINANCE($B71,""price"",$H$4,today()),,2),{""charttype"",""line""}))"),"")</f>
        <v/>
      </c>
      <c r="I71" s="10" t="str">
        <f>IFERROR(__xludf.DUMMYFUNCTION("IF(B71="""","""",SPARKLINE(INDEX(GOOGLEFINANCE($B71,""volume"",$H$4,today()),,2), {""charttype"",""column"";""color"",""grey"";""highcolor"",""balck"";""lowcolor"",""red""}))"),"")</f>
        <v/>
      </c>
      <c r="J71" s="23">
        <f t="shared" si="12"/>
        <v>0.0727353990311303</v>
      </c>
      <c r="K71" s="23">
        <f t="shared" si="13"/>
        <v>0.0686389188440259</v>
      </c>
    </row>
    <row r="72" spans="1:11">
      <c r="A72" s="10" t="s">
        <v>1010</v>
      </c>
      <c r="B72" s="22" t="str">
        <f>IFERROR(__xludf.DUMMYFUNCTION("GOOGLEFINANCE(B72,""name"")"),"iShares MBS ETF")</f>
        <v>iShares MBS ETF</v>
      </c>
      <c r="C72" s="21">
        <f>IFERROR(__xludf.DUMMYFUNCTION("GOOGLEFINANCE(B72)"),94.61)</f>
        <v>94.61</v>
      </c>
      <c r="D72" s="23">
        <f>IFERROR(__xludf.DUMMYFUNCTION("GOOGLEFINANCE(B72,""changepct"")/100"),0.0024)</f>
        <v>0.0024</v>
      </c>
      <c r="E72" s="23">
        <f>IFERROR(__xludf.DUMMYFUNCTION("$D72/(index(GOOGLEFINANCE($B72,""price"",workday(today(),-F$4),today()),2,2))-1"),-0.00494320572149764)</f>
        <v>-0.00494320572149764</v>
      </c>
      <c r="F72" s="23">
        <f>IFERROR(__xludf.DUMMYFUNCTION("$D72/(index(GOOGLEFINANCE($B72,""price"",workday(today(),-G$4),today()),2,2))-1"),0.0198339980597175)</f>
        <v>0.0198339980597175</v>
      </c>
      <c r="G72" s="32">
        <f>IFERROR(__xludf.DUMMYFUNCTION("$D72/(index(GOOGLEFINANCE($B72,""price"",$H$4,today()),2,2))-1"),0.0198339980597175)</f>
        <v>0.0198339980597175</v>
      </c>
      <c r="H72" s="31" t="str">
        <f>IFERROR(__xludf.DUMMYFUNCTION("IF(B72="""","""",SPARKLINE(INDEX(GOOGLEFINANCE($B72,""price"",$H$4,today()),,2),{""charttype"",""line""}))"),"")</f>
        <v/>
      </c>
      <c r="I72" s="10" t="str">
        <f>IFERROR(__xludf.DUMMYFUNCTION("IF(B72="""","""",SPARKLINE(INDEX(GOOGLEFINANCE($B72,""volume"",$H$4,today()),,2), {""charttype"",""column"";""color"",""grey"";""highcolor"",""balck"";""lowcolor"",""red""}))"),"")</f>
        <v/>
      </c>
      <c r="J72" s="23">
        <f t="shared" si="12"/>
        <v>0.0468232851389893</v>
      </c>
      <c r="K72" s="23">
        <f t="shared" si="13"/>
        <v>0.0716004889202044</v>
      </c>
    </row>
    <row r="73" spans="1:11">
      <c r="A73" s="10" t="s">
        <v>1011</v>
      </c>
      <c r="B73" s="22" t="str">
        <f>IFERROR(__xludf.DUMMYFUNCTION("GOOGLEFINANCE(B73,""name"")"),"iShares S&amp;P/TSX Capped REIT Index ETF")</f>
        <v>iShares S&amp;P/TSX Capped REIT Index ETF</v>
      </c>
      <c r="C73" s="21">
        <f>IFERROR(__xludf.DUMMYFUNCTION("GOOGLEFINANCE(B73)"),15.75)</f>
        <v>15.75</v>
      </c>
      <c r="D73" s="23">
        <f>IFERROR(__xludf.DUMMYFUNCTION("GOOGLEFINANCE(B73,""changepct"")/100"),-0.00469999999999999)</f>
        <v>-0.00469999999999999</v>
      </c>
      <c r="E73" s="23">
        <f>IFERROR(__xludf.DUMMYFUNCTION("$D73/(index(GOOGLEFINANCE($B73,""price"",workday(today(),-F$4),today()),2,2))-1"),-0.00881057268722473)</f>
        <v>-0.00881057268722473</v>
      </c>
      <c r="F73" s="23">
        <f>IFERROR(__xludf.DUMMYFUNCTION("$D73/(index(GOOGLEFINANCE($B73,""price"",workday(today(),-G$4),today()),2,2))-1"),0.0148195876288659)</f>
        <v>0.0148195876288659</v>
      </c>
      <c r="G73" s="32">
        <f>IFERROR(__xludf.DUMMYFUNCTION("$D73/(index(GOOGLEFINANCE($B73,""price"",$H$4,today()),2,2))-1"),0.0148195876288659)</f>
        <v>0.0148195876288659</v>
      </c>
      <c r="H73" s="31" t="str">
        <f>IFERROR(__xludf.DUMMYFUNCTION("IF(B73="""","""",SPARKLINE(INDEX(GOOGLEFINANCE($B73,""price"",$H$4,today()),,2),{""charttype"",""line""}))"),"")</f>
        <v/>
      </c>
      <c r="I73" s="10" t="str">
        <f>IFERROR(__xludf.DUMMYFUNCTION("IF(B73="""","""",SPARKLINE(INDEX(GOOGLEFINANCE($B73,""volume"",$H$4,today()),,2), {""charttype"",""column"";""color"",""grey"";""highcolor"",""balck"";""lowcolor"",""red""}))"),"")</f>
        <v/>
      </c>
      <c r="J73" s="23">
        <f t="shared" si="12"/>
        <v>0.0429559181732622</v>
      </c>
      <c r="K73" s="23">
        <f t="shared" si="13"/>
        <v>0.0665860784893528</v>
      </c>
    </row>
    <row r="74" spans="1:11">
      <c r="A74" s="20" t="s">
        <v>1012</v>
      </c>
      <c r="B74" s="22"/>
      <c r="C74" s="21"/>
      <c r="D74" s="23"/>
      <c r="E74" s="23"/>
      <c r="F74" s="23"/>
      <c r="G74" s="32"/>
      <c r="H74" s="31"/>
      <c r="I74" s="10"/>
      <c r="J74" s="10"/>
      <c r="K74" s="10"/>
    </row>
    <row r="75" spans="1:11">
      <c r="A75" s="10" t="s">
        <v>1013</v>
      </c>
      <c r="B75" s="22" t="str">
        <f>IFERROR(__xludf.DUMMYFUNCTION("GOOGLEFINANCE(B75,""name"")"),"JPMorgan Equity Premium Income ETF")</f>
        <v>JPMorgan Equity Premium Income ETF</v>
      </c>
      <c r="C75" s="21">
        <f>IFERROR(__xludf.DUMMYFUNCTION("GOOGLEFINANCE(B75)"),56.29)</f>
        <v>56.29</v>
      </c>
      <c r="D75" s="23">
        <f>IFERROR(__xludf.DUMMYFUNCTION("GOOGLEFINANCE(B75,""changepct"")/100"),-0.0021)</f>
        <v>-0.0021</v>
      </c>
      <c r="E75" s="23">
        <f>IFERROR(__xludf.DUMMYFUNCTION("$D75/(index(GOOGLEFINANCE($B75,""price"",workday(today(),-F$4),today()),2,2))-1"),0.0238268461258639)</f>
        <v>0.0238268461258639</v>
      </c>
      <c r="F75" s="23">
        <f>IFERROR(__xludf.DUMMYFUNCTION("$D75/(index(GOOGLEFINANCE($B75,""price"",workday(today(),-G$4),today()),2,2))-1"),-0.0100246218782975)</f>
        <v>-0.0100246218782975</v>
      </c>
      <c r="G75" s="32">
        <f>IFERROR(__xludf.DUMMYFUNCTION("$D75/(index(GOOGLEFINANCE($B75,""price"",$H$4,today()),2,2))-1"),-0.0100246218782975)</f>
        <v>-0.0100246218782975</v>
      </c>
      <c r="H75" s="31" t="str">
        <f>IFERROR(__xludf.DUMMYFUNCTION("IF(B75="""","""",SPARKLINE(INDEX(GOOGLEFINANCE($B75,""price"",$H$4,today()),,2),{""charttype"",""line""}))"),"")</f>
        <v/>
      </c>
      <c r="I75" s="10" t="str">
        <f>IFERROR(__xludf.DUMMYFUNCTION("IF(B75="""","""",SPARKLINE(INDEX(GOOGLEFINANCE($B75,""volume"",$H$4,today()),,2), {""charttype"",""column"";""color"",""grey"";""highcolor"",""balck"";""lowcolor"",""red""}))"),"")</f>
        <v/>
      </c>
      <c r="J75" s="23">
        <f t="shared" ref="J75:J82" si="14">E75-$F$13</f>
        <v>0.0755933369863508</v>
      </c>
      <c r="K75" s="23">
        <f t="shared" ref="K75:K82" si="15">F75-$G$13</f>
        <v>0.0417418689821894</v>
      </c>
    </row>
    <row r="76" spans="1:11">
      <c r="A76" s="10" t="s">
        <v>1014</v>
      </c>
      <c r="B76" s="22" t="str">
        <f>IFERROR(__xludf.DUMMYFUNCTION("GOOGLEFINANCE(B76,""name"")"),"JPMorgan Nasdaq Equity Premium Income ETF")</f>
        <v>JPMorgan Nasdaq Equity Premium Income ETF</v>
      </c>
      <c r="C76" s="21">
        <f>IFERROR(__xludf.DUMMYFUNCTION("GOOGLEFINANCE(B76)"),51.39)</f>
        <v>51.39</v>
      </c>
      <c r="D76" s="23">
        <f>IFERROR(__xludf.DUMMYFUNCTION("GOOGLEFINANCE(B76,""changepct"")/100"),0.0019)</f>
        <v>0.0019</v>
      </c>
      <c r="E76" s="23">
        <f>IFERROR(__xludf.DUMMYFUNCTION("$D76/(index(GOOGLEFINANCE($B76,""price"",workday(today(),-F$4),today()),2,2))-1"),0.0335880933226067)</f>
        <v>0.0335880933226067</v>
      </c>
      <c r="F76" s="23">
        <f>IFERROR(__xludf.DUMMYFUNCTION("$D76/(index(GOOGLEFINANCE($B76,""price"",workday(today(),-G$4),today()),2,2))-1"),-0.0808442139152207)</f>
        <v>-0.0808442139152207</v>
      </c>
      <c r="G76" s="32">
        <f>IFERROR(__xludf.DUMMYFUNCTION("$D76/(index(GOOGLEFINANCE($B76,""price"",$H$4,today()),2,2))-1"),-0.0808442139152207)</f>
        <v>-0.0808442139152207</v>
      </c>
      <c r="H76" s="31" t="str">
        <f>IFERROR(__xludf.DUMMYFUNCTION("IF(B76="""","""",SPARKLINE(INDEX(GOOGLEFINANCE($B76,""price"",$H$4,today()),,2),{""charttype"",""line""}))"),"")</f>
        <v/>
      </c>
      <c r="I76" s="10" t="str">
        <f>IFERROR(__xludf.DUMMYFUNCTION("IF(B76="""","""",SPARKLINE(INDEX(GOOGLEFINANCE($B76,""volume"",$H$4,today()),,2), {""charttype"",""column"";""color"",""grey"";""highcolor"",""balck"";""lowcolor"",""red""}))"),"")</f>
        <v/>
      </c>
      <c r="J76" s="23">
        <f t="shared" si="14"/>
        <v>0.0853545841830936</v>
      </c>
      <c r="K76" s="23">
        <f t="shared" si="15"/>
        <v>-0.0290777230547338</v>
      </c>
    </row>
    <row r="77" spans="1:11">
      <c r="A77" s="10" t="s">
        <v>1015</v>
      </c>
      <c r="B77" s="22" t="str">
        <f>IFERROR(__xludf.DUMMYFUNCTION("GOOGLEFINANCE(B77,""name"")"),"iShares Preferred and Income Securities ETF")</f>
        <v>iShares Preferred and Income Securities ETF</v>
      </c>
      <c r="C77" s="21">
        <f>IFERROR(__xludf.DUMMYFUNCTION("GOOGLEFINANCE(B77)"),31.39)</f>
        <v>31.39</v>
      </c>
      <c r="D77" s="23">
        <f>IFERROR(__xludf.DUMMYFUNCTION("GOOGLEFINANCE(B77,""changepct"")/100"),-0.0058)</f>
        <v>-0.0058</v>
      </c>
      <c r="E77" s="23">
        <f>IFERROR(__xludf.DUMMYFUNCTION("$D77/(index(GOOGLEFINANCE($B77,""price"",workday(today(),-F$4),today()),2,2))-1"),0.00673508659397059)</f>
        <v>0.00673508659397059</v>
      </c>
      <c r="F77" s="23">
        <f>IFERROR(__xludf.DUMMYFUNCTION("$D77/(index(GOOGLEFINANCE($B77,""price"",workday(today(),-G$4),today()),2,2))-1"),-0.017219787100814)</f>
        <v>-0.017219787100814</v>
      </c>
      <c r="G77" s="32">
        <f>IFERROR(__xludf.DUMMYFUNCTION("$D77/(index(GOOGLEFINANCE($B77,""price"",$H$4,today()),2,2))-1"),-0.017219787100814)</f>
        <v>-0.017219787100814</v>
      </c>
      <c r="H77" s="31" t="str">
        <f>IFERROR(__xludf.DUMMYFUNCTION("IF(B77="""","""",SPARKLINE(INDEX(GOOGLEFINANCE($B77,""price"",$H$4,today()),,2),{""charttype"",""line""}))"),"")</f>
        <v/>
      </c>
      <c r="I77" s="10" t="str">
        <f>IFERROR(__xludf.DUMMYFUNCTION("IF(B77="""","""",SPARKLINE(INDEX(GOOGLEFINANCE($B77,""volume"",$H$4,today()),,2), {""charttype"",""column"";""color"",""grey"";""highcolor"",""balck"";""lowcolor"",""red""}))"),"")</f>
        <v/>
      </c>
      <c r="J77" s="23">
        <f t="shared" si="14"/>
        <v>0.0585015774544575</v>
      </c>
      <c r="K77" s="23">
        <f t="shared" si="15"/>
        <v>0.0345467037596729</v>
      </c>
    </row>
    <row r="78" spans="1:11">
      <c r="A78" s="10" t="s">
        <v>1016</v>
      </c>
      <c r="B78" s="22" t="str">
        <f>IFERROR(__xludf.DUMMYFUNCTION("GOOGLEFINANCE(B78,""name"")"),"SPDR Portfolio S&amp;P 500 High Dividend ETF")</f>
        <v>SPDR Portfolio S&amp;P 500 High Dividend ETF</v>
      </c>
      <c r="C78" s="21">
        <f>IFERROR(__xludf.DUMMYFUNCTION("GOOGLEFINANCE(B78)"),42.5)</f>
        <v>42.5</v>
      </c>
      <c r="D78" s="23">
        <f>IFERROR(__xludf.DUMMYFUNCTION("GOOGLEFINANCE(B78,""changepct"")/100"),-0.0072)</f>
        <v>-0.0072</v>
      </c>
      <c r="E78" s="23">
        <f>IFERROR(__xludf.DUMMYFUNCTION("$D78/(index(GOOGLEFINANCE($B78,""price"",workday(today(),-F$4),today()),2,2))-1"),0.0157743785850859)</f>
        <v>0.0157743785850859</v>
      </c>
      <c r="F78" s="23">
        <f>IFERROR(__xludf.DUMMYFUNCTION("$D78/(index(GOOGLEFINANCE($B78,""price"",workday(today(),-G$4),today()),2,2))-1"),0.0208983905837136)</f>
        <v>0.0208983905837136</v>
      </c>
      <c r="G78" s="32">
        <f>IFERROR(__xludf.DUMMYFUNCTION("$D78/(index(GOOGLEFINANCE($B78,""price"",$H$4,today()),2,2))-1"),0.0208983905837136)</f>
        <v>0.0208983905837136</v>
      </c>
      <c r="H78" s="31" t="str">
        <f>IFERROR(__xludf.DUMMYFUNCTION("IF(B78="""","""",SPARKLINE(INDEX(GOOGLEFINANCE($B78,""price"",$H$4,today()),,2),{""charttype"",""line""}))"),"")</f>
        <v/>
      </c>
      <c r="I78" s="10" t="str">
        <f>IFERROR(__xludf.DUMMYFUNCTION("IF(B78="""","""",SPARKLINE(INDEX(GOOGLEFINANCE($B78,""volume"",$H$4,today()),,2), {""charttype"",""column"";""color"",""grey"";""highcolor"",""balck"";""lowcolor"",""red""}))"),"")</f>
        <v/>
      </c>
      <c r="J78" s="23">
        <f t="shared" si="14"/>
        <v>0.0675408694455728</v>
      </c>
      <c r="K78" s="23">
        <f t="shared" si="15"/>
        <v>0.0726648814442005</v>
      </c>
    </row>
    <row r="79" spans="1:11">
      <c r="A79" s="10" t="s">
        <v>1017</v>
      </c>
      <c r="B79" s="22" t="str">
        <f>IFERROR(__xludf.DUMMYFUNCTION("GOOGLEFINANCE(B79,""name"")"),"SPDR S&amp;P Dividend ETF")</f>
        <v>SPDR S&amp;P Dividend ETF</v>
      </c>
      <c r="C79" s="21">
        <f>IFERROR(__xludf.DUMMYFUNCTION("GOOGLEFINANCE(B79)"),132.5)</f>
        <v>132.5</v>
      </c>
      <c r="D79" s="23">
        <f>IFERROR(__xludf.DUMMYFUNCTION("GOOGLEFINANCE(B79,""changepct"")/100"),-0.0062)</f>
        <v>-0.0062</v>
      </c>
      <c r="E79" s="23">
        <f>IFERROR(__xludf.DUMMYFUNCTION("$D79/(index(GOOGLEFINANCE($B79,""price"",workday(today(),-F$4),today()),2,2))-1"),0.00837138508371371)</f>
        <v>0.00837138508371371</v>
      </c>
      <c r="F79" s="23">
        <f>IFERROR(__xludf.DUMMYFUNCTION("$D79/(index(GOOGLEFINANCE($B79,""price"",workday(today(),-G$4),today()),2,2))-1"),0.0175869748867214)</f>
        <v>0.0175869748867214</v>
      </c>
      <c r="G79" s="32">
        <f>IFERROR(__xludf.DUMMYFUNCTION("$D79/(index(GOOGLEFINANCE($B79,""price"",$H$4,today()),2,2))-1"),0.0175869748867214)</f>
        <v>0.0175869748867214</v>
      </c>
      <c r="H79" s="31" t="str">
        <f>IFERROR(__xludf.DUMMYFUNCTION("IF(B79="""","""",SPARKLINE(INDEX(GOOGLEFINANCE($B79,""price"",$H$4,today()),,2),{""charttype"",""line""}))"),"")</f>
        <v/>
      </c>
      <c r="I79" s="10" t="str">
        <f>IFERROR(__xludf.DUMMYFUNCTION("IF(B79="""","""",SPARKLINE(INDEX(GOOGLEFINANCE($B79,""volume"",$H$4,today()),,2), {""charttype"",""column"";""color"",""grey"";""highcolor"",""balck"";""lowcolor"",""red""}))"),"")</f>
        <v/>
      </c>
      <c r="J79" s="23">
        <f t="shared" si="14"/>
        <v>0.0601378759442006</v>
      </c>
      <c r="K79" s="23">
        <f t="shared" si="15"/>
        <v>0.0693534657472083</v>
      </c>
    </row>
    <row r="80" spans="1:11">
      <c r="A80" s="10" t="s">
        <v>1018</v>
      </c>
      <c r="B80" s="22" t="str">
        <f>IFERROR(__xludf.DUMMYFUNCTION("GOOGLEFINANCE(B80,""name"")"),"iShares Select Dividend ETF")</f>
        <v>iShares Select Dividend ETF</v>
      </c>
      <c r="C80" s="21">
        <f>IFERROR(__xludf.DUMMYFUNCTION("GOOGLEFINANCE(B80)"),126)</f>
        <v>126</v>
      </c>
      <c r="D80" s="23">
        <f>IFERROR(__xludf.DUMMYFUNCTION("GOOGLEFINANCE(B80,""changepct"")/100"),-0.0026)</f>
        <v>-0.0026</v>
      </c>
      <c r="E80" s="23">
        <f>IFERROR(__xludf.DUMMYFUNCTION("$D80/(index(GOOGLEFINANCE($B80,""price"",workday(today(),-F$4),today()),2,2))-1"),0.0165389269866882)</f>
        <v>0.0165389269866882</v>
      </c>
      <c r="F80" s="23">
        <f>IFERROR(__xludf.DUMMYFUNCTION("$D80/(index(GOOGLEFINANCE($B80,""price"",workday(today(),-G$4),today()),2,2))-1"),0.0067918497802637)</f>
        <v>0.0067918497802637</v>
      </c>
      <c r="G80" s="32">
        <f>IFERROR(__xludf.DUMMYFUNCTION("$D80/(index(GOOGLEFINANCE($B80,""price"",$H$4,today()),2,2))-1"),0.0067918497802637)</f>
        <v>0.0067918497802637</v>
      </c>
      <c r="H80" s="31" t="str">
        <f>IFERROR(__xludf.DUMMYFUNCTION("IF(B80="""","""",SPARKLINE(INDEX(GOOGLEFINANCE($B80,""price"",$H$4,today()),,2),{""charttype"",""line""}))"),"")</f>
        <v/>
      </c>
      <c r="I80" s="10" t="str">
        <f>IFERROR(__xludf.DUMMYFUNCTION("IF(B80="""","""",SPARKLINE(INDEX(GOOGLEFINANCE($B80,""volume"",$H$4,today()),,2), {""charttype"",""column"";""color"",""grey"";""highcolor"",""balck"";""lowcolor"",""red""}))"),"")</f>
        <v/>
      </c>
      <c r="J80" s="23">
        <f t="shared" si="14"/>
        <v>0.0683054178471751</v>
      </c>
      <c r="K80" s="23">
        <f t="shared" si="15"/>
        <v>0.0585583406407506</v>
      </c>
    </row>
    <row r="81" spans="1:11">
      <c r="A81" s="10" t="s">
        <v>1019</v>
      </c>
      <c r="B81" s="22" t="str">
        <f>IFERROR(__xludf.DUMMYFUNCTION("GOOGLEFINANCE(B81,""name"")"),"Global X SuperDividend US ETF")</f>
        <v>Global X SuperDividend US ETF</v>
      </c>
      <c r="C81" s="21">
        <f>IFERROR(__xludf.DUMMYFUNCTION("GOOGLEFINANCE(B81)"),17.62)</f>
        <v>17.62</v>
      </c>
      <c r="D81" s="23">
        <f>IFERROR(__xludf.DUMMYFUNCTION("GOOGLEFINANCE(B81,""changepct"")/100"),-0.0068)</f>
        <v>-0.0068</v>
      </c>
      <c r="E81" s="23">
        <f>IFERROR(__xludf.DUMMYFUNCTION("$D81/(index(GOOGLEFINANCE($B81,""price"",workday(today(),-F$4),today()),2,2))-1"),0.0149769585253456)</f>
        <v>0.0149769585253456</v>
      </c>
      <c r="F81" s="23">
        <f>IFERROR(__xludf.DUMMYFUNCTION("$D81/(index(GOOGLEFINANCE($B81,""price"",workday(today(),-G$4),today()),2,2))-1"),-0.00113378684807252)</f>
        <v>-0.00113378684807252</v>
      </c>
      <c r="G81" s="32">
        <f>IFERROR(__xludf.DUMMYFUNCTION("$D81/(index(GOOGLEFINANCE($B81,""price"",$H$4,today()),2,2))-1"),-0.00113378684807252)</f>
        <v>-0.00113378684807252</v>
      </c>
      <c r="H81" s="31" t="str">
        <f>IFERROR(__xludf.DUMMYFUNCTION("IF(B81="""","""",SPARKLINE(INDEX(GOOGLEFINANCE($B81,""price"",$H$4,today()),,2),{""charttype"",""line""}))"),"")</f>
        <v/>
      </c>
      <c r="I81" s="10" t="str">
        <f>IFERROR(__xludf.DUMMYFUNCTION("IF(B81="""","""",SPARKLINE(INDEX(GOOGLEFINANCE($B81,""volume"",$H$4,today()),,2), {""charttype"",""column"";""color"",""grey"";""highcolor"",""balck"";""lowcolor"",""red""}))"),"")</f>
        <v/>
      </c>
      <c r="J81" s="23">
        <f t="shared" si="14"/>
        <v>0.0667434493858325</v>
      </c>
      <c r="K81" s="23">
        <f t="shared" si="15"/>
        <v>0.0506327040124144</v>
      </c>
    </row>
    <row r="82" spans="1:11">
      <c r="A82" s="10" t="s">
        <v>1020</v>
      </c>
      <c r="B82" s="22" t="str">
        <f>IFERROR(__xludf.DUMMYFUNCTION("GOOGLEFINANCE(B82,""name"")"),"BMO US Dividend ETF")</f>
        <v>BMO US Dividend ETF</v>
      </c>
      <c r="C82" s="21">
        <f>IFERROR(__xludf.DUMMYFUNCTION("GOOGLEFINANCE(B82)"),42.07)</f>
        <v>42.07</v>
      </c>
      <c r="D82" s="23">
        <f>IFERROR(__xludf.DUMMYFUNCTION("GOOGLEFINANCE(B82,""changepct"")/100"),0.0012)</f>
        <v>0.0012</v>
      </c>
      <c r="E82" s="23">
        <f>IFERROR(__xludf.DUMMYFUNCTION("$D82/(index(GOOGLEFINANCE($B82,""price"",workday(today(),-F$4),today()),2,2))-1"),0.00911489565843126)</f>
        <v>0.00911489565843126</v>
      </c>
      <c r="F82" s="23">
        <f>IFERROR(__xludf.DUMMYFUNCTION("$D82/(index(GOOGLEFINANCE($B82,""price"",workday(today(),-G$4),today()),2,2))-1"),-0.00614221592251351)</f>
        <v>-0.00614221592251351</v>
      </c>
      <c r="G82" s="32">
        <f>IFERROR(__xludf.DUMMYFUNCTION("$D82/(index(GOOGLEFINANCE($B82,""price"",$H$4,today()),2,2))-1"),-0.00614221592251351)</f>
        <v>-0.00614221592251351</v>
      </c>
      <c r="H82" s="31" t="str">
        <f>IFERROR(__xludf.DUMMYFUNCTION("IF(B82="""","""",SPARKLINE(INDEX(GOOGLEFINANCE($B82,""price"",$H$4,today()),,2),{""charttype"",""line""}))"),"")</f>
        <v/>
      </c>
      <c r="I82" s="10" t="str">
        <f>IFERROR(__xludf.DUMMYFUNCTION("IF(B82="""","""",SPARKLINE(INDEX(GOOGLEFINANCE($B82,""volume"",$H$4,today()),,2), {""charttype"",""column"";""color"",""grey"";""highcolor"",""balck"";""lowcolor"",""red""}))"),"")</f>
        <v/>
      </c>
      <c r="J82" s="23">
        <f t="shared" si="14"/>
        <v>0.0608813865189182</v>
      </c>
      <c r="K82" s="23">
        <f t="shared" si="15"/>
        <v>0.0456242749379734</v>
      </c>
    </row>
    <row r="83" spans="1:11">
      <c r="A83" s="48" t="s">
        <v>1021</v>
      </c>
      <c r="B83" s="49"/>
      <c r="C83" s="50"/>
      <c r="D83" s="51"/>
      <c r="E83" s="51"/>
      <c r="F83" s="51"/>
      <c r="G83" s="52"/>
      <c r="H83" s="52"/>
      <c r="I83" s="52"/>
      <c r="J83" s="53"/>
      <c r="K83" s="53"/>
    </row>
    <row r="84" spans="1:11">
      <c r="A84" s="20" t="s">
        <v>1022</v>
      </c>
      <c r="B84" s="22"/>
      <c r="C84" s="21"/>
      <c r="D84" s="23"/>
      <c r="E84" s="23"/>
      <c r="F84" s="23"/>
      <c r="G84" s="32"/>
      <c r="H84" s="31"/>
      <c r="I84" s="10"/>
      <c r="J84" s="10"/>
      <c r="K84" s="10"/>
    </row>
    <row r="85" spans="1:11">
      <c r="A85" s="10" t="s">
        <v>1023</v>
      </c>
      <c r="B85" s="22" t="str">
        <f>IFERROR(__xludf.DUMMYFUNCTION("GOOGLEFINANCE(B85,""name"")"),"iShares Core US Aggregate Bond ETF")</f>
        <v>iShares Core US Aggregate Bond ETF</v>
      </c>
      <c r="C85" s="21">
        <f>IFERROR(__xludf.DUMMYFUNCTION("GOOGLEFINANCE(B85)"),99.74)</f>
        <v>99.74</v>
      </c>
      <c r="D85" s="23">
        <f>IFERROR(__xludf.DUMMYFUNCTION("GOOGLEFINANCE(B85,""changepct"")/100"),0.0019)</f>
        <v>0.0019</v>
      </c>
      <c r="E85" s="23">
        <f>IFERROR(__xludf.DUMMYFUNCTION("$D85/(index(GOOGLEFINANCE($B85,""price"",workday(today(),-F$4),today()),2,2))-1"),-0.00508728179551132)</f>
        <v>-0.00508728179551132</v>
      </c>
      <c r="F85" s="23">
        <f>IFERROR(__xludf.DUMMYFUNCTION("$D85/(index(GOOGLEFINANCE($B85,""price"",workday(today(),-G$4),today()),2,2))-1"),0.0172361040285569)</f>
        <v>0.0172361040285569</v>
      </c>
      <c r="G85" s="32">
        <f>IFERROR(__xludf.DUMMYFUNCTION("$D85/(index(GOOGLEFINANCE($B85,""price"",$H$4,today()),2,2))-1"),0.0172361040285569)</f>
        <v>0.0172361040285569</v>
      </c>
      <c r="H85" s="31" t="str">
        <f>IFERROR(__xludf.DUMMYFUNCTION("IF(B85="""","""",SPARKLINE(INDEX(GOOGLEFINANCE($B85,""price"",$H$4,today()),,2),{""charttype"",""line""}))"),"")</f>
        <v/>
      </c>
      <c r="I85" s="10" t="str">
        <f>IFERROR(__xludf.DUMMYFUNCTION("IF(B85="""","""",SPARKLINE(INDEX(GOOGLEFINANCE($B85,""volume"",$H$4,today()),,2), {""charttype"",""column"";""color"",""grey"";""highcolor"",""balck"";""lowcolor"",""red""}))"),"")</f>
        <v/>
      </c>
      <c r="J85" s="23">
        <f t="shared" ref="J85:J94" si="16">E85-$F$13</f>
        <v>0.0466792090649756</v>
      </c>
      <c r="K85" s="23">
        <f t="shared" ref="K85:K94" si="17">F85-$G$13</f>
        <v>0.0690025948890438</v>
      </c>
    </row>
    <row r="86" spans="1:11">
      <c r="A86" s="10" t="s">
        <v>1024</v>
      </c>
      <c r="B86" s="22" t="str">
        <f>IFERROR(__xludf.DUMMYFUNCTION("GOOGLEFINANCE(B86,""name"")"),"iShares Agency Bond ETF")</f>
        <v>iShares Agency Bond ETF</v>
      </c>
      <c r="C86" s="21">
        <f>IFERROR(__xludf.DUMMYFUNCTION("GOOGLEFINANCE(B86)"),109.46)</f>
        <v>109.46</v>
      </c>
      <c r="D86" s="23">
        <f>IFERROR(__xludf.DUMMYFUNCTION("GOOGLEFINANCE(B86,""changepct"")/100"),0.0003)</f>
        <v>0.0003</v>
      </c>
      <c r="E86" s="23">
        <f>IFERROR(__xludf.DUMMYFUNCTION("$D86/(index(GOOGLEFINANCE($B86,""price"",workday(today(),-F$4),today()),2,2))-1"),-0.00418486171761289)</f>
        <v>-0.00418486171761289</v>
      </c>
      <c r="F86" s="23">
        <f>IFERROR(__xludf.DUMMYFUNCTION("$D86/(index(GOOGLEFINANCE($B86,""price"",workday(today(),-G$4),today()),2,2))-1"),0.00931304748732131)</f>
        <v>0.00931304748732131</v>
      </c>
      <c r="G86" s="32">
        <f>IFERROR(__xludf.DUMMYFUNCTION("$D86/(index(GOOGLEFINANCE($B86,""price"",$H$4,today()),2,2))-1"),0.00931304748732131)</f>
        <v>0.00931304748732131</v>
      </c>
      <c r="H86" s="31" t="str">
        <f>IFERROR(__xludf.DUMMYFUNCTION("IF(B86="""","""",SPARKLINE(INDEX(GOOGLEFINANCE($B86,""price"",$H$4,today()),,2),{""charttype"",""line""}))"),"")</f>
        <v/>
      </c>
      <c r="I86" s="10" t="str">
        <f>IFERROR(__xludf.DUMMYFUNCTION("IF(B86="""","""",SPARKLINE(INDEX(GOOGLEFINANCE($B86,""volume"",$H$4,today()),,2), {""charttype"",""column"";""color"",""grey"";""highcolor"",""balck"";""lowcolor"",""red""}))"),"")</f>
        <v/>
      </c>
      <c r="J86" s="23">
        <f t="shared" si="16"/>
        <v>0.047581629142874</v>
      </c>
      <c r="K86" s="23">
        <f t="shared" si="17"/>
        <v>0.0610795383478082</v>
      </c>
    </row>
    <row r="87" spans="1:11">
      <c r="A87" s="10" t="s">
        <v>1025</v>
      </c>
      <c r="B87" s="22" t="str">
        <f>IFERROR(__xludf.DUMMYFUNCTION("GOOGLEFINANCE(B87,""name"")"),"Vanguard Canadian Aggregate Bond Index ETF")</f>
        <v>Vanguard Canadian Aggregate Bond Index ETF</v>
      </c>
      <c r="C87" s="21">
        <f>IFERROR(__xludf.DUMMYFUNCTION("GOOGLEFINANCE(B87)"),23.14)</f>
        <v>23.14</v>
      </c>
      <c r="D87" s="23">
        <f>IFERROR(__xludf.DUMMYFUNCTION("GOOGLEFINANCE(B87,""changepct"")/100"),0.0017)</f>
        <v>0.0017</v>
      </c>
      <c r="E87" s="23">
        <f>IFERROR(__xludf.DUMMYFUNCTION("$D87/(index(GOOGLEFINANCE($B87,""price"",workday(today(),-F$4),today()),2,2))-1"),0.0034692107545533)</f>
        <v>0.0034692107545533</v>
      </c>
      <c r="F87" s="23">
        <f>IFERROR(__xludf.DUMMYFUNCTION("$D87/(index(GOOGLEFINANCE($B87,""price"",workday(today(),-G$4),today()),2,2))-1"),0.0198325253415601)</f>
        <v>0.0198325253415601</v>
      </c>
      <c r="G87" s="32">
        <f>IFERROR(__xludf.DUMMYFUNCTION("$D87/(index(GOOGLEFINANCE($B87,""price"",$H$4,today()),2,2))-1"),0.0198325253415601)</f>
        <v>0.0198325253415601</v>
      </c>
      <c r="H87" s="31" t="str">
        <f>IFERROR(__xludf.DUMMYFUNCTION("IF(B87="""","""",SPARKLINE(INDEX(GOOGLEFINANCE($B87,""price"",$H$4,today()),,2),{""charttype"",""line""}))"),"")</f>
        <v/>
      </c>
      <c r="I87" s="10" t="str">
        <f>IFERROR(__xludf.DUMMYFUNCTION("IF(B87="""","""",SPARKLINE(INDEX(GOOGLEFINANCE($B87,""volume"",$H$4,today()),,2), {""charttype"",""column"";""color"",""grey"";""highcolor"",""balck"";""lowcolor"",""red""}))"),"")</f>
        <v/>
      </c>
      <c r="J87" s="23">
        <f t="shared" si="16"/>
        <v>0.0552357016150402</v>
      </c>
      <c r="K87" s="23">
        <f t="shared" si="17"/>
        <v>0.071599016202047</v>
      </c>
    </row>
    <row r="88" spans="1:11">
      <c r="A88" s="10" t="s">
        <v>1026</v>
      </c>
      <c r="B88" s="22" t="str">
        <f>IFERROR(__xludf.DUMMYFUNCTION("GOOGLEFINANCE(B88,""name"")"),"iShares Core Total USD Bond Market ETF")</f>
        <v>iShares Core Total USD Bond Market ETF</v>
      </c>
      <c r="C88" s="21">
        <f>IFERROR(__xludf.DUMMYFUNCTION("GOOGLEFINANCE(B88)"),46.36)</f>
        <v>46.36</v>
      </c>
      <c r="D88" s="23">
        <f>IFERROR(__xludf.DUMMYFUNCTION("GOOGLEFINANCE(B88,""changepct"")/100"),0.0019)</f>
        <v>0.0019</v>
      </c>
      <c r="E88" s="23">
        <f>IFERROR(__xludf.DUMMYFUNCTION("$D88/(index(GOOGLEFINANCE($B88,""price"",workday(today(),-F$4),today()),2,2))-1"),-0.00408163265306116)</f>
        <v>-0.00408163265306116</v>
      </c>
      <c r="F88" s="23">
        <f>IFERROR(__xludf.DUMMYFUNCTION("$D88/(index(GOOGLEFINANCE($B88,""price"",workday(today(),-G$4),today()),2,2))-1"),0.0157756354075371)</f>
        <v>0.0157756354075371</v>
      </c>
      <c r="G88" s="32">
        <f>IFERROR(__xludf.DUMMYFUNCTION("$D88/(index(GOOGLEFINANCE($B88,""price"",$H$4,today()),2,2))-1"),0.0157756354075371)</f>
        <v>0.0157756354075371</v>
      </c>
      <c r="H88" s="31" t="str">
        <f>IFERROR(__xludf.DUMMYFUNCTION("IF(B88="""","""",SPARKLINE(INDEX(GOOGLEFINANCE($B88,""price"",$H$4,today()),,2),{""charttype"",""line""}))"),"")</f>
        <v/>
      </c>
      <c r="I88" s="10" t="str">
        <f>IFERROR(__xludf.DUMMYFUNCTION("IF(B88="""","""",SPARKLINE(INDEX(GOOGLEFINANCE($B88,""volume"",$H$4,today()),,2), {""charttype"",""column"";""color"",""grey"";""highcolor"",""balck"";""lowcolor"",""red""}))"),"")</f>
        <v/>
      </c>
      <c r="J88" s="23">
        <f t="shared" si="16"/>
        <v>0.0476848582074257</v>
      </c>
      <c r="K88" s="23">
        <f t="shared" si="17"/>
        <v>0.067542126268024</v>
      </c>
    </row>
    <row r="89" spans="1:11">
      <c r="A89" s="10" t="s">
        <v>1027</v>
      </c>
      <c r="B89" s="22" t="str">
        <f>IFERROR(__xludf.DUMMYFUNCTION("GOOGLEFINANCE(B89,""name"")"),"Vanguard Total Bond Market Index Fund ETF")</f>
        <v>Vanguard Total Bond Market Index Fund ETF</v>
      </c>
      <c r="C89" s="21">
        <f>IFERROR(__xludf.DUMMYFUNCTION("GOOGLEFINANCE(B89)"),73.99)</f>
        <v>73.99</v>
      </c>
      <c r="D89" s="23">
        <f>IFERROR(__xludf.DUMMYFUNCTION("GOOGLEFINANCE(B89,""changepct"")/100"),0.0019)</f>
        <v>0.0019</v>
      </c>
      <c r="E89" s="23">
        <f>IFERROR(__xludf.DUMMYFUNCTION("$D89/(index(GOOGLEFINANCE($B89,""price"",workday(today(),-F$4),today()),2,2))-1"),-0.00470809792843707)</f>
        <v>-0.00470809792843707</v>
      </c>
      <c r="F89" s="23">
        <f>IFERROR(__xludf.DUMMYFUNCTION("$D89/(index(GOOGLEFINANCE($B89,""price"",workday(today(),-G$4),today()),2,2))-1"),0.0170446735395188)</f>
        <v>0.0170446735395188</v>
      </c>
      <c r="G89" s="32">
        <f>IFERROR(__xludf.DUMMYFUNCTION("$D89/(index(GOOGLEFINANCE($B89,""price"",$H$4,today()),2,2))-1"),0.0170446735395188)</f>
        <v>0.0170446735395188</v>
      </c>
      <c r="H89" s="31" t="str">
        <f>IFERROR(__xludf.DUMMYFUNCTION("IF(B89="""","""",SPARKLINE(INDEX(GOOGLEFINANCE($B89,""price"",$H$4,today()),,2),{""charttype"",""line""}))"),"")</f>
        <v/>
      </c>
      <c r="I89" s="10" t="str">
        <f>IFERROR(__xludf.DUMMYFUNCTION("IF(B89="""","""",SPARKLINE(INDEX(GOOGLEFINANCE($B89,""volume"",$H$4,today()),,2), {""charttype"",""column"";""color"",""grey"";""highcolor"",""balck"";""lowcolor"",""red""}))"),"")</f>
        <v/>
      </c>
      <c r="J89" s="23">
        <f t="shared" si="16"/>
        <v>0.0470583929320498</v>
      </c>
      <c r="K89" s="23">
        <f t="shared" si="17"/>
        <v>0.0688111644000057</v>
      </c>
    </row>
    <row r="90" spans="1:11">
      <c r="A90" s="10" t="s">
        <v>1028</v>
      </c>
      <c r="B90" s="22" t="str">
        <f>IFERROR(__xludf.DUMMYFUNCTION("GOOGLEFINANCE(B90,""name"")"),"BMO Aggregate Bond Index ETF")</f>
        <v>BMO Aggregate Bond Index ETF</v>
      </c>
      <c r="C90" s="21">
        <f>IFERROR(__xludf.DUMMYFUNCTION("GOOGLEFINANCE(B90)"),13.89)</f>
        <v>13.89</v>
      </c>
      <c r="D90" s="23">
        <f>IFERROR(__xludf.DUMMYFUNCTION("GOOGLEFINANCE(B90,""changepct"")/100"),0.0018)</f>
        <v>0.0018</v>
      </c>
      <c r="E90" s="23">
        <f>IFERROR(__xludf.DUMMYFUNCTION("$D90/(index(GOOGLEFINANCE($B90,""price"",workday(today(),-F$4),today()),2,2))-1"),0.00433839479392639)</f>
        <v>0.00433839479392639</v>
      </c>
      <c r="F90" s="23">
        <f>IFERROR(__xludf.DUMMYFUNCTION("$D90/(index(GOOGLEFINANCE($B90,""price"",workday(today(),-G$4),today()),2,2))-1"),0.0198237885462555)</f>
        <v>0.0198237885462555</v>
      </c>
      <c r="G90" s="32">
        <f>IFERROR(__xludf.DUMMYFUNCTION("$D90/(index(GOOGLEFINANCE($B90,""price"",$H$4,today()),2,2))-1"),0.0198237885462555)</f>
        <v>0.0198237885462555</v>
      </c>
      <c r="H90" s="31" t="str">
        <f>IFERROR(__xludf.DUMMYFUNCTION("IF(B90="""","""",SPARKLINE(INDEX(GOOGLEFINANCE($B90,""price"",$H$4,today()),,2),{""charttype"",""line""}))"),"")</f>
        <v/>
      </c>
      <c r="I90" s="10" t="str">
        <f>IFERROR(__xludf.DUMMYFUNCTION("IF(B90="""","""",SPARKLINE(INDEX(GOOGLEFINANCE($B90,""volume"",$H$4,today()),,2), {""charttype"",""column"";""color"",""grey"";""highcolor"",""balck"";""lowcolor"",""red""}))"),"")</f>
        <v/>
      </c>
      <c r="J90" s="23">
        <f t="shared" si="16"/>
        <v>0.0561048856544133</v>
      </c>
      <c r="K90" s="23">
        <f t="shared" si="17"/>
        <v>0.0715902794067424</v>
      </c>
    </row>
    <row r="91" spans="1:11">
      <c r="A91" s="10" t="s">
        <v>1029</v>
      </c>
      <c r="B91" s="22" t="str">
        <f>IFERROR(__xludf.DUMMYFUNCTION("GOOGLEFINANCE(B91,""name"")"),"BondBloxx BB Rated USD High Yield Corp Bd ETF")</f>
        <v>BondBloxx BB Rated USD High Yield Corp Bd ETF</v>
      </c>
      <c r="C91" s="21">
        <f>IFERROR(__xludf.DUMMYFUNCTION("GOOGLEFINANCE(B91)"),40.25)</f>
        <v>40.25</v>
      </c>
      <c r="D91" s="23">
        <f>IFERROR(__xludf.DUMMYFUNCTION("GOOGLEFINANCE(B91,""changepct"")/100"),0)</f>
        <v>0</v>
      </c>
      <c r="E91" s="23">
        <f>IFERROR(__xludf.DUMMYFUNCTION("$D91/(index(GOOGLEFINANCE($B91,""price"",workday(today(),-F$4),today()),2,2))-1"),0.00725725725725734)</f>
        <v>0.00725725725725734</v>
      </c>
      <c r="F91" s="23">
        <f>IFERROR(__xludf.DUMMYFUNCTION("$D91/(index(GOOGLEFINANCE($B91,""price"",workday(today(),-G$4),today()),2,2))-1"),0.00124378109452738)</f>
        <v>0.00124378109452738</v>
      </c>
      <c r="G91" s="32">
        <f>IFERROR(__xludf.DUMMYFUNCTION("$D91/(index(GOOGLEFINANCE($B91,""price"",$H$4,today()),2,2))-1"),0.00124378109452738)</f>
        <v>0.00124378109452738</v>
      </c>
      <c r="H91" s="31" t="str">
        <f>IFERROR(__xludf.DUMMYFUNCTION("IF(B91="""","""",SPARKLINE(INDEX(GOOGLEFINANCE($B91,""price"",$H$4,today()),,2),{""charttype"",""line""}))"),"")</f>
        <v/>
      </c>
      <c r="I91" s="10" t="str">
        <f>IFERROR(__xludf.DUMMYFUNCTION("IF(B91="""","""",SPARKLINE(INDEX(GOOGLEFINANCE($B91,""volume"",$H$4,today()),,2), {""charttype"",""column"";""color"",""grey"";""highcolor"",""balck"";""lowcolor"",""red""}))"),"")</f>
        <v/>
      </c>
      <c r="J91" s="23">
        <f t="shared" si="16"/>
        <v>0.0590237481177442</v>
      </c>
      <c r="K91" s="23">
        <f t="shared" si="17"/>
        <v>0.0530102719550143</v>
      </c>
    </row>
    <row r="92" spans="1:11">
      <c r="A92" s="10" t="s">
        <v>1030</v>
      </c>
      <c r="B92" s="22" t="str">
        <f>IFERROR(__xludf.DUMMYFUNCTION("GOOGLEFINANCE(B92,""name"")"),"iShares Canadian Real Return Bond Index ETF")</f>
        <v>iShares Canadian Real Return Bond Index ETF</v>
      </c>
      <c r="C92" s="21">
        <f>IFERROR(__xludf.DUMMYFUNCTION("GOOGLEFINANCE(B92)"),22.99)</f>
        <v>22.99</v>
      </c>
      <c r="D92" s="23">
        <f>IFERROR(__xludf.DUMMYFUNCTION("GOOGLEFINANCE(B92,""changepct"")/100"),0.0039)</f>
        <v>0.0039</v>
      </c>
      <c r="E92" s="23">
        <f>IFERROR(__xludf.DUMMYFUNCTION("$D92/(index(GOOGLEFINANCE($B92,""price"",workday(today(),-F$4),today()),2,2))-1"),0.00612691466083137)</f>
        <v>0.00612691466083137</v>
      </c>
      <c r="F92" s="23">
        <f>IFERROR(__xludf.DUMMYFUNCTION("$D92/(index(GOOGLEFINANCE($B92,""price"",workday(today(),-G$4),today()),2,2))-1"),0.0314042171377297)</f>
        <v>0.0314042171377297</v>
      </c>
      <c r="G92" s="32">
        <f>IFERROR(__xludf.DUMMYFUNCTION("$D92/(index(GOOGLEFINANCE($B92,""price"",$H$4,today()),2,2))-1"),0.0314042171377297)</f>
        <v>0.0314042171377297</v>
      </c>
      <c r="H92" s="31" t="str">
        <f>IFERROR(__xludf.DUMMYFUNCTION("IF(B92="""","""",SPARKLINE(INDEX(GOOGLEFINANCE($B92,""price"",$H$4,today()),,2),{""charttype"",""line""}))"),"")</f>
        <v/>
      </c>
      <c r="I92" s="10" t="str">
        <f>IFERROR(__xludf.DUMMYFUNCTION("IF(B92="""","""",SPARKLINE(INDEX(GOOGLEFINANCE($B92,""volume"",$H$4,today()),,2), {""charttype"",""column"";""color"",""grey"";""highcolor"",""balck"";""lowcolor"",""red""}))"),"")</f>
        <v/>
      </c>
      <c r="J92" s="23">
        <f t="shared" si="16"/>
        <v>0.0578934055213183</v>
      </c>
      <c r="K92" s="23">
        <f t="shared" si="17"/>
        <v>0.0831707079982166</v>
      </c>
    </row>
    <row r="93" spans="1:11">
      <c r="A93" s="10" t="s">
        <v>1031</v>
      </c>
      <c r="B93" s="22" t="str">
        <f>IFERROR(__xludf.DUMMYFUNCTION("GOOGLEFINANCE(B93,""name"")"),"Vanguard Sht-Term Inflation-Protected Sec Idx ETF")</f>
        <v>Vanguard Sht-Term Inflation-Protected Sec Idx ETF</v>
      </c>
      <c r="C93" s="21">
        <f>IFERROR(__xludf.DUMMYFUNCTION("GOOGLEFINANCE(B93)"),48.66)</f>
        <v>48.66</v>
      </c>
      <c r="D93" s="23">
        <f>IFERROR(__xludf.DUMMYFUNCTION("GOOGLEFINANCE(B93,""changepct"")/100"),0.0015)</f>
        <v>0.0015</v>
      </c>
      <c r="E93" s="23">
        <f>IFERROR(__xludf.DUMMYFUNCTION("$D93/(index(GOOGLEFINANCE($B93,""price"",workday(today(),-F$4),today()),2,2))-1"),-0.000205465379083724)</f>
        <v>-0.000205465379083724</v>
      </c>
      <c r="F93" s="23">
        <f>IFERROR(__xludf.DUMMYFUNCTION("$D93/(index(GOOGLEFINANCE($B93,""price"",workday(today(),-G$4),today()),2,2))-1"),0.00641158221302995)</f>
        <v>0.00641158221302995</v>
      </c>
      <c r="G93" s="32">
        <f>IFERROR(__xludf.DUMMYFUNCTION("$D93/(index(GOOGLEFINANCE($B93,""price"",$H$4,today()),2,2))-1"),0.00641158221302995)</f>
        <v>0.00641158221302995</v>
      </c>
      <c r="H93" s="31" t="str">
        <f>IFERROR(__xludf.DUMMYFUNCTION("IF(B93="""","""",SPARKLINE(INDEX(GOOGLEFINANCE($B93,""price"",$H$4,today()),,2),{""charttype"",""line""}))"),"")</f>
        <v/>
      </c>
      <c r="I93" s="10" t="str">
        <f>IFERROR(__xludf.DUMMYFUNCTION("IF(B93="""","""",SPARKLINE(INDEX(GOOGLEFINANCE($B93,""volume"",$H$4,today()),,2), {""charttype"",""column"";""color"",""grey"";""highcolor"",""balck"";""lowcolor"",""red""}))"),"")</f>
        <v/>
      </c>
      <c r="J93" s="23">
        <f t="shared" si="16"/>
        <v>0.0515610254814032</v>
      </c>
      <c r="K93" s="23">
        <f t="shared" si="17"/>
        <v>0.0581780730735169</v>
      </c>
    </row>
    <row r="94" spans="1:11">
      <c r="A94" s="10" t="s">
        <v>1032</v>
      </c>
      <c r="B94" s="22" t="str">
        <f>IFERROR(__xludf.DUMMYFUNCTION("GOOGLEFINANCE(B94,""name"")"),"iShares TIPS Bond ETF")</f>
        <v>iShares TIPS Bond ETF</v>
      </c>
      <c r="C94" s="21">
        <f>IFERROR(__xludf.DUMMYFUNCTION("GOOGLEFINANCE(B94)"),108.47)</f>
        <v>108.47</v>
      </c>
      <c r="D94" s="23">
        <f>IFERROR(__xludf.DUMMYFUNCTION("GOOGLEFINANCE(B94,""changepct"")/100"),0.0025)</f>
        <v>0.0025</v>
      </c>
      <c r="E94" s="23">
        <f>IFERROR(__xludf.DUMMYFUNCTION("$D94/(index(GOOGLEFINANCE($B94,""price"",workday(today(),-F$4),today()),2,2))-1"),-0.00467975775371631)</f>
        <v>-0.00467975775371631</v>
      </c>
      <c r="F94" s="23">
        <f>IFERROR(__xludf.DUMMYFUNCTION("$D94/(index(GOOGLEFINANCE($B94,""price"",workday(today(),-G$4),today()),2,2))-1"),0.00958674609084142)</f>
        <v>0.00958674609084142</v>
      </c>
      <c r="G94" s="32">
        <f>IFERROR(__xludf.DUMMYFUNCTION("$D94/(index(GOOGLEFINANCE($B94,""price"",$H$4,today()),2,2))-1"),0.00958674609084142)</f>
        <v>0.00958674609084142</v>
      </c>
      <c r="H94" s="31" t="str">
        <f>IFERROR(__xludf.DUMMYFUNCTION("IF(B94="""","""",SPARKLINE(INDEX(GOOGLEFINANCE($B94,""price"",$H$4,today()),,2),{""charttype"",""line""}))"),"")</f>
        <v/>
      </c>
      <c r="I94" s="10" t="str">
        <f>IFERROR(__xludf.DUMMYFUNCTION("IF(B94="""","""",SPARKLINE(INDEX(GOOGLEFINANCE($B94,""volume"",$H$4,today()),,2), {""charttype"",""column"";""color"",""grey"";""highcolor"",""balck"";""lowcolor"",""red""}))"),"")</f>
        <v/>
      </c>
      <c r="J94" s="23">
        <f t="shared" si="16"/>
        <v>0.0470867331067706</v>
      </c>
      <c r="K94" s="23">
        <f t="shared" si="17"/>
        <v>0.0613532369513283</v>
      </c>
    </row>
    <row r="95" spans="1:11">
      <c r="A95" s="20" t="s">
        <v>1033</v>
      </c>
      <c r="B95" s="22"/>
      <c r="C95" s="21"/>
      <c r="D95" s="23"/>
      <c r="E95" s="23"/>
      <c r="F95" s="23"/>
      <c r="G95" s="32"/>
      <c r="H95" s="31"/>
      <c r="I95" s="10"/>
      <c r="J95" s="10"/>
      <c r="K95" s="10"/>
    </row>
    <row r="96" spans="1:11">
      <c r="A96" s="10" t="s">
        <v>1034</v>
      </c>
      <c r="B96" s="22" t="str">
        <f>IFERROR(__xludf.DUMMYFUNCTION("GOOGLEFINANCE(B96,""name"")"),"iShares 20+ Year Treasury Bond ETF")</f>
        <v>iShares 20+ Year Treasury Bond ETF</v>
      </c>
      <c r="C96" s="21">
        <f>IFERROR(__xludf.DUMMYFUNCTION("GOOGLEFINANCE(B96)"),96.72)</f>
        <v>96.72</v>
      </c>
      <c r="D96" s="23">
        <f>IFERROR(__xludf.DUMMYFUNCTION("GOOGLEFINANCE(B96,""changepct"")/100"),0.00469999999999999)</f>
        <v>0.00469999999999999</v>
      </c>
      <c r="E96" s="23">
        <f>IFERROR(__xludf.DUMMYFUNCTION("$D96/(index(GOOGLEFINANCE($B96,""price"",workday(today(),-F$4),today()),2,2))-1"),-0.0210526315789473)</f>
        <v>-0.0210526315789473</v>
      </c>
      <c r="F96" s="23">
        <f>IFERROR(__xludf.DUMMYFUNCTION("$D96/(index(GOOGLEFINANCE($B96,""price"",workday(today(),-G$4),today()),2,2))-1"),0.0415679517553306)</f>
        <v>0.0415679517553306</v>
      </c>
      <c r="G96" s="32">
        <f>IFERROR(__xludf.DUMMYFUNCTION("$D96/(index(GOOGLEFINANCE($B96,""price"",$H$4,today()),2,2))-1"),0.0415679517553306)</f>
        <v>0.0415679517553306</v>
      </c>
      <c r="H96" s="31" t="str">
        <f>IFERROR(__xludf.DUMMYFUNCTION("IF(B96="""","""",SPARKLINE(INDEX(GOOGLEFINANCE($B96,""price"",$H$4,today()),,2),{""charttype"",""line""}))"),"")</f>
        <v/>
      </c>
      <c r="I96" s="10" t="str">
        <f>IFERROR(__xludf.DUMMYFUNCTION("IF(B96="""","""",SPARKLINE(INDEX(GOOGLEFINANCE($B96,""volume"",$H$4,today()),,2), {""charttype"",""column"";""color"",""grey"";""highcolor"",""balck"";""lowcolor"",""red""}))"),"")</f>
        <v/>
      </c>
      <c r="J96" s="23">
        <f t="shared" ref="J96:J99" si="18">E96-$F$13</f>
        <v>0.0307138592815396</v>
      </c>
      <c r="K96" s="23">
        <f t="shared" ref="K96:K99" si="19">F96-$G$13</f>
        <v>0.0933344426158175</v>
      </c>
    </row>
    <row r="97" spans="1:11">
      <c r="A97" s="10" t="s">
        <v>1035</v>
      </c>
      <c r="B97" s="22" t="str">
        <f>IFERROR(__xludf.DUMMYFUNCTION("GOOGLEFINANCE(B97,""name"")"),"iShares 7-10 Year Treasury Bond ETF")</f>
        <v>iShares 7-10 Year Treasury Bond ETF</v>
      </c>
      <c r="C97" s="21">
        <f>IFERROR(__xludf.DUMMYFUNCTION("GOOGLEFINANCE(B97)"),96.94)</f>
        <v>96.94</v>
      </c>
      <c r="D97" s="23">
        <f>IFERROR(__xludf.DUMMYFUNCTION("GOOGLEFINANCE(B97,""changepct"")/100"),0.0029)</f>
        <v>0.0029</v>
      </c>
      <c r="E97" s="23">
        <f>IFERROR(__xludf.DUMMYFUNCTION("$D97/(index(GOOGLEFINANCE($B97,""price"",workday(today(),-F$4),today()),2,2))-1"),-0.00859071384741261)</f>
        <v>-0.00859071384741261</v>
      </c>
      <c r="F97" s="23">
        <f>IFERROR(__xludf.DUMMYFUNCTION("$D97/(index(GOOGLEFINANCE($B97,""price"",workday(today(),-G$4),today()),2,2))-1"),0.0241944004226095)</f>
        <v>0.0241944004226095</v>
      </c>
      <c r="G97" s="32">
        <f>IFERROR(__xludf.DUMMYFUNCTION("$D97/(index(GOOGLEFINANCE($B97,""price"",$H$4,today()),2,2))-1"),0.0241944004226095)</f>
        <v>0.0241944004226095</v>
      </c>
      <c r="H97" s="31" t="str">
        <f>IFERROR(__xludf.DUMMYFUNCTION("IF(B97="""","""",SPARKLINE(INDEX(GOOGLEFINANCE($B97,""price"",$H$4,today()),,2),{""charttype"",""line""}))"),"")</f>
        <v/>
      </c>
      <c r="I97" s="10" t="str">
        <f>IFERROR(__xludf.DUMMYFUNCTION("IF(B97="""","""",SPARKLINE(INDEX(GOOGLEFINANCE($B97,""volume"",$H$4,today()),,2), {""charttype"",""column"";""color"",""grey"";""highcolor"",""balck"";""lowcolor"",""red""}))"),"")</f>
        <v/>
      </c>
      <c r="J97" s="23">
        <f t="shared" si="18"/>
        <v>0.0431757770130743</v>
      </c>
      <c r="K97" s="23">
        <f t="shared" si="19"/>
        <v>0.0759608912830964</v>
      </c>
    </row>
    <row r="98" spans="1:11">
      <c r="A98" s="10" t="s">
        <v>1036</v>
      </c>
      <c r="B98" s="22" t="str">
        <f>IFERROR(__xludf.DUMMYFUNCTION("GOOGLEFINANCE(B98,""name"")"),"iShares 3-7 Year Treasury Bond ETF")</f>
        <v>iShares 3-7 Year Treasury Bond ETF</v>
      </c>
      <c r="C98" s="21">
        <f>IFERROR(__xludf.DUMMYFUNCTION("GOOGLEFINANCE(B98)"),118.43)</f>
        <v>118.43</v>
      </c>
      <c r="D98" s="23">
        <f>IFERROR(__xludf.DUMMYFUNCTION("GOOGLEFINANCE(B98,""changepct"")/100"),0.0021)</f>
        <v>0.0021</v>
      </c>
      <c r="E98" s="23">
        <f>IFERROR(__xludf.DUMMYFUNCTION("$D98/(index(GOOGLEFINANCE($B98,""price"",workday(today(),-F$4),today()),2,2))-1"),-0.00478991596638644)</f>
        <v>-0.00478991596638644</v>
      </c>
      <c r="F98" s="23">
        <f>IFERROR(__xludf.DUMMYFUNCTION("$D98/(index(GOOGLEFINANCE($B98,""price"",workday(today(),-G$4),today()),2,2))-1"),0.0165665236051502)</f>
        <v>0.0165665236051502</v>
      </c>
      <c r="G98" s="32">
        <f>IFERROR(__xludf.DUMMYFUNCTION("$D98/(index(GOOGLEFINANCE($B98,""price"",$H$4,today()),2,2))-1"),0.0165665236051502)</f>
        <v>0.0165665236051502</v>
      </c>
      <c r="H98" s="31" t="str">
        <f>IFERROR(__xludf.DUMMYFUNCTION("IF(B98="""","""",SPARKLINE(INDEX(GOOGLEFINANCE($B98,""price"",$H$4,today()),,2),{""charttype"",""line""}))"),"")</f>
        <v/>
      </c>
      <c r="I98" s="10" t="str">
        <f>IFERROR(__xludf.DUMMYFUNCTION("IF(B98="""","""",SPARKLINE(INDEX(GOOGLEFINANCE($B98,""volume"",$H$4,today()),,2), {""charttype"",""column"";""color"",""grey"";""highcolor"",""balck"";""lowcolor"",""red""}))"),"")</f>
        <v/>
      </c>
      <c r="J98" s="23">
        <f t="shared" si="18"/>
        <v>0.0469765748941005</v>
      </c>
      <c r="K98" s="23">
        <f t="shared" si="19"/>
        <v>0.0683330144656371</v>
      </c>
    </row>
    <row r="99" spans="1:11">
      <c r="A99" s="10" t="s">
        <v>1037</v>
      </c>
      <c r="B99" s="22" t="str">
        <f>IFERROR(__xludf.DUMMYFUNCTION("GOOGLEFINANCE(B99,""name"")"),"iShares 1-3 Year Treasury Bond ETF")</f>
        <v>iShares 1-3 Year Treasury Bond ETF</v>
      </c>
      <c r="C99" s="21">
        <f>IFERROR(__xludf.DUMMYFUNCTION("GOOGLEFINANCE(B99)"),82.54)</f>
        <v>82.54</v>
      </c>
      <c r="D99" s="23">
        <f>IFERROR(__xludf.DUMMYFUNCTION("GOOGLEFINANCE(B99,""changepct"")/100"),0.0007)</f>
        <v>0.0007</v>
      </c>
      <c r="E99" s="23">
        <f>IFERROR(__xludf.DUMMYFUNCTION("$D99/(index(GOOGLEFINANCE($B99,""price"",workday(today(),-F$4),today()),2,2))-1"),-0.00133091349062308)</f>
        <v>-0.00133091349062308</v>
      </c>
      <c r="F99" s="23">
        <f>IFERROR(__xludf.DUMMYFUNCTION("$D99/(index(GOOGLEFINANCE($B99,""price"",workday(today(),-G$4),today()),2,2))-1"),0.00707662274280163)</f>
        <v>0.00707662274280163</v>
      </c>
      <c r="G99" s="32">
        <f>IFERROR(__xludf.DUMMYFUNCTION("$D99/(index(GOOGLEFINANCE($B99,""price"",$H$4,today()),2,2))-1"),0.00707662274280163)</f>
        <v>0.00707662274280163</v>
      </c>
      <c r="H99" s="31" t="str">
        <f>IFERROR(__xludf.DUMMYFUNCTION("IF(B99="""","""",SPARKLINE(INDEX(GOOGLEFINANCE($B99,""price"",$H$4,today()),,2),{""charttype"",""line""}))"),"")</f>
        <v/>
      </c>
      <c r="I99" s="10" t="str">
        <f>IFERROR(__xludf.DUMMYFUNCTION("IF(B99="""","""",SPARKLINE(INDEX(GOOGLEFINANCE($B99,""volume"",$H$4,today()),,2), {""charttype"",""column"";""color"",""grey"";""highcolor"",""balck"";""lowcolor"",""red""}))"),"")</f>
        <v/>
      </c>
      <c r="J99" s="23">
        <f t="shared" si="18"/>
        <v>0.0504355773698638</v>
      </c>
      <c r="K99" s="23">
        <f t="shared" si="19"/>
        <v>0.0588431136032885</v>
      </c>
    </row>
    <row r="100" spans="1:11">
      <c r="A100" s="20" t="s">
        <v>1038</v>
      </c>
      <c r="B100" s="22"/>
      <c r="C100" s="21"/>
      <c r="D100" s="23"/>
      <c r="E100" s="23"/>
      <c r="F100" s="23"/>
      <c r="G100" s="32"/>
      <c r="H100" s="31"/>
      <c r="I100" s="10"/>
      <c r="J100" s="10"/>
      <c r="K100" s="10"/>
    </row>
    <row r="101" spans="1:11">
      <c r="A101" s="10" t="s">
        <v>1039</v>
      </c>
      <c r="B101" s="22" t="str">
        <f>IFERROR(__xludf.DUMMYFUNCTION("GOOGLEFINANCE(B101,""name"")"),"iShares $ Treasury Bond UCITS ETF USD Dist")</f>
        <v>iShares $ Treasury Bond UCITS ETF USD Dist</v>
      </c>
      <c r="C101" s="21">
        <f>IFERROR(__xludf.DUMMYFUNCTION("GOOGLEFINANCE(B101)"),4.41)</f>
        <v>4.41</v>
      </c>
      <c r="D101" s="23">
        <f>IFERROR(__xludf.DUMMYFUNCTION("GOOGLEFINANCE(B101,""changepct"")/100"),0.0016)</f>
        <v>0.0016</v>
      </c>
      <c r="E101" s="23">
        <f>IFERROR(__xludf.DUMMYFUNCTION("$D101/(index(GOOGLEFINANCE($B101,""price"",workday(today(),-F$4),today()),2,2))-1"),-0.00898876404494386)</f>
        <v>-0.00898876404494386</v>
      </c>
      <c r="F101" s="23">
        <f>IFERROR(__xludf.DUMMYFUNCTION("$D101/(index(GOOGLEFINANCE($B101,""price"",workday(today(),-G$4),today()),2,2))-1"),0.0184757505773671)</f>
        <v>0.0184757505773671</v>
      </c>
      <c r="G101" s="32">
        <f>IFERROR(__xludf.DUMMYFUNCTION("$D101/(index(GOOGLEFINANCE($B101,""price"",$H$4,today()),2,2))-1"),0.0184757505773671)</f>
        <v>0.0184757505773671</v>
      </c>
      <c r="H101" s="31" t="str">
        <f>IFERROR(__xludf.DUMMYFUNCTION("IF(B101="""","""",SPARKLINE(INDEX(GOOGLEFINANCE($B101,""price"",$H$4,today()),,2),{""charttype"",""line""}))"),"")</f>
        <v/>
      </c>
      <c r="I101" s="10" t="str">
        <f>IFERROR(__xludf.DUMMYFUNCTION("IF(B101="""","""",SPARKLINE(INDEX(GOOGLEFINANCE($B101,""volume"",$H$4,today()),,2), {""charttype"",""column"";""color"",""grey"";""highcolor"",""balck"";""lowcolor"",""red""}))"),"")</f>
        <v/>
      </c>
      <c r="J101" s="23">
        <f t="shared" ref="J101:J106" si="20">E101-$F$13</f>
        <v>0.042777726815543</v>
      </c>
      <c r="K101" s="23">
        <f t="shared" ref="K101:K106" si="21">F101-$G$13</f>
        <v>0.070242241437854</v>
      </c>
    </row>
    <row r="102" spans="1:11">
      <c r="A102" s="10" t="s">
        <v>1040</v>
      </c>
      <c r="B102" s="22" t="str">
        <f>IFERROR(__xludf.DUMMYFUNCTION("GOOGLEFINANCE(B102,""name"")"),"Vanguard Short-Term Bond Index Fund ETF")</f>
        <v>Vanguard Short-Term Bond Index Fund ETF</v>
      </c>
      <c r="C102" s="21">
        <f>IFERROR(__xludf.DUMMYFUNCTION("GOOGLEFINANCE(B102)"),77.92)</f>
        <v>77.92</v>
      </c>
      <c r="D102" s="23">
        <f>IFERROR(__xludf.DUMMYFUNCTION("GOOGLEFINANCE(B102,""changepct"")/100"),0.0013)</f>
        <v>0.0013</v>
      </c>
      <c r="E102" s="23">
        <f>IFERROR(__xludf.DUMMYFUNCTION("$D102/(index(GOOGLEFINANCE($B102,""price"",workday(today(),-F$4),today()),2,2))-1"),-0.00192135263225301)</f>
        <v>-0.00192135263225301</v>
      </c>
      <c r="F102" s="23">
        <f>IFERROR(__xludf.DUMMYFUNCTION("$D102/(index(GOOGLEFINANCE($B102,""price"",workday(today(),-G$4),today()),2,2))-1"),0.00998055735580028)</f>
        <v>0.00998055735580028</v>
      </c>
      <c r="G102" s="32">
        <f>IFERROR(__xludf.DUMMYFUNCTION("$D102/(index(GOOGLEFINANCE($B102,""price"",$H$4,today()),2,2))-1"),0.00998055735580028)</f>
        <v>0.00998055735580028</v>
      </c>
      <c r="H102" s="31" t="str">
        <f>IFERROR(__xludf.DUMMYFUNCTION("IF(B102="""","""",SPARKLINE(INDEX(GOOGLEFINANCE($B102,""price"",$H$4,today()),,2),{""charttype"",""line""}))"),"")</f>
        <v/>
      </c>
      <c r="I102" s="10" t="str">
        <f>IFERROR(__xludf.DUMMYFUNCTION("IF(B102="""","""",SPARKLINE(INDEX(GOOGLEFINANCE($B102,""volume"",$H$4,today()),,2), {""charttype"",""column"";""color"",""grey"";""highcolor"",""balck"";""lowcolor"",""red""}))"),"")</f>
        <v/>
      </c>
      <c r="J102" s="23">
        <f t="shared" si="20"/>
        <v>0.0498451382282339</v>
      </c>
      <c r="K102" s="23">
        <f t="shared" si="21"/>
        <v>0.0617470482162872</v>
      </c>
    </row>
    <row r="103" spans="1:11">
      <c r="A103" s="10" t="s">
        <v>1041</v>
      </c>
      <c r="B103" s="22" t="str">
        <f>IFERROR(__xludf.DUMMYFUNCTION("GOOGLEFINANCE(B103,""name"")"),"iShares Intermediate Govt/Credit Bond ETF")</f>
        <v>iShares Intermediate Govt/Credit Bond ETF</v>
      </c>
      <c r="C103" s="21">
        <f>IFERROR(__xludf.DUMMYFUNCTION("GOOGLEFINANCE(B103)"),105.87)</f>
        <v>105.87</v>
      </c>
      <c r="D103" s="23">
        <f>IFERROR(__xludf.DUMMYFUNCTION("GOOGLEFINANCE(B103,""changepct"")/100"),0.0015)</f>
        <v>0.0015</v>
      </c>
      <c r="E103" s="23">
        <f>IFERROR(__xludf.DUMMYFUNCTION("$D103/(index(GOOGLEFINANCE($B103,""price"",workday(today(),-F$4),today()),2,2))-1"),-0.00254381006218196)</f>
        <v>-0.00254381006218196</v>
      </c>
      <c r="F103" s="23">
        <f>IFERROR(__xludf.DUMMYFUNCTION("$D103/(index(GOOGLEFINANCE($B103,""price"",workday(today(),-G$4),today()),2,2))-1"),0.0126255380200861)</f>
        <v>0.0126255380200861</v>
      </c>
      <c r="G103" s="32">
        <f>IFERROR(__xludf.DUMMYFUNCTION("$D103/(index(GOOGLEFINANCE($B103,""price"",$H$4,today()),2,2))-1"),0.0126255380200861)</f>
        <v>0.0126255380200861</v>
      </c>
      <c r="H103" s="31" t="str">
        <f>IFERROR(__xludf.DUMMYFUNCTION("IF(B103="""","""",SPARKLINE(INDEX(GOOGLEFINANCE($B103,""price"",$H$4,today()),,2),{""charttype"",""line""}))"),"")</f>
        <v/>
      </c>
      <c r="I103" s="10" t="str">
        <f>IFERROR(__xludf.DUMMYFUNCTION("IF(B103="""","""",SPARKLINE(INDEX(GOOGLEFINANCE($B103,""volume"",$H$4,today()),,2), {""charttype"",""column"";""color"",""grey"";""highcolor"",""balck"";""lowcolor"",""red""}))"),"")</f>
        <v/>
      </c>
      <c r="J103" s="23">
        <f t="shared" si="20"/>
        <v>0.0492226807983049</v>
      </c>
      <c r="K103" s="23">
        <f t="shared" si="21"/>
        <v>0.064392028880573</v>
      </c>
    </row>
    <row r="104" spans="1:11">
      <c r="A104" s="10" t="s">
        <v>1042</v>
      </c>
      <c r="B104" s="22" t="str">
        <f>IFERROR(__xludf.DUMMYFUNCTION("GOOGLEFINANCE(B104,""name"")"),"Vanguard Intermediate-Term Bond Index Fund ETF")</f>
        <v>Vanguard Intermediate-Term Bond Index Fund ETF</v>
      </c>
      <c r="C104" s="21">
        <f>IFERROR(__xludf.DUMMYFUNCTION("GOOGLEFINANCE(B104)"),77.14)</f>
        <v>77.14</v>
      </c>
      <c r="D104" s="23">
        <f>IFERROR(__xludf.DUMMYFUNCTION("GOOGLEFINANCE(B104,""changepct"")/100"),0.0025)</f>
        <v>0.0025</v>
      </c>
      <c r="E104" s="23">
        <f>IFERROR(__xludf.DUMMYFUNCTION("$D104/(index(GOOGLEFINANCE($B104,""price"",workday(today(),-F$4),today()),2,2))-1"),-0.00477357760288998)</f>
        <v>-0.00477357760288998</v>
      </c>
      <c r="F104" s="23">
        <f>IFERROR(__xludf.DUMMYFUNCTION("$D104/(index(GOOGLEFINANCE($B104,""price"",workday(today(),-G$4),today()),2,2))-1"),0.0192917547568709)</f>
        <v>0.0192917547568709</v>
      </c>
      <c r="G104" s="32">
        <f>IFERROR(__xludf.DUMMYFUNCTION("$D104/(index(GOOGLEFINANCE($B104,""price"",$H$4,today()),2,2))-1"),0.0192917547568709)</f>
        <v>0.0192917547568709</v>
      </c>
      <c r="H104" s="31" t="str">
        <f>IFERROR(__xludf.DUMMYFUNCTION("IF(B104="""","""",SPARKLINE(INDEX(GOOGLEFINANCE($B104,""price"",$H$4,today()),,2),{""charttype"",""line""}))"),"")</f>
        <v/>
      </c>
      <c r="I104" s="10" t="str">
        <f>IFERROR(__xludf.DUMMYFUNCTION("IF(B104="""","""",SPARKLINE(INDEX(GOOGLEFINANCE($B104,""volume"",$H$4,today()),,2), {""charttype"",""column"";""color"",""grey"";""highcolor"",""balck"";""lowcolor"",""red""}))"),"")</f>
        <v/>
      </c>
      <c r="J104" s="23">
        <f t="shared" si="20"/>
        <v>0.0469929132575969</v>
      </c>
      <c r="K104" s="23">
        <f t="shared" si="21"/>
        <v>0.0710582456173578</v>
      </c>
    </row>
    <row r="105" spans="1:11">
      <c r="A105" s="10" t="s">
        <v>1043</v>
      </c>
      <c r="B105" s="22" t="str">
        <f>IFERROR(__xludf.DUMMYFUNCTION("GOOGLEFINANCE(B105,""name"")"),"BMO Mid Provincial Bond Index ETF")</f>
        <v>BMO Mid Provincial Bond Index ETF</v>
      </c>
      <c r="C105" s="21">
        <f>IFERROR(__xludf.DUMMYFUNCTION("GOOGLEFINANCE(B105)"),13.92)</f>
        <v>13.92</v>
      </c>
      <c r="D105" s="23">
        <f>IFERROR(__xludf.DUMMYFUNCTION("GOOGLEFINANCE(B105,""changepct"")/100"),0.0014)</f>
        <v>0.0014</v>
      </c>
      <c r="E105" s="23">
        <f>IFERROR(__xludf.DUMMYFUNCTION("$D105/(index(GOOGLEFINANCE($B105,""price"",workday(today(),-F$4),today()),2,2))-1"),0.00215982721382279)</f>
        <v>0.00215982721382279</v>
      </c>
      <c r="F105" s="23">
        <f>IFERROR(__xludf.DUMMYFUNCTION("$D105/(index(GOOGLEFINANCE($B105,""price"",workday(today(),-G$4),today()),2,2))-1"),0.0205278592375366)</f>
        <v>0.0205278592375366</v>
      </c>
      <c r="G105" s="32">
        <f>IFERROR(__xludf.DUMMYFUNCTION("$D105/(index(GOOGLEFINANCE($B105,""price"",$H$4,today()),2,2))-1"),0.0205278592375366)</f>
        <v>0.0205278592375366</v>
      </c>
      <c r="H105" s="31" t="str">
        <f>IFERROR(__xludf.DUMMYFUNCTION("IF(B105="""","""",SPARKLINE(INDEX(GOOGLEFINANCE($B105,""price"",$H$4,today()),,2),{""charttype"",""line""}))"),"")</f>
        <v/>
      </c>
      <c r="I105" s="10" t="str">
        <f>IFERROR(__xludf.DUMMYFUNCTION("IF(B105="""","""",SPARKLINE(INDEX(GOOGLEFINANCE($B105,""volume"",$H$4,today()),,2), {""charttype"",""column"";""color"",""grey"";""highcolor"",""balck"";""lowcolor"",""red""}))"),"")</f>
        <v/>
      </c>
      <c r="J105" s="23">
        <f t="shared" si="20"/>
        <v>0.0539263180743097</v>
      </c>
      <c r="K105" s="23">
        <f t="shared" si="21"/>
        <v>0.0722943500980235</v>
      </c>
    </row>
    <row r="106" spans="1:11">
      <c r="A106" s="10" t="s">
        <v>1044</v>
      </c>
      <c r="B106" s="22" t="str">
        <f>IFERROR(__xludf.DUMMYFUNCTION("GOOGLEFINANCE(B106,""name"")"),"BMO Mid Federal Bond Index ETF")</f>
        <v>BMO Mid Federal Bond Index ETF</v>
      </c>
      <c r="C106" s="21">
        <f>IFERROR(__xludf.DUMMYFUNCTION("GOOGLEFINANCE(B106)"),14.74)</f>
        <v>14.74</v>
      </c>
      <c r="D106" s="23">
        <f>IFERROR(__xludf.DUMMYFUNCTION("GOOGLEFINANCE(B106,""changepct"")/100"),0.0014)</f>
        <v>0.0014</v>
      </c>
      <c r="E106" s="23">
        <f>IFERROR(__xludf.DUMMYFUNCTION("$D106/(index(GOOGLEFINANCE($B106,""price"",workday(today(),-F$4),today()),2,2))-1"),0.00203942895989128)</f>
        <v>0.00203942895989128</v>
      </c>
      <c r="F106" s="23">
        <f>IFERROR(__xludf.DUMMYFUNCTION("$D106/(index(GOOGLEFINANCE($B106,""price"",workday(today(),-G$4),today()),2,2))-1"),0.023611111111111)</f>
        <v>0.023611111111111</v>
      </c>
      <c r="G106" s="32">
        <f>IFERROR(__xludf.DUMMYFUNCTION("$D106/(index(GOOGLEFINANCE($B106,""price"",$H$4,today()),2,2))-1"),0.023611111111111)</f>
        <v>0.023611111111111</v>
      </c>
      <c r="H106" s="31" t="str">
        <f>IFERROR(__xludf.DUMMYFUNCTION("IF(B106="""","""",SPARKLINE(INDEX(GOOGLEFINANCE($B106,""price"",$H$4,today()),,2),{""charttype"",""line""}))"),"")</f>
        <v/>
      </c>
      <c r="I106" s="10" t="str">
        <f>IFERROR(__xludf.DUMMYFUNCTION("IF(B106="""","""",SPARKLINE(INDEX(GOOGLEFINANCE($B106,""volume"",$H$4,today()),,2), {""charttype"",""column"";""color"",""grey"";""highcolor"",""balck"";""lowcolor"",""red""}))"),"")</f>
        <v/>
      </c>
      <c r="J106" s="23">
        <f t="shared" si="20"/>
        <v>0.0538059198203782</v>
      </c>
      <c r="K106" s="23">
        <f t="shared" si="21"/>
        <v>0.0753776019715979</v>
      </c>
    </row>
    <row r="107" spans="1:11">
      <c r="A107" s="20" t="s">
        <v>1045</v>
      </c>
      <c r="B107" s="22"/>
      <c r="C107" s="21"/>
      <c r="D107" s="23"/>
      <c r="E107" s="23"/>
      <c r="F107" s="23"/>
      <c r="G107" s="32"/>
      <c r="H107" s="31"/>
      <c r="I107" s="10"/>
      <c r="J107" s="10"/>
      <c r="K107" s="10"/>
    </row>
    <row r="108" spans="1:11">
      <c r="A108" s="10" t="s">
        <v>1046</v>
      </c>
      <c r="B108" s="22" t="str">
        <f>IFERROR(__xludf.DUMMYFUNCTION("GOOGLEFINANCE(B108,""name"")"),"iShares iBoxx $ Inv Grade Corporate Bond ETF")</f>
        <v>iShares iBoxx $ Inv Grade Corporate Bond ETF</v>
      </c>
      <c r="C108" s="21">
        <f>IFERROR(__xludf.DUMMYFUNCTION("GOOGLEFINANCE(B108)"),109.95)</f>
        <v>109.95</v>
      </c>
      <c r="D108" s="23">
        <f>IFERROR(__xludf.DUMMYFUNCTION("GOOGLEFINANCE(B108,""changepct"")/100"),0.0022)</f>
        <v>0.0022</v>
      </c>
      <c r="E108" s="23">
        <f>IFERROR(__xludf.DUMMYFUNCTION("$D108/(index(GOOGLEFINANCE($B108,""price"",workday(today(),-F$4),today()),2,2))-1"),-0.00335387962291511)</f>
        <v>-0.00335387962291511</v>
      </c>
      <c r="F108" s="23">
        <f>IFERROR(__xludf.DUMMYFUNCTION("$D108/(index(GOOGLEFINANCE($B108,""price"",workday(today(),-G$4),today()),2,2))-1"),0.0127106935617575)</f>
        <v>0.0127106935617575</v>
      </c>
      <c r="G108" s="32">
        <f>IFERROR(__xludf.DUMMYFUNCTION("$D108/(index(GOOGLEFINANCE($B108,""price"",$H$4,today()),2,2))-1"),0.0127106935617575)</f>
        <v>0.0127106935617575</v>
      </c>
      <c r="H108" s="31" t="str">
        <f>IFERROR(__xludf.DUMMYFUNCTION("IF(B108="""","""",SPARKLINE(INDEX(GOOGLEFINANCE($B108,""price"",$H$4,today()),,2),{""charttype"",""line""}))"),"")</f>
        <v/>
      </c>
      <c r="I108" s="10" t="str">
        <f>IFERROR(__xludf.DUMMYFUNCTION("IF(B108="""","""",SPARKLINE(INDEX(GOOGLEFINANCE($B108,""volume"",$H$4,today()),,2), {""charttype"",""column"";""color"",""grey"";""highcolor"",""balck"";""lowcolor"",""red""}))"),"")</f>
        <v/>
      </c>
      <c r="J108" s="23">
        <f t="shared" ref="J108:J116" si="22">E108-$F$13</f>
        <v>0.0484126112375718</v>
      </c>
      <c r="K108" s="23">
        <f t="shared" ref="K108:K116" si="23">F108-$G$13</f>
        <v>0.0644771844222444</v>
      </c>
    </row>
    <row r="109" spans="1:11">
      <c r="A109" s="10" t="s">
        <v>1047</v>
      </c>
      <c r="B109" s="22" t="str">
        <f>IFERROR(__xludf.DUMMYFUNCTION("GOOGLEFINANCE(B109,""name"")"),"iShares iBoxx $ High Yield Corporate Bond ETF")</f>
        <v>iShares iBoxx $ High Yield Corporate Bond ETF</v>
      </c>
      <c r="C109" s="21">
        <f>IFERROR(__xludf.DUMMYFUNCTION("GOOGLEFINANCE(B109)"),77.94)</f>
        <v>77.94</v>
      </c>
      <c r="D109" s="23">
        <f>IFERROR(__xludf.DUMMYFUNCTION("GOOGLEFINANCE(B109,""changepct"")/100"),-0.0004)</f>
        <v>-0.0004</v>
      </c>
      <c r="E109" s="23">
        <f>IFERROR(__xludf.DUMMYFUNCTION("$D109/(index(GOOGLEFINANCE($B109,""price"",workday(today(),-F$4),today()),2,2))-1"),0.00932400932400923)</f>
        <v>0.00932400932400923</v>
      </c>
      <c r="F109" s="23">
        <f>IFERROR(__xludf.DUMMYFUNCTION("$D109/(index(GOOGLEFINANCE($B109,""price"",workday(today(),-G$4),today()),2,2))-1"),-0.000641107834337684)</f>
        <v>-0.000641107834337684</v>
      </c>
      <c r="G109" s="32">
        <f>IFERROR(__xludf.DUMMYFUNCTION("$D109/(index(GOOGLEFINANCE($B109,""price"",$H$4,today()),2,2))-1"),-0.000641107834337684)</f>
        <v>-0.000641107834337684</v>
      </c>
      <c r="H109" s="31" t="str">
        <f>IFERROR(__xludf.DUMMYFUNCTION("IF(B109="""","""",SPARKLINE(INDEX(GOOGLEFINANCE($B109,""price"",$H$4,today()),,2),{""charttype"",""line""}))"),"")</f>
        <v/>
      </c>
      <c r="I109" s="10" t="str">
        <f>IFERROR(__xludf.DUMMYFUNCTION("IF(B109="""","""",SPARKLINE(INDEX(GOOGLEFINANCE($B109,""volume"",$H$4,today()),,2), {""charttype"",""column"";""color"",""grey"";""highcolor"",""balck"";""lowcolor"",""red""}))"),"")</f>
        <v/>
      </c>
      <c r="J109" s="23">
        <f t="shared" si="22"/>
        <v>0.0610905001844961</v>
      </c>
      <c r="K109" s="23">
        <f t="shared" si="23"/>
        <v>0.0511253830261492</v>
      </c>
    </row>
    <row r="110" spans="1:11">
      <c r="A110" s="10" t="s">
        <v>1048</v>
      </c>
      <c r="B110" s="22" t="str">
        <f>IFERROR(__xludf.DUMMYFUNCTION("GOOGLEFINANCE(B110,""name"")"),"SPDR Bloomberg High Yield Bond ETF")</f>
        <v>SPDR Bloomberg High Yield Bond ETF</v>
      </c>
      <c r="C110" s="21">
        <f>IFERROR(__xludf.DUMMYFUNCTION("GOOGLEFINANCE(B110)"),95.05)</f>
        <v>95.05</v>
      </c>
      <c r="D110" s="23">
        <f>IFERROR(__xludf.DUMMYFUNCTION("GOOGLEFINANCE(B110,""changepct"")/100"),0)</f>
        <v>0</v>
      </c>
      <c r="E110" s="23">
        <f>IFERROR(__xludf.DUMMYFUNCTION("$D110/(index(GOOGLEFINANCE($B110,""price"",workday(today(),-F$4),today()),2,2))-1"),0.00913048094277524)</f>
        <v>0.00913048094277524</v>
      </c>
      <c r="F110" s="23">
        <f>IFERROR(__xludf.DUMMYFUNCTION("$D110/(index(GOOGLEFINANCE($B110,""price"",workday(today(),-G$4),today()),2,2))-1"),-0.00199496010079791)</f>
        <v>-0.00199496010079791</v>
      </c>
      <c r="G110" s="32">
        <f>IFERROR(__xludf.DUMMYFUNCTION("$D110/(index(GOOGLEFINANCE($B110,""price"",$H$4,today()),2,2))-1"),-0.00199496010079791)</f>
        <v>-0.00199496010079791</v>
      </c>
      <c r="H110" s="31" t="str">
        <f>IFERROR(__xludf.DUMMYFUNCTION("IF(B110="""","""",SPARKLINE(INDEX(GOOGLEFINANCE($B110,""price"",$H$4,today()),,2),{""charttype"",""line""}))"),"")</f>
        <v/>
      </c>
      <c r="I110" s="10" t="str">
        <f>IFERROR(__xludf.DUMMYFUNCTION("IF(B110="""","""",SPARKLINE(INDEX(GOOGLEFINANCE($B110,""volume"",$H$4,today()),,2), {""charttype"",""column"";""color"",""grey"";""highcolor"",""balck"";""lowcolor"",""red""}))"),"")</f>
        <v/>
      </c>
      <c r="J110" s="23">
        <f t="shared" si="22"/>
        <v>0.0608969718032621</v>
      </c>
      <c r="K110" s="23">
        <f t="shared" si="23"/>
        <v>0.049771530759689</v>
      </c>
    </row>
    <row r="111" spans="1:11">
      <c r="A111" s="10" t="s">
        <v>1049</v>
      </c>
      <c r="B111" s="22" t="str">
        <f>IFERROR(__xludf.DUMMYFUNCTION("GOOGLEFINANCE(B111,""name"")"),"Vanguard Canadian Short-Term Corporate Bd Idx ETF")</f>
        <v>Vanguard Canadian Short-Term Corporate Bd Idx ETF</v>
      </c>
      <c r="C111" s="21">
        <f>IFERROR(__xludf.DUMMYFUNCTION("GOOGLEFINANCE(B111)"),23.78)</f>
        <v>23.78</v>
      </c>
      <c r="D111" s="23">
        <f>IFERROR(__xludf.DUMMYFUNCTION("GOOGLEFINANCE(B111,""changepct"")/100"),0.0008)</f>
        <v>0.0008</v>
      </c>
      <c r="E111" s="23">
        <f>IFERROR(__xludf.DUMMYFUNCTION("$D111/(index(GOOGLEFINANCE($B111,""price"",workday(today(),-F$4),today()),2,2))-1"),0.00126315789473685)</f>
        <v>0.00126315789473685</v>
      </c>
      <c r="F111" s="23">
        <f>IFERROR(__xludf.DUMMYFUNCTION("$D111/(index(GOOGLEFINANCE($B111,""price"",workday(today(),-G$4),today()),2,2))-1"),0.00848176420695523)</f>
        <v>0.00848176420695523</v>
      </c>
      <c r="G111" s="32">
        <f>IFERROR(__xludf.DUMMYFUNCTION("$D111/(index(GOOGLEFINANCE($B111,""price"",$H$4,today()),2,2))-1"),0.00848176420695523)</f>
        <v>0.00848176420695523</v>
      </c>
      <c r="H111" s="31" t="str">
        <f>IFERROR(__xludf.DUMMYFUNCTION("IF(B111="""","""",SPARKLINE(INDEX(GOOGLEFINANCE($B111,""price"",$H$4,today()),,2),{""charttype"",""line""}))"),"")</f>
        <v/>
      </c>
      <c r="I111" s="10" t="str">
        <f>IFERROR(__xludf.DUMMYFUNCTION("IF(B111="""","""",SPARKLINE(INDEX(GOOGLEFINANCE($B111,""volume"",$H$4,today()),,2), {""charttype"",""column"";""color"",""grey"";""highcolor"",""balck"";""lowcolor"",""red""}))"),"")</f>
        <v/>
      </c>
      <c r="J111" s="23">
        <f t="shared" si="22"/>
        <v>0.0530296487552238</v>
      </c>
      <c r="K111" s="23">
        <f t="shared" si="23"/>
        <v>0.0602482550674421</v>
      </c>
    </row>
    <row r="112" spans="1:11">
      <c r="A112" s="10" t="s">
        <v>1050</v>
      </c>
      <c r="B112" s="22" t="str">
        <f>IFERROR(__xludf.DUMMYFUNCTION("GOOGLEFINANCE(B112,""name"")"),"PIMCO Monthly Income (CAN) ETF Series")</f>
        <v>PIMCO Monthly Income (CAN) ETF Series</v>
      </c>
      <c r="C112" s="21">
        <f>IFERROR(__xludf.DUMMYFUNCTION("GOOGLEFINANCE(B112)"),18.24)</f>
        <v>18.24</v>
      </c>
      <c r="D112" s="23">
        <f>IFERROR(__xludf.DUMMYFUNCTION("GOOGLEFINANCE(B112,""changepct"")/100"),0.0016)</f>
        <v>0.0016</v>
      </c>
      <c r="E112" s="23">
        <f>IFERROR(__xludf.DUMMYFUNCTION("$D112/(index(GOOGLEFINANCE($B112,""price"",workday(today(),-F$4),today()),2,2))-1"),-0.0010952902519169)</f>
        <v>-0.0010952902519169</v>
      </c>
      <c r="F112" s="23">
        <f>IFERROR(__xludf.DUMMYFUNCTION("$D112/(index(GOOGLEFINANCE($B112,""price"",workday(today(),-G$4),today()),2,2))-1"),0.00385250412768289)</f>
        <v>0.00385250412768289</v>
      </c>
      <c r="G112" s="32">
        <f>IFERROR(__xludf.DUMMYFUNCTION("$D112/(index(GOOGLEFINANCE($B112,""price"",$H$4,today()),2,2))-1"),0.00385250412768289)</f>
        <v>0.00385250412768289</v>
      </c>
      <c r="H112" s="31" t="str">
        <f>IFERROR(__xludf.DUMMYFUNCTION("IF(B112="""","""",SPARKLINE(INDEX(GOOGLEFINANCE($B112,""price"",$H$4,today()),,2),{""charttype"",""line""}))"),"")</f>
        <v/>
      </c>
      <c r="I112" s="10" t="str">
        <f>IFERROR(__xludf.DUMMYFUNCTION("IF(B112="""","""",SPARKLINE(INDEX(GOOGLEFINANCE($B112,""volume"",$H$4,today()),,2), {""charttype"",""column"";""color"",""grey"";""highcolor"",""balck"";""lowcolor"",""red""}))"),"")</f>
        <v/>
      </c>
      <c r="J112" s="23">
        <f t="shared" si="22"/>
        <v>0.05067120060857</v>
      </c>
      <c r="K112" s="23">
        <f t="shared" si="23"/>
        <v>0.0556189949881698</v>
      </c>
    </row>
    <row r="113" spans="1:11">
      <c r="A113" s="10" t="s">
        <v>1051</v>
      </c>
      <c r="B113" s="22" t="str">
        <f>IFERROR(__xludf.DUMMYFUNCTION("GOOGLEFINANCE(B113,""name"")"),"BMO High Yield US Corp Bond Hed to CAD Index ETF")</f>
        <v>BMO High Yield US Corp Bond Hed to CAD Index ETF</v>
      </c>
      <c r="C113" s="21">
        <f>IFERROR(__xludf.DUMMYFUNCTION("GOOGLEFINANCE(B113)"),11.14)</f>
        <v>11.14</v>
      </c>
      <c r="D113" s="23">
        <f>IFERROR(__xludf.DUMMYFUNCTION("GOOGLEFINANCE(B113,""changepct"")/100"),-0.0018)</f>
        <v>-0.0018</v>
      </c>
      <c r="E113" s="23">
        <f>IFERROR(__xludf.DUMMYFUNCTION("$D113/(index(GOOGLEFINANCE($B113,""price"",workday(today(),-F$4),today()),2,2))-1"),0.00541516245487372)</f>
        <v>0.00541516245487372</v>
      </c>
      <c r="F113" s="23">
        <f>IFERROR(__xludf.DUMMYFUNCTION("$D113/(index(GOOGLEFINANCE($B113,""price"",workday(today(),-G$4),today()),2,2))-1"),-0.00268576544315124)</f>
        <v>-0.00268576544315124</v>
      </c>
      <c r="G113" s="32">
        <f>IFERROR(__xludf.DUMMYFUNCTION("$D113/(index(GOOGLEFINANCE($B113,""price"",$H$4,today()),2,2))-1"),-0.00268576544315124)</f>
        <v>-0.00268576544315124</v>
      </c>
      <c r="H113" s="31" t="str">
        <f>IFERROR(__xludf.DUMMYFUNCTION("IF(B113="""","""",SPARKLINE(INDEX(GOOGLEFINANCE($B113,""price"",$H$4,today()),,2),{""charttype"",""line""}))"),"")</f>
        <v/>
      </c>
      <c r="I113" s="10" t="str">
        <f>IFERROR(__xludf.DUMMYFUNCTION("IF(B113="""","""",SPARKLINE(INDEX(GOOGLEFINANCE($B113,""volume"",$H$4,today()),,2), {""charttype"",""column"";""color"",""grey"";""highcolor"",""balck"";""lowcolor"",""red""}))"),"")</f>
        <v/>
      </c>
      <c r="J113" s="23">
        <f t="shared" si="22"/>
        <v>0.0571816533153606</v>
      </c>
      <c r="K113" s="23">
        <f t="shared" si="23"/>
        <v>0.0490807254173357</v>
      </c>
    </row>
    <row r="114" spans="1:11">
      <c r="A114" s="10" t="s">
        <v>1052</v>
      </c>
      <c r="B114" s="22" t="str">
        <f>IFERROR(__xludf.DUMMYFUNCTION("GOOGLEFINANCE(B114,""name"")"),"iShares Core Canadian Short Term Corp Bd Idx ETF")</f>
        <v>iShares Core Canadian Short Term Corp Bd Idx ETF</v>
      </c>
      <c r="C114" s="21">
        <f>IFERROR(__xludf.DUMMYFUNCTION("GOOGLEFINANCE(B114)"),18.8)</f>
        <v>18.8</v>
      </c>
      <c r="D114" s="23">
        <f>IFERROR(__xludf.DUMMYFUNCTION("GOOGLEFINANCE(B114,""changepct"")/100"),0.0011)</f>
        <v>0.0011</v>
      </c>
      <c r="E114" s="23">
        <f>IFERROR(__xludf.DUMMYFUNCTION("$D114/(index(GOOGLEFINANCE($B114,""price"",workday(today(),-F$4),today()),2,2))-1"),0.00106496272630463)</f>
        <v>0.00106496272630463</v>
      </c>
      <c r="F114" s="23">
        <f>IFERROR(__xludf.DUMMYFUNCTION("$D114/(index(GOOGLEFINANCE($B114,""price"",workday(today(),-G$4),today()),2,2))-1"),0.00912506709608163)</f>
        <v>0.00912506709608163</v>
      </c>
      <c r="G114" s="32">
        <f>IFERROR(__xludf.DUMMYFUNCTION("$D114/(index(GOOGLEFINANCE($B114,""price"",$H$4,today()),2,2))-1"),0.00912506709608163)</f>
        <v>0.00912506709608163</v>
      </c>
      <c r="H114" s="31" t="str">
        <f>IFERROR(__xludf.DUMMYFUNCTION("IF(B114="""","""",SPARKLINE(INDEX(GOOGLEFINANCE($B114,""price"",$H$4,today()),,2),{""charttype"",""line""}))"),"")</f>
        <v/>
      </c>
      <c r="I114" s="10" t="str">
        <f>IFERROR(__xludf.DUMMYFUNCTION("IF(B114="""","""",SPARKLINE(INDEX(GOOGLEFINANCE($B114,""volume"",$H$4,today()),,2), {""charttype"",""column"";""color"",""grey"";""highcolor"",""balck"";""lowcolor"",""red""}))"),"")</f>
        <v/>
      </c>
      <c r="J114" s="23">
        <f t="shared" si="22"/>
        <v>0.0528314535867915</v>
      </c>
      <c r="K114" s="23">
        <f t="shared" si="23"/>
        <v>0.0608915579565685</v>
      </c>
    </row>
    <row r="115" spans="1:11">
      <c r="A115" s="10" t="s">
        <v>1053</v>
      </c>
      <c r="B115" s="22" t="str">
        <f>IFERROR(__xludf.DUMMYFUNCTION("GOOGLEFINANCE(B115,""name"")"),"iShares Core Canadian Corporate Bond Index ETF")</f>
        <v>iShares Core Canadian Corporate Bond Index ETF</v>
      </c>
      <c r="C115" s="21">
        <f>IFERROR(__xludf.DUMMYFUNCTION("GOOGLEFINANCE(B115)"),19.91)</f>
        <v>19.91</v>
      </c>
      <c r="D115" s="23">
        <f>IFERROR(__xludf.DUMMYFUNCTION("GOOGLEFINANCE(B115,""changepct"")/100"),0.0005)</f>
        <v>0.0005</v>
      </c>
      <c r="E115" s="23">
        <f>IFERROR(__xludf.DUMMYFUNCTION("$D115/(index(GOOGLEFINANCE($B115,""price"",workday(today(),-F$4),today()),2,2))-1"),0.00201308505284347)</f>
        <v>0.00201308505284347</v>
      </c>
      <c r="F115" s="23">
        <f>IFERROR(__xludf.DUMMYFUNCTION("$D115/(index(GOOGLEFINANCE($B115,""price"",workday(today(),-G$4),today()),2,2))-1"),0.0132315521628498)</f>
        <v>0.0132315521628498</v>
      </c>
      <c r="G115" s="32">
        <f>IFERROR(__xludf.DUMMYFUNCTION("$D115/(index(GOOGLEFINANCE($B115,""price"",$H$4,today()),2,2))-1"),0.0132315521628498)</f>
        <v>0.0132315521628498</v>
      </c>
      <c r="H115" s="31" t="str">
        <f>IFERROR(__xludf.DUMMYFUNCTION("IF(B115="""","""",SPARKLINE(INDEX(GOOGLEFINANCE($B115,""price"",$H$4,today()),,2),{""charttype"",""line""}))"),"")</f>
        <v/>
      </c>
      <c r="I115" s="10" t="str">
        <f>IFERROR(__xludf.DUMMYFUNCTION("IF(B115="""","""",SPARKLINE(INDEX(GOOGLEFINANCE($B115,""volume"",$H$4,today()),,2), {""charttype"",""column"";""color"",""grey"";""highcolor"",""balck"";""lowcolor"",""red""}))"),"")</f>
        <v/>
      </c>
      <c r="J115" s="23">
        <f t="shared" si="22"/>
        <v>0.0537795759133304</v>
      </c>
      <c r="K115" s="23">
        <f t="shared" si="23"/>
        <v>0.0649980430233367</v>
      </c>
    </row>
    <row r="116" spans="1:11">
      <c r="A116" s="10" t="s">
        <v>1054</v>
      </c>
      <c r="B116" s="22" t="str">
        <f>IFERROR(__xludf.DUMMYFUNCTION("GOOGLEFINANCE(B116,""name"")"),"BMO Short Corporate Bond Index ETF")</f>
        <v>BMO Short Corporate Bond Index ETF</v>
      </c>
      <c r="C116" s="21">
        <f>IFERROR(__xludf.DUMMYFUNCTION("GOOGLEFINANCE(B116)"),13.72)</f>
        <v>13.72</v>
      </c>
      <c r="D116" s="23">
        <f>IFERROR(__xludf.DUMMYFUNCTION("GOOGLEFINANCE(B116,""changepct"")/100"),0.0011)</f>
        <v>0.0011</v>
      </c>
      <c r="E116" s="23">
        <f>IFERROR(__xludf.DUMMYFUNCTION("$D116/(index(GOOGLEFINANCE($B116,""price"",workday(today(),-F$4),today()),2,2))-1"),0.000729394602480004)</f>
        <v>0.000729394602480004</v>
      </c>
      <c r="F116" s="23">
        <f>IFERROR(__xludf.DUMMYFUNCTION("$D116/(index(GOOGLEFINANCE($B116,""price"",workday(today(),-G$4),today()),2,2))-1"),0.00882352941176467)</f>
        <v>0.00882352941176467</v>
      </c>
      <c r="G116" s="32">
        <f>IFERROR(__xludf.DUMMYFUNCTION("$D116/(index(GOOGLEFINANCE($B116,""price"",$H$4,today()),2,2))-1"),0.00882352941176467)</f>
        <v>0.00882352941176467</v>
      </c>
      <c r="H116" s="31" t="str">
        <f>IFERROR(__xludf.DUMMYFUNCTION("IF(B116="""","""",SPARKLINE(INDEX(GOOGLEFINANCE($B116,""price"",$H$4,today()),,2),{""charttype"",""line""}))"),"")</f>
        <v/>
      </c>
      <c r="I116" s="10" t="str">
        <f>IFERROR(__xludf.DUMMYFUNCTION("IF(B116="""","""",SPARKLINE(INDEX(GOOGLEFINANCE($B116,""volume"",$H$4,today()),,2), {""charttype"",""column"";""color"",""grey"";""highcolor"",""balck"";""lowcolor"",""red""}))"),"")</f>
        <v/>
      </c>
      <c r="J116" s="23">
        <f t="shared" si="22"/>
        <v>0.0524958854629669</v>
      </c>
      <c r="K116" s="23">
        <f t="shared" si="23"/>
        <v>0.0605900202722516</v>
      </c>
    </row>
    <row r="117" spans="1:11">
      <c r="A117" s="20" t="s">
        <v>1055</v>
      </c>
      <c r="B117" s="22"/>
      <c r="C117" s="21"/>
      <c r="D117" s="23"/>
      <c r="E117" s="23"/>
      <c r="F117" s="23"/>
      <c r="G117" s="32"/>
      <c r="H117" s="31"/>
      <c r="I117" s="10"/>
      <c r="J117" s="10"/>
      <c r="K117" s="10"/>
    </row>
    <row r="118" spans="1:11">
      <c r="A118" s="10" t="s">
        <v>1056</v>
      </c>
      <c r="B118" s="22" t="str">
        <f>IFERROR(__xludf.DUMMYFUNCTION("GOOGLEFINANCE(B118,""name"")"),"iShares Core Canadian Short Term Bond Index ETF")</f>
        <v>iShares Core Canadian Short Term Bond Index ETF</v>
      </c>
      <c r="C118" s="21">
        <f>IFERROR(__xludf.DUMMYFUNCTION("GOOGLEFINANCE(B118)"),26.62)</f>
        <v>26.62</v>
      </c>
      <c r="D118" s="23">
        <f>IFERROR(__xludf.DUMMYFUNCTION("GOOGLEFINANCE(B118,""changepct"")/100"),0.0008)</f>
        <v>0.0008</v>
      </c>
      <c r="E118" s="23">
        <f>IFERROR(__xludf.DUMMYFUNCTION("$D118/(index(GOOGLEFINANCE($B118,""price"",workday(today(),-F$4),today()),2,2))-1"),0)</f>
        <v>0</v>
      </c>
      <c r="F118" s="23">
        <f>IFERROR(__xludf.DUMMYFUNCTION("$D118/(index(GOOGLEFINANCE($B118,""price"",workday(today(),-G$4),today()),2,2))-1"),0.00986342943854334)</f>
        <v>0.00986342943854334</v>
      </c>
      <c r="G118" s="32">
        <f>IFERROR(__xludf.DUMMYFUNCTION("$D118/(index(GOOGLEFINANCE($B118,""price"",$H$4,today()),2,2))-1"),0.00986342943854334)</f>
        <v>0.00986342943854334</v>
      </c>
      <c r="H118" s="31" t="str">
        <f>IFERROR(__xludf.DUMMYFUNCTION("IF(B118="""","""",SPARKLINE(INDEX(GOOGLEFINANCE($B118,""price"",$H$4,today()),,2),{""charttype"",""line""}))"),"")</f>
        <v/>
      </c>
      <c r="I118" s="10" t="str">
        <f>IFERROR(__xludf.DUMMYFUNCTION("IF(B118="""","""",SPARKLINE(INDEX(GOOGLEFINANCE($B118,""volume"",$H$4,today()),,2), {""charttype"",""column"";""color"",""grey"";""highcolor"",""balck"";""lowcolor"",""red""}))"),"")</f>
        <v/>
      </c>
      <c r="J118" s="23">
        <f t="shared" ref="J118:J123" si="24">E118-$F$13</f>
        <v>0.0517664908604869</v>
      </c>
      <c r="K118" s="23">
        <f t="shared" ref="K118:K123" si="25">F118-$G$13</f>
        <v>0.0616299202990302</v>
      </c>
    </row>
    <row r="119" spans="1:11">
      <c r="A119" s="10" t="s">
        <v>1057</v>
      </c>
      <c r="B119" s="22" t="str">
        <f>IFERROR(__xludf.DUMMYFUNCTION("GOOGLEFINANCE(B119,""name"")"),"iShares Short Treasury Bond ETF")</f>
        <v>iShares Short Treasury Bond ETF</v>
      </c>
      <c r="C119" s="21">
        <f>IFERROR(__xludf.DUMMYFUNCTION("GOOGLEFINANCE(B119)"),110.28)</f>
        <v>110.28</v>
      </c>
      <c r="D119" s="23">
        <f>IFERROR(__xludf.DUMMYFUNCTION("GOOGLEFINANCE(B119,""changepct"")/100"),0.0002)</f>
        <v>0.0002</v>
      </c>
      <c r="E119" s="23">
        <f>IFERROR(__xludf.DUMMYFUNCTION("$D119/(index(GOOGLEFINANCE($B119,""price"",workday(today(),-F$4),today()),2,2))-1"),0.000907605736068184)</f>
        <v>0.000907605736068184</v>
      </c>
      <c r="F119" s="23">
        <f>IFERROR(__xludf.DUMMYFUNCTION("$D119/(index(GOOGLEFINANCE($B119,""price"",workday(today(),-G$4),today()),2,2))-1"),-0.0000906700516819514)</f>
        <v>-9.06700516819514e-5</v>
      </c>
      <c r="G119" s="32">
        <f>IFERROR(__xludf.DUMMYFUNCTION("$D119/(index(GOOGLEFINANCE($B119,""price"",$H$4,today()),2,2))-1"),-0.0000906700516819514)</f>
        <v>-9.06700516819514e-5</v>
      </c>
      <c r="H119" s="31" t="str">
        <f>IFERROR(__xludf.DUMMYFUNCTION("IF(B119="""","""",SPARKLINE(INDEX(GOOGLEFINANCE($B119,""price"",$H$4,today()),,2),{""charttype"",""line""}))"),"")</f>
        <v/>
      </c>
      <c r="I119" s="10" t="str">
        <f>IFERROR(__xludf.DUMMYFUNCTION("IF(B119="""","""",SPARKLINE(INDEX(GOOGLEFINANCE($B119,""volume"",$H$4,today()),,2), {""charttype"",""column"";""color"",""grey"";""highcolor"",""balck"";""lowcolor"",""red""}))"),"")</f>
        <v/>
      </c>
      <c r="J119" s="23">
        <f t="shared" si="24"/>
        <v>0.0526740965965551</v>
      </c>
      <c r="K119" s="23">
        <f t="shared" si="25"/>
        <v>0.051675820808805</v>
      </c>
    </row>
    <row r="120" spans="1:11">
      <c r="A120" s="10" t="s">
        <v>1058</v>
      </c>
      <c r="B120" s="22" t="str">
        <f>IFERROR(__xludf.DUMMYFUNCTION("GOOGLEFINANCE(B120,""name"")"),"SPDR Bloomberg 1-3 Month T-Bill ETF")</f>
        <v>SPDR Bloomberg 1-3 Month T-Bill ETF</v>
      </c>
      <c r="C120" s="21">
        <f>IFERROR(__xludf.DUMMYFUNCTION("GOOGLEFINANCE(B120)"),91.57)</f>
        <v>91.57</v>
      </c>
      <c r="D120" s="23">
        <f>IFERROR(__xludf.DUMMYFUNCTION("GOOGLEFINANCE(B120,""changepct"")/100"),0.0003)</f>
        <v>0.0003</v>
      </c>
      <c r="E120" s="23">
        <f>IFERROR(__xludf.DUMMYFUNCTION("$D120/(index(GOOGLEFINANCE($B120,""price"",workday(today(),-F$4),today()),2,2))-1"),0.00109325461900078)</f>
        <v>0.00109325461900078</v>
      </c>
      <c r="F120" s="23">
        <f>IFERROR(__xludf.DUMMYFUNCTION("$D120/(index(GOOGLEFINANCE($B120,""price"",workday(today(),-G$4),today()),2,2))-1"),-0.000327510917030537)</f>
        <v>-0.000327510917030537</v>
      </c>
      <c r="G120" s="32">
        <f>IFERROR(__xludf.DUMMYFUNCTION("$D120/(index(GOOGLEFINANCE($B120,""price"",$H$4,today()),2,2))-1"),-0.000327510917030537)</f>
        <v>-0.000327510917030537</v>
      </c>
      <c r="H120" s="31" t="str">
        <f>IFERROR(__xludf.DUMMYFUNCTION("IF(B120="""","""",SPARKLINE(INDEX(GOOGLEFINANCE($B120,""price"",$H$4,today()),,2),{""charttype"",""line""}))"),"")</f>
        <v/>
      </c>
      <c r="I120" s="10" t="str">
        <f>IFERROR(__xludf.DUMMYFUNCTION("IF(B120="""","""",SPARKLINE(INDEX(GOOGLEFINANCE($B120,""volume"",$H$4,today()),,2), {""charttype"",""column"";""color"",""grey"";""highcolor"",""balck"";""lowcolor"",""red""}))"),"")</f>
        <v/>
      </c>
      <c r="J120" s="23">
        <f t="shared" si="24"/>
        <v>0.0528597454794877</v>
      </c>
      <c r="K120" s="23">
        <f t="shared" si="25"/>
        <v>0.0514389799434564</v>
      </c>
    </row>
    <row r="121" spans="1:11">
      <c r="A121" s="10" t="s">
        <v>1059</v>
      </c>
      <c r="B121" s="22" t="str">
        <f>IFERROR(__xludf.DUMMYFUNCTION("GOOGLEFINANCE(B121,""name"")"),"iShares Floating Rate Index ETF")</f>
        <v>iShares Floating Rate Index ETF</v>
      </c>
      <c r="C121" s="21">
        <f>IFERROR(__xludf.DUMMYFUNCTION("GOOGLEFINANCE(B121)"),20.1)</f>
        <v>20.1</v>
      </c>
      <c r="D121" s="23">
        <f>IFERROR(__xludf.DUMMYFUNCTION("GOOGLEFINANCE(B121,""changepct"")/100"),0)</f>
        <v>0</v>
      </c>
      <c r="E121" s="23">
        <f>IFERROR(__xludf.DUMMYFUNCTION("$D121/(index(GOOGLEFINANCE($B121,""price"",workday(today(),-F$4),today()),2,2))-1"),0.000996015936255201)</f>
        <v>0.000996015936255201</v>
      </c>
      <c r="F121" s="23">
        <f>IFERROR(__xludf.DUMMYFUNCTION("$D121/(index(GOOGLEFINANCE($B121,""price"",workday(today(),-G$4),today()),2,2))-1"),-0.000994035785288227)</f>
        <v>-0.000994035785288227</v>
      </c>
      <c r="G121" s="32">
        <f>IFERROR(__xludf.DUMMYFUNCTION("$D121/(index(GOOGLEFINANCE($B121,""price"",$H$4,today()),2,2))-1"),-0.000994035785288227)</f>
        <v>-0.000994035785288227</v>
      </c>
      <c r="H121" s="31" t="str">
        <f>IFERROR(__xludf.DUMMYFUNCTION("IF(B121="""","""",SPARKLINE(INDEX(GOOGLEFINANCE($B121,""price"",$H$4,today()),,2),{""charttype"",""line""}))"),"")</f>
        <v/>
      </c>
      <c r="I121" s="10" t="str">
        <f>IFERROR(__xludf.DUMMYFUNCTION("IF(B121="""","""",SPARKLINE(INDEX(GOOGLEFINANCE($B121,""volume"",$H$4,today()),,2), {""charttype"",""column"";""color"",""grey"";""highcolor"",""balck"";""lowcolor"",""red""}))"),"")</f>
        <v/>
      </c>
      <c r="J121" s="23">
        <f t="shared" si="24"/>
        <v>0.0527625067967421</v>
      </c>
      <c r="K121" s="23">
        <f t="shared" si="25"/>
        <v>0.0507724550751987</v>
      </c>
    </row>
    <row r="122" spans="1:11">
      <c r="A122" s="10" t="s">
        <v>1060</v>
      </c>
      <c r="B122" s="22" t="str">
        <f>IFERROR(__xludf.DUMMYFUNCTION("GOOGLEFINANCE(B122,""name"")"),"BMO Ultra Short-Term Bond ETF")</f>
        <v>BMO Ultra Short-Term Bond ETF</v>
      </c>
      <c r="C122" s="21">
        <f>IFERROR(__xludf.DUMMYFUNCTION("GOOGLEFINANCE(B122)"),48.91)</f>
        <v>48.91</v>
      </c>
      <c r="D122" s="23">
        <f>IFERROR(__xludf.DUMMYFUNCTION("GOOGLEFINANCE(B122,""changepct"")/100"),0)</f>
        <v>0</v>
      </c>
      <c r="E122" s="23">
        <f>IFERROR(__xludf.DUMMYFUNCTION("$D122/(index(GOOGLEFINANCE($B122,""price"",workday(today(),-F$4),today()),2,2))-1"),0.00061374795417346)</f>
        <v>0.00061374795417346</v>
      </c>
      <c r="F122" s="23">
        <f>IFERROR(__xludf.DUMMYFUNCTION("$D122/(index(GOOGLEFINANCE($B122,""price"",workday(today(),-G$4),today()),2,2))-1"),0.000409081611781436)</f>
        <v>0.000409081611781436</v>
      </c>
      <c r="G122" s="32">
        <f>IFERROR(__xludf.DUMMYFUNCTION("$D122/(index(GOOGLEFINANCE($B122,""price"",$H$4,today()),2,2))-1"),0.000409081611781436)</f>
        <v>0.000409081611781436</v>
      </c>
      <c r="H122" s="31" t="str">
        <f>IFERROR(__xludf.DUMMYFUNCTION("IF(B122="""","""",SPARKLINE(INDEX(GOOGLEFINANCE($B122,""price"",$H$4,today()),,2),{""charttype"",""line""}))"),"")</f>
        <v/>
      </c>
      <c r="I122" s="10" t="str">
        <f>IFERROR(__xludf.DUMMYFUNCTION("IF(B122="""","""",SPARKLINE(INDEX(GOOGLEFINANCE($B122,""volume"",$H$4,today()),,2), {""charttype"",""column"";""color"",""grey"";""highcolor"",""balck"";""lowcolor"",""red""}))"),"")</f>
        <v/>
      </c>
      <c r="J122" s="23">
        <f t="shared" si="24"/>
        <v>0.0523802388146604</v>
      </c>
      <c r="K122" s="23">
        <f t="shared" si="25"/>
        <v>0.0521755724722683</v>
      </c>
    </row>
    <row r="123" spans="1:11">
      <c r="A123" s="10" t="s">
        <v>1061</v>
      </c>
      <c r="B123" s="22" t="str">
        <f>IFERROR(__xludf.DUMMYFUNCTION("GOOGLEFINANCE(B123,""name"")"),"Purpose High Interest Savings ETF")</f>
        <v>Purpose High Interest Savings ETF</v>
      </c>
      <c r="C123" s="21">
        <f>IFERROR(__xludf.DUMMYFUNCTION("GOOGLEFINANCE(B123)"),50.09)</f>
        <v>50.09</v>
      </c>
      <c r="D123" s="23">
        <f>IFERROR(__xludf.DUMMYFUNCTION("GOOGLEFINANCE(B123,""changepct"")/100"),0.0001)</f>
        <v>0.0001</v>
      </c>
      <c r="E123" s="23">
        <f>IFERROR(__xludf.DUMMYFUNCTION("$D123/(index(GOOGLEFINANCE($B123,""price"",workday(today(),-F$4),today()),2,2))-1"),0.000799200799200816)</f>
        <v>0.000799200799200816</v>
      </c>
      <c r="F123" s="23">
        <f>IFERROR(__xludf.DUMMYFUNCTION("$D123/(index(GOOGLEFINANCE($B123,""price"",workday(today(),-G$4),today()),2,2))-1"),-0.000797925393975607)</f>
        <v>-0.000797925393975607</v>
      </c>
      <c r="G123" s="32">
        <f>IFERROR(__xludf.DUMMYFUNCTION("$D123/(index(GOOGLEFINANCE($B123,""price"",$H$4,today()),2,2))-1"),-0.000797925393975607)</f>
        <v>-0.000797925393975607</v>
      </c>
      <c r="H123" s="31" t="str">
        <f>IFERROR(__xludf.DUMMYFUNCTION("IF(B123="""","""",SPARKLINE(INDEX(GOOGLEFINANCE($B123,""price"",$H$4,today()),,2),{""charttype"",""line""}))"),"")</f>
        <v/>
      </c>
      <c r="I123" s="10" t="str">
        <f>IFERROR(__xludf.DUMMYFUNCTION("IF(B123="""","""",SPARKLINE(INDEX(GOOGLEFINANCE($B123,""volume"",$H$4,today()),,2), {""charttype"",""column"";""color"",""grey"";""highcolor"",""balck"";""lowcolor"",""red""}))"),"")</f>
        <v/>
      </c>
      <c r="J123" s="23">
        <f t="shared" si="24"/>
        <v>0.0525656916596877</v>
      </c>
      <c r="K123" s="23">
        <f t="shared" si="25"/>
        <v>0.0509685654665113</v>
      </c>
    </row>
    <row r="124" spans="1:11">
      <c r="A124" s="20" t="s">
        <v>1062</v>
      </c>
      <c r="B124" s="22"/>
      <c r="C124" s="21"/>
      <c r="D124" s="23"/>
      <c r="E124" s="23"/>
      <c r="F124" s="23"/>
      <c r="G124" s="32"/>
      <c r="H124" s="31"/>
      <c r="I124" s="10"/>
      <c r="J124" s="53"/>
      <c r="K124" s="53"/>
    </row>
    <row r="125" spans="1:11">
      <c r="A125" s="10" t="s">
        <v>1063</v>
      </c>
      <c r="B125" s="22" t="str">
        <f>IFERROR(__xludf.DUMMYFUNCTION("GOOGLEFINANCE(B125,""name"")"),"iShares JPMorgan USD Emerging Markets Bond ETF")</f>
        <v>iShares JPMorgan USD Emerging Markets Bond ETF</v>
      </c>
      <c r="C125" s="21">
        <f>IFERROR(__xludf.DUMMYFUNCTION("GOOGLEFINANCE(B125)"),90.49)</f>
        <v>90.49</v>
      </c>
      <c r="D125" s="23">
        <f>IFERROR(__xludf.DUMMYFUNCTION("GOOGLEFINANCE(B125,""changepct"")/100"),0.001)</f>
        <v>0.001</v>
      </c>
      <c r="E125" s="23">
        <f>IFERROR(__xludf.DUMMYFUNCTION("$D125/(index(GOOGLEFINANCE($B125,""price"",workday(today(),-F$4),today()),2,2))-1"),0.00891961199687818)</f>
        <v>0.00891961199687818</v>
      </c>
      <c r="F125" s="23">
        <f>IFERROR(__xludf.DUMMYFUNCTION("$D125/(index(GOOGLEFINANCE($B125,""price"",workday(today(),-G$4),today()),2,2))-1"),0.00667482478584924)</f>
        <v>0.00667482478584924</v>
      </c>
      <c r="G125" s="32">
        <f>IFERROR(__xludf.DUMMYFUNCTION("$D125/(index(GOOGLEFINANCE($B125,""price"",$H$4,today()),2,2))-1"),0.00667482478584924)</f>
        <v>0.00667482478584924</v>
      </c>
      <c r="H125" s="31" t="str">
        <f>IFERROR(__xludf.DUMMYFUNCTION("IF(B125="""","""",SPARKLINE(INDEX(GOOGLEFINANCE($B125,""price"",$H$4,today()),,2),{""charttype"",""line""}))"),"")</f>
        <v/>
      </c>
      <c r="I125" s="10" t="str">
        <f>IFERROR(__xludf.DUMMYFUNCTION("IF(B125="""","""",SPARKLINE(INDEX(GOOGLEFINANCE($B125,""volume"",$H$4,today()),,2), {""charttype"",""column"";""color"",""grey"";""highcolor"",""balck"";""lowcolor"",""red""}))"),"")</f>
        <v/>
      </c>
      <c r="J125" s="23">
        <f t="shared" ref="J125:J128" si="26">E125-$F$13</f>
        <v>0.0606861028573651</v>
      </c>
      <c r="K125" s="23">
        <f t="shared" ref="K125:K128" si="27">F125-$G$13</f>
        <v>0.0584413156463361</v>
      </c>
    </row>
    <row r="126" spans="1:11">
      <c r="A126" s="10" t="s">
        <v>1064</v>
      </c>
      <c r="B126" s="22" t="str">
        <f>IFERROR(__xludf.DUMMYFUNCTION("GOOGLEFINANCE(B126,""name"")"),"iShares JP Morgan EM High Yield Bond ETF")</f>
        <v>iShares JP Morgan EM High Yield Bond ETF</v>
      </c>
      <c r="C126" s="21">
        <f>IFERROR(__xludf.DUMMYFUNCTION("GOOGLEFINANCE(B126)"),37.63)</f>
        <v>37.63</v>
      </c>
      <c r="D126" s="23">
        <f>IFERROR(__xludf.DUMMYFUNCTION("GOOGLEFINANCE(B126,""changepct"")/100"),-0.0029)</f>
        <v>-0.0029</v>
      </c>
      <c r="E126" s="23">
        <f>IFERROR(__xludf.DUMMYFUNCTION("$D126/(index(GOOGLEFINANCE($B126,""price"",workday(today(),-F$4),today()),2,2))-1"),0.0170270270270271)</f>
        <v>0.0170270270270271</v>
      </c>
      <c r="F126" s="23">
        <f>IFERROR(__xludf.DUMMYFUNCTION("$D126/(index(GOOGLEFINANCE($B126,""price"",workday(today(),-G$4),today()),2,2))-1"),0.00186368477103293)</f>
        <v>0.00186368477103293</v>
      </c>
      <c r="G126" s="32">
        <f>IFERROR(__xludf.DUMMYFUNCTION("$D126/(index(GOOGLEFINANCE($B126,""price"",$H$4,today()),2,2))-1"),0.00186368477103293)</f>
        <v>0.00186368477103293</v>
      </c>
      <c r="H126" s="31" t="str">
        <f>IFERROR(__xludf.DUMMYFUNCTION("IF(B126="""","""",SPARKLINE(INDEX(GOOGLEFINANCE($B126,""price"",$H$4,today()),,2),{""charttype"",""line""}))"),"")</f>
        <v/>
      </c>
      <c r="I126" s="10" t="str">
        <f>IFERROR(__xludf.DUMMYFUNCTION("IF(B126="""","""",SPARKLINE(INDEX(GOOGLEFINANCE($B126,""volume"",$H$4,today()),,2), {""charttype"",""column"";""color"",""grey"";""highcolor"",""balck"";""lowcolor"",""red""}))"),"")</f>
        <v/>
      </c>
      <c r="J126" s="23">
        <f t="shared" si="26"/>
        <v>0.068793517887514</v>
      </c>
      <c r="K126" s="23">
        <f t="shared" si="27"/>
        <v>0.0536301756315198</v>
      </c>
    </row>
    <row r="127" spans="1:11">
      <c r="A127" s="10" t="s">
        <v>1065</v>
      </c>
      <c r="B127" s="22" t="str">
        <f>IFERROR(__xludf.DUMMYFUNCTION("GOOGLEFINANCE(B127,""name"")"),"iShares JP Morgan USD Em Mkts Bd Idx ETF (C-H)")</f>
        <v>iShares JP Morgan USD Em Mkts Bd Idx ETF (C-H)</v>
      </c>
      <c r="C127" s="21">
        <f>IFERROR(__xludf.DUMMYFUNCTION("GOOGLEFINANCE(B127)"),15.97)</f>
        <v>15.97</v>
      </c>
      <c r="D127" s="23">
        <f>IFERROR(__xludf.DUMMYFUNCTION("GOOGLEFINANCE(B127,""changepct"")/100"),0.0013)</f>
        <v>0.0013</v>
      </c>
      <c r="E127" s="23">
        <f>IFERROR(__xludf.DUMMYFUNCTION("$D127/(index(GOOGLEFINANCE($B127,""price"",workday(today(),-F$4),today()),2,2))-1"),0.0069356872635562)</f>
        <v>0.0069356872635562</v>
      </c>
      <c r="F127" s="23">
        <f>IFERROR(__xludf.DUMMYFUNCTION("$D127/(index(GOOGLEFINANCE($B127,""price"",workday(today(),-G$4),today()),2,2))-1"),0.00884396715097923)</f>
        <v>0.00884396715097923</v>
      </c>
      <c r="G127" s="32">
        <f>IFERROR(__xludf.DUMMYFUNCTION("$D127/(index(GOOGLEFINANCE($B127,""price"",$H$4,today()),2,2))-1"),0.00884396715097923)</f>
        <v>0.00884396715097923</v>
      </c>
      <c r="H127" s="31" t="str">
        <f>IFERROR(__xludf.DUMMYFUNCTION("IF(B127="""","""",SPARKLINE(INDEX(GOOGLEFINANCE($B127,""price"",$H$4,today()),,2),{""charttype"",""line""}))"),"")</f>
        <v/>
      </c>
      <c r="I127" s="10" t="str">
        <f>IFERROR(__xludf.DUMMYFUNCTION("IF(B127="""","""",SPARKLINE(INDEX(GOOGLEFINANCE($B127,""volume"",$H$4,today()),,2), {""charttype"",""column"";""color"",""grey"";""highcolor"",""balck"";""lowcolor"",""red""}))"),"")</f>
        <v/>
      </c>
      <c r="J127" s="23">
        <f t="shared" si="26"/>
        <v>0.0587021781240431</v>
      </c>
      <c r="K127" s="23">
        <f t="shared" si="27"/>
        <v>0.0606104580114661</v>
      </c>
    </row>
    <row r="128" spans="1:11">
      <c r="A128" s="10" t="s">
        <v>1066</v>
      </c>
      <c r="B128" s="22" t="str">
        <f>IFERROR(__xludf.DUMMYFUNCTION("GOOGLEFINANCE(B128,""name"")"),"BMO Emerging Markets Bond Hedged to CAD Index ETF")</f>
        <v>BMO Emerging Markets Bond Hedged to CAD Index ETF</v>
      </c>
      <c r="C128" s="21">
        <f>IFERROR(__xludf.DUMMYFUNCTION("GOOGLEFINANCE(B128)"),12.48)</f>
        <v>12.48</v>
      </c>
      <c r="D128" s="23">
        <f>IFERROR(__xludf.DUMMYFUNCTION("GOOGLEFINANCE(B128,""changepct"")/100"),-0.0008)</f>
        <v>-0.0008</v>
      </c>
      <c r="E128" s="23">
        <f>IFERROR(__xludf.DUMMYFUNCTION("$D128/(index(GOOGLEFINANCE($B128,""price"",workday(today(),-F$4),today()),2,2))-1"),0.00645161290322571)</f>
        <v>0.00645161290322571</v>
      </c>
      <c r="F128" s="23">
        <f>IFERROR(__xludf.DUMMYFUNCTION("$D128/(index(GOOGLEFINANCE($B128,""price"",workday(today(),-G$4),today()),2,2))-1"),0.0121654501216545)</f>
        <v>0.0121654501216545</v>
      </c>
      <c r="G128" s="32">
        <f>IFERROR(__xludf.DUMMYFUNCTION("$D128/(index(GOOGLEFINANCE($B128,""price"",$H$4,today()),2,2))-1"),0.0121654501216545)</f>
        <v>0.0121654501216545</v>
      </c>
      <c r="H128" s="31" t="str">
        <f>IFERROR(__xludf.DUMMYFUNCTION("IF(B128="""","""",SPARKLINE(INDEX(GOOGLEFINANCE($B128,""price"",$H$4,today()),,2),{""charttype"",""line""}))"),"")</f>
        <v/>
      </c>
      <c r="I128" s="10" t="str">
        <f>IFERROR(__xludf.DUMMYFUNCTION("IF(B128="""","""",SPARKLINE(INDEX(GOOGLEFINANCE($B128,""volume"",$H$4,today()),,2), {""charttype"",""column"";""color"",""grey"";""highcolor"",""balck"";""lowcolor"",""red""}))"),"")</f>
        <v/>
      </c>
      <c r="J128" s="23">
        <f t="shared" si="26"/>
        <v>0.0582181037637126</v>
      </c>
      <c r="K128" s="23">
        <f t="shared" si="27"/>
        <v>0.0639319409821414</v>
      </c>
    </row>
    <row r="129" spans="1:11">
      <c r="A129" s="48" t="s">
        <v>1067</v>
      </c>
      <c r="B129" s="49"/>
      <c r="C129" s="50"/>
      <c r="D129" s="51"/>
      <c r="E129" s="51"/>
      <c r="F129" s="51"/>
      <c r="G129" s="52"/>
      <c r="H129" s="53"/>
      <c r="I129" s="53"/>
      <c r="J129" s="53"/>
      <c r="K129" s="53"/>
    </row>
    <row r="130" spans="1:11">
      <c r="A130" s="10" t="s">
        <v>1068</v>
      </c>
      <c r="B130" s="22" t="str">
        <f>IFERROR(__xludf.DUMMYFUNCTION("GOOGLEFINANCE(B130,""name"")"),"Invesco Optimum Yld Dvsfd Cmd Str No K-1 ETF")</f>
        <v>Invesco Optimum Yld Dvsfd Cmd Str No K-1 ETF</v>
      </c>
      <c r="C130" s="21">
        <f>IFERROR(__xludf.DUMMYFUNCTION("GOOGLEFINANCE(B130)"),13.62)</f>
        <v>13.62</v>
      </c>
      <c r="D130" s="23">
        <f>IFERROR(__xludf.DUMMYFUNCTION("GOOGLEFINANCE(B130,""changepct"")/100"),0.0172)</f>
        <v>0.0172</v>
      </c>
      <c r="E130" s="23">
        <f>IFERROR(__xludf.DUMMYFUNCTION("$D130/(index(GOOGLEFINANCE($B130,""price"",workday(today(),-F$4),today()),2,2))-1"),0.0318181818181817)</f>
        <v>0.0318181818181817</v>
      </c>
      <c r="F130" s="23">
        <f>IFERROR(__xludf.DUMMYFUNCTION("$D130/(index(GOOGLEFINANCE($B130,""price"",workday(today(),-G$4),today()),2,2))-1"),-0.0250536864710093)</f>
        <v>-0.0250536864710093</v>
      </c>
      <c r="G130" s="32">
        <f>IFERROR(__xludf.DUMMYFUNCTION("$D130/(index(GOOGLEFINANCE($B130,""price"",$H$4,today()),2,2))-1"),-0.0250536864710093)</f>
        <v>-0.0250536864710093</v>
      </c>
      <c r="H130" s="31" t="str">
        <f>IFERROR(__xludf.DUMMYFUNCTION("IF(B130="""","""",SPARKLINE(INDEX(GOOGLEFINANCE($B130,""price"",$H$4,today()),,2),{""charttype"",""line""}))"),"")</f>
        <v/>
      </c>
      <c r="I130" s="10" t="str">
        <f>IFERROR(__xludf.DUMMYFUNCTION("IF(B130="""","""",SPARKLINE(INDEX(GOOGLEFINANCE($B130,""volume"",$H$4,today()),,2), {""charttype"",""column"";""color"",""grey"";""highcolor"",""balck"";""lowcolor"",""red""}))"),"")</f>
        <v/>
      </c>
      <c r="J130" s="23">
        <f t="shared" ref="J130:J136" si="28">E130-$F$13</f>
        <v>0.0835846726786686</v>
      </c>
      <c r="K130" s="23">
        <f t="shared" ref="K130:K136" si="29">F130-$G$13</f>
        <v>0.0267128043894776</v>
      </c>
    </row>
    <row r="131" spans="1:11">
      <c r="A131" s="10" t="s">
        <v>1069</v>
      </c>
      <c r="B131" s="22" t="str">
        <f>IFERROR(__xludf.DUMMYFUNCTION("GOOGLEFINANCE(B131,""name"")"),"Invesco DB Commodity Index Tracking Fund")</f>
        <v>Invesco DB Commodity Index Tracking Fund</v>
      </c>
      <c r="C131" s="21">
        <f>IFERROR(__xludf.DUMMYFUNCTION("GOOGLEFINANCE(B131)"),22.54)</f>
        <v>22.54</v>
      </c>
      <c r="D131" s="23">
        <f>IFERROR(__xludf.DUMMYFUNCTION("GOOGLEFINANCE(B131,""changepct"")/100"),0.0149)</f>
        <v>0.0149</v>
      </c>
      <c r="E131" s="23">
        <f>IFERROR(__xludf.DUMMYFUNCTION("$D131/(index(GOOGLEFINANCE($B131,""price"",workday(today(),-F$4),today()),2,2))-1"),0.0311070448307411)</f>
        <v>0.0311070448307411</v>
      </c>
      <c r="F131" s="23">
        <f>IFERROR(__xludf.DUMMYFUNCTION("$D131/(index(GOOGLEFINANCE($B131,""price"",workday(today(),-G$4),today()),2,2))-1"),-0.0250865051903115)</f>
        <v>-0.0250865051903115</v>
      </c>
      <c r="G131" s="32">
        <f>IFERROR(__xludf.DUMMYFUNCTION("$D131/(index(GOOGLEFINANCE($B131,""price"",$H$4,today()),2,2))-1"),-0.0250865051903115)</f>
        <v>-0.0250865051903115</v>
      </c>
      <c r="H131" s="31" t="str">
        <f>IFERROR(__xludf.DUMMYFUNCTION("IF(B131="""","""",SPARKLINE(INDEX(GOOGLEFINANCE($B131,""price"",$H$4,today()),,2),{""charttype"",""line""}))"),"")</f>
        <v/>
      </c>
      <c r="I131" s="10" t="str">
        <f>IFERROR(__xludf.DUMMYFUNCTION("IF(B131="""","""",SPARKLINE(INDEX(GOOGLEFINANCE($B131,""volume"",$H$4,today()),,2), {""charttype"",""column"";""color"",""grey"";""highcolor"",""balck"";""lowcolor"",""red""}))"),"")</f>
        <v/>
      </c>
      <c r="J131" s="23">
        <f t="shared" si="28"/>
        <v>0.082873535691228</v>
      </c>
      <c r="K131" s="23">
        <f t="shared" si="29"/>
        <v>0.0266799856701754</v>
      </c>
    </row>
    <row r="132" spans="1:11">
      <c r="A132" s="10" t="s">
        <v>1070</v>
      </c>
      <c r="B132" s="22" t="str">
        <f>IFERROR(__xludf.DUMMYFUNCTION("GOOGLEFINANCE(B132,""name"")"),"Invesco DB Base Metals Fund")</f>
        <v>Invesco DB Base Metals Fund</v>
      </c>
      <c r="C132" s="21">
        <f>IFERROR(__xludf.DUMMYFUNCTION("GOOGLEFINANCE(B132)"),18.79)</f>
        <v>18.79</v>
      </c>
      <c r="D132" s="23">
        <f>IFERROR(__xludf.DUMMYFUNCTION("GOOGLEFINANCE(B132,""changepct"")/100"),0.00699999999999999)</f>
        <v>0.00699999999999999</v>
      </c>
      <c r="E132" s="23">
        <f>IFERROR(__xludf.DUMMYFUNCTION("$D132/(index(GOOGLEFINANCE($B132,""price"",workday(today(),-F$4),today()),2,2))-1"),0.0239782016348772)</f>
        <v>0.0239782016348772</v>
      </c>
      <c r="F132" s="23">
        <f>IFERROR(__xludf.DUMMYFUNCTION("$D132/(index(GOOGLEFINANCE($B132,""price"",workday(today(),-G$4),today()),2,2))-1"),-0.0702622464126671)</f>
        <v>-0.0702622464126671</v>
      </c>
      <c r="G132" s="32">
        <f>IFERROR(__xludf.DUMMYFUNCTION("$D132/(index(GOOGLEFINANCE($B132,""price"",$H$4,today()),2,2))-1"),-0.0702622464126671)</f>
        <v>-0.0702622464126671</v>
      </c>
      <c r="H132" s="31" t="str">
        <f>IFERROR(__xludf.DUMMYFUNCTION("IF(B132="""","""",SPARKLINE(INDEX(GOOGLEFINANCE($B132,""price"",$H$4,today()),,2),{""charttype"",""line""}))"),"")</f>
        <v/>
      </c>
      <c r="I132" s="10" t="str">
        <f>IFERROR(__xludf.DUMMYFUNCTION("IF(B132="""","""",SPARKLINE(INDEX(GOOGLEFINANCE($B132,""volume"",$H$4,today()),,2), {""charttype"",""column"";""color"",""grey"";""highcolor"",""balck"";""lowcolor"",""red""}))"),"")</f>
        <v/>
      </c>
      <c r="J132" s="23">
        <f t="shared" si="28"/>
        <v>0.0757446924953641</v>
      </c>
      <c r="K132" s="23">
        <f t="shared" si="29"/>
        <v>-0.0184957555521802</v>
      </c>
    </row>
    <row r="133" spans="1:11">
      <c r="A133" s="10" t="s">
        <v>1071</v>
      </c>
      <c r="B133" s="22" t="str">
        <f>IFERROR(__xludf.DUMMYFUNCTION("GOOGLEFINANCE(B133,""name"")"),"Invesco DB Agriculture Fund")</f>
        <v>Invesco DB Agriculture Fund</v>
      </c>
      <c r="C133" s="21">
        <f>IFERROR(__xludf.DUMMYFUNCTION("GOOGLEFINANCE(B133)"),23.95)</f>
        <v>23.95</v>
      </c>
      <c r="D133" s="23">
        <f>IFERROR(__xludf.DUMMYFUNCTION("GOOGLEFINANCE(B133,""changepct"")/100"),-0.0107)</f>
        <v>-0.0107</v>
      </c>
      <c r="E133" s="23">
        <f>IFERROR(__xludf.DUMMYFUNCTION("$D133/(index(GOOGLEFINANCE($B133,""price"",workday(today(),-F$4),today()),2,2))-1"),0.0174171622769754)</f>
        <v>0.0174171622769754</v>
      </c>
      <c r="F133" s="23">
        <f>IFERROR(__xludf.DUMMYFUNCTION("$D133/(index(GOOGLEFINANCE($B133,""price"",workday(today(),-G$4),today()),2,2))-1"),-0.0119636963696369)</f>
        <v>-0.0119636963696369</v>
      </c>
      <c r="G133" s="32">
        <f>IFERROR(__xludf.DUMMYFUNCTION("$D133/(index(GOOGLEFINANCE($B133,""price"",$H$4,today()),2,2))-1"),-0.0119636963696369)</f>
        <v>-0.0119636963696369</v>
      </c>
      <c r="H133" s="31" t="str">
        <f>IFERROR(__xludf.DUMMYFUNCTION("IF(B133="""","""",SPARKLINE(INDEX(GOOGLEFINANCE($B133,""price"",$H$4,today()),,2),{""charttype"",""line""}))"),"")</f>
        <v/>
      </c>
      <c r="I133" s="10" t="str">
        <f>IFERROR(__xludf.DUMMYFUNCTION("IF(B133="""","""",SPARKLINE(INDEX(GOOGLEFINANCE($B133,""volume"",$H$4,today()),,2), {""charttype"",""column"";""color"",""grey"";""highcolor"",""balck"";""lowcolor"",""red""}))"),"")</f>
        <v/>
      </c>
      <c r="J133" s="23">
        <f t="shared" si="28"/>
        <v>0.0691836531374623</v>
      </c>
      <c r="K133" s="23">
        <f t="shared" si="29"/>
        <v>0.03980279449085</v>
      </c>
    </row>
    <row r="134" spans="1:11">
      <c r="A134" s="10" t="s">
        <v>1072</v>
      </c>
      <c r="B134" s="22" t="str">
        <f>IFERROR(__xludf.DUMMYFUNCTION("GOOGLEFINANCE(B134,""name"")"),"#N/A")</f>
        <v>#N/A</v>
      </c>
      <c r="C134" s="21" t="str">
        <f>IFERROR(__xludf.DUMMYFUNCTION("GOOGLEFINANCE(B134)"),"#N/A")</f>
        <v>#N/A</v>
      </c>
      <c r="D134" s="23" t="str">
        <f>IFERROR(__xludf.DUMMYFUNCTION("GOOGLEFINANCE(B134,""changepct"")/100"),"#N/A")</f>
        <v>#N/A</v>
      </c>
      <c r="E134" s="23" t="str">
        <f>IFERROR(__xludf.DUMMYFUNCTION("$D134/(index(GOOGLEFINANCE($B134,""price"",workday(today(),-F$4),today()),2,2))-1"),"#N/A")</f>
        <v>#N/A</v>
      </c>
      <c r="F134" s="23" t="str">
        <f>IFERROR(__xludf.DUMMYFUNCTION("$D134/(index(GOOGLEFINANCE($B134,""price"",workday(today(),-G$4),today()),2,2))-1"),"#N/A")</f>
        <v>#N/A</v>
      </c>
      <c r="G134" s="32" t="str">
        <f>IFERROR(__xludf.DUMMYFUNCTION("$D134/(index(GOOGLEFINANCE($B134,""price"",$H$4,today()),2,2))-1"),"#N/A")</f>
        <v>#N/A</v>
      </c>
      <c r="H134" s="31" t="str">
        <f>IFERROR(__xludf.DUMMYFUNCTION("IF(B134="""","""",SPARKLINE(INDEX(GOOGLEFINANCE($B134,""price"",$H$4,today()),,2),{""charttype"",""line""}))"),"#N/A")</f>
        <v>#N/A</v>
      </c>
      <c r="I134" s="10" t="str">
        <f>IFERROR(__xludf.DUMMYFUNCTION("IF(B134="""","""",SPARKLINE(INDEX(GOOGLEFINANCE($B134,""volume"",$H$4,today()),,2), {""charttype"",""column"";""color"",""grey"";""highcolor"",""balck"";""lowcolor"",""red""}))"),"#N/A")</f>
        <v>#N/A</v>
      </c>
      <c r="J134" s="10" t="e">
        <f t="shared" si="28"/>
        <v>#VALUE!</v>
      </c>
      <c r="K134" s="10" t="e">
        <f t="shared" si="29"/>
        <v>#VALUE!</v>
      </c>
    </row>
    <row r="135" spans="1:11">
      <c r="A135" s="10" t="s">
        <v>1073</v>
      </c>
      <c r="B135" s="22" t="str">
        <f>IFERROR(__xludf.DUMMYFUNCTION("GOOGLEFINANCE(B135,""name"")"),"iShares Silver Trust")</f>
        <v>iShares Silver Trust</v>
      </c>
      <c r="C135" s="21">
        <f>IFERROR(__xludf.DUMMYFUNCTION("GOOGLEFINANCE(B135)"),25.5)</f>
        <v>25.5</v>
      </c>
      <c r="D135" s="23">
        <f>IFERROR(__xludf.DUMMYFUNCTION("GOOGLEFINANCE(B135,""changepct"")/100"),0.02)</f>
        <v>0.02</v>
      </c>
      <c r="E135" s="23">
        <f>IFERROR(__xludf.DUMMYFUNCTION("$D135/(index(GOOGLEFINANCE($B135,""price"",workday(today(),-F$4),today()),2,2))-1"),0.0257441673370877)</f>
        <v>0.0257441673370877</v>
      </c>
      <c r="F135" s="23">
        <f>IFERROR(__xludf.DUMMYFUNCTION("$D135/(index(GOOGLEFINANCE($B135,""price"",workday(today(),-G$4),today()),2,2))-1"),-0.0902604352479486)</f>
        <v>-0.0902604352479486</v>
      </c>
      <c r="G135" s="32">
        <f>IFERROR(__xludf.DUMMYFUNCTION("$D135/(index(GOOGLEFINANCE($B135,""price"",$H$4,today()),2,2))-1"),-0.0902604352479486)</f>
        <v>-0.0902604352479486</v>
      </c>
      <c r="H135" s="31" t="str">
        <f>IFERROR(__xludf.DUMMYFUNCTION("IF(B135="""","""",SPARKLINE(INDEX(GOOGLEFINANCE($B135,""price"",$H$4,today()),,2),{""charttype"",""line""}))"),"")</f>
        <v/>
      </c>
      <c r="I135" s="10" t="str">
        <f>IFERROR(__xludf.DUMMYFUNCTION("IF(B135="""","""",SPARKLINE(INDEX(GOOGLEFINANCE($B135,""volume"",$H$4,today()),,2), {""charttype"",""column"";""color"",""grey"";""highcolor"",""balck"";""lowcolor"",""red""}))"),"")</f>
        <v/>
      </c>
      <c r="J135" s="23">
        <f t="shared" si="28"/>
        <v>0.0775106581975746</v>
      </c>
      <c r="K135" s="23">
        <f t="shared" si="29"/>
        <v>-0.0384939443874617</v>
      </c>
    </row>
    <row r="136" spans="1:11">
      <c r="A136" s="10" t="s">
        <v>1074</v>
      </c>
      <c r="B136" s="22" t="str">
        <f>IFERROR(__xludf.DUMMYFUNCTION("GOOGLEFINANCE(B136,""name"")"),"iShares Gold Bullion ETF Hedged")</f>
        <v>iShares Gold Bullion ETF Hedged</v>
      </c>
      <c r="C136" s="21">
        <f>IFERROR(__xludf.DUMMYFUNCTION("GOOGLEFINANCE(B136)"),19.62)</f>
        <v>19.62</v>
      </c>
      <c r="D136" s="23">
        <f>IFERROR(__xludf.DUMMYFUNCTION("GOOGLEFINANCE(B136,""changepct"")/100"),0.0166)</f>
        <v>0.0166</v>
      </c>
      <c r="E136" s="23">
        <f>IFERROR(__xludf.DUMMYFUNCTION("$D136/(index(GOOGLEFINANCE($B136,""price"",workday(today(),-F$4),today()),2,2))-1"),0.0337197049525817)</f>
        <v>0.0337197049525817</v>
      </c>
      <c r="F136" s="23">
        <f>IFERROR(__xludf.DUMMYFUNCTION("$D136/(index(GOOGLEFINANCE($B136,""price"",workday(today(),-G$4),today()),2,2))-1"),0.0186915887850467)</f>
        <v>0.0186915887850467</v>
      </c>
      <c r="G136" s="32">
        <f>IFERROR(__xludf.DUMMYFUNCTION("$D136/(index(GOOGLEFINANCE($B136,""price"",$H$4,today()),2,2))-1"),0.0186915887850467)</f>
        <v>0.0186915887850467</v>
      </c>
      <c r="H136" s="31" t="str">
        <f>IFERROR(__xludf.DUMMYFUNCTION("IF(B136="""","""",SPARKLINE(INDEX(GOOGLEFINANCE($B136,""price"",$H$4,today()),,2),{""charttype"",""line""}))"),"")</f>
        <v/>
      </c>
      <c r="I136" s="10" t="str">
        <f>IFERROR(__xludf.DUMMYFUNCTION("IF(B136="""","""",SPARKLINE(INDEX(GOOGLEFINANCE($B136,""volume"",$H$4,today()),,2), {""charttype"",""column"";""color"",""grey"";""highcolor"",""balck"";""lowcolor"",""red""}))"),"")</f>
        <v/>
      </c>
      <c r="J136" s="23">
        <f t="shared" si="28"/>
        <v>0.0854861958130686</v>
      </c>
      <c r="K136" s="23">
        <f t="shared" si="29"/>
        <v>0.0704580796455336</v>
      </c>
    </row>
  </sheetData>
  <conditionalFormatting sqref="D7:D136">
    <cfRule type="colorScale" priority="3">
      <colorScale>
        <cfvo type="formula" val="-0.03"/>
        <cfvo type="formula" val="0"/>
        <cfvo type="formula" val="0.03"/>
        <color rgb="FFEA4335"/>
        <color rgb="FFFFFFFF"/>
        <color rgb="FF57BB8A"/>
      </colorScale>
    </cfRule>
  </conditionalFormatting>
  <conditionalFormatting sqref="F7:F136">
    <cfRule type="colorScale" priority="2">
      <colorScale>
        <cfvo type="formula" val="-0.15"/>
        <cfvo type="formula" val="0"/>
        <cfvo type="formula" val="0.15"/>
        <color rgb="FFEA4335"/>
        <color rgb="FFFFFFFF"/>
        <color rgb="FF34A853"/>
      </colorScale>
    </cfRule>
  </conditionalFormatting>
  <conditionalFormatting sqref="E7:F136">
    <cfRule type="colorScale" priority="1">
      <colorScale>
        <cfvo type="formula" val="-0.1"/>
        <cfvo type="formula" val="0"/>
        <cfvo type="formula" val="0.1"/>
        <color rgb="FFEA4335"/>
        <color rgb="FFFFFFFF"/>
        <color rgb="FF57BB8A"/>
      </colorScale>
    </cfRule>
  </conditionalFormatting>
  <conditionalFormatting sqref="G7:G136 H83:I83">
    <cfRule type="colorScale" priority="5">
      <colorScale>
        <cfvo type="formula" val="-0.2"/>
        <cfvo type="formula" val="0"/>
        <cfvo type="formula" val="0.2"/>
        <color rgb="FFEA4335"/>
        <color rgb="FFFFFFFF"/>
        <color rgb="FF57BB8A"/>
      </colorScale>
    </cfRule>
  </conditionalFormatting>
  <conditionalFormatting sqref="J7:K82 J84:K123 J125:K128 H129:I129 J130:K136">
    <cfRule type="colorScale" priority="4">
      <colorScale>
        <cfvo type="formula" val="-0.1"/>
        <cfvo type="formula" val="0"/>
        <cfvo type="formula" val="0.1"/>
        <color rgb="FFEA4335"/>
        <color rgb="FFFFFFFF"/>
        <color rgb="FF57BB8A"/>
      </colorScale>
    </cfRule>
  </conditionalFormatting>
  <hyperlinks>
    <hyperlink ref="A2" r:id="rId1" display="© 2024 TheMarketMemo"/>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12</vt:i4>
      </vt:variant>
    </vt:vector>
  </HeadingPairs>
  <TitlesOfParts>
    <vt:vector size="12" baseType="lpstr">
      <vt:lpstr>ML algo</vt:lpstr>
      <vt:lpstr>papers</vt:lpstr>
      <vt:lpstr>performance</vt:lpstr>
      <vt:lpstr>qlib</vt:lpstr>
      <vt:lpstr>trend_strat</vt:lpstr>
      <vt:lpstr>trade_discipline</vt:lpstr>
      <vt:lpstr>fundamental</vt:lpstr>
      <vt:lpstr>HFT</vt:lpstr>
      <vt:lpstr>watchlist_asset</vt:lpstr>
      <vt:lpstr>watchlist_structure</vt:lpstr>
      <vt:lpstr>watchlist_industry</vt:lpstr>
      <vt:lpstr>demo_strat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Chuyin.W</cp:lastModifiedBy>
  <cp:revision>6</cp:revision>
  <dcterms:created xsi:type="dcterms:W3CDTF">2024-07-18T17:02:00Z</dcterms:created>
  <dcterms:modified xsi:type="dcterms:W3CDTF">2024-08-12T19:56:10Z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48DA07D9D2A6457997A5E92D13805DFF_12</vt:lpwstr>
  </property>
  <property fmtid="{D5CDD505-2E9C-101B-9397-08002B2CF9AE}" pid="3" name="KSOProductBuildVer">
    <vt:lpwstr>2052-12.1.0.17140</vt:lpwstr>
  </property>
</Properties>
</file>