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m\OneDrive\Documents\BUT-Informatique\BUT3\Projet Tutoré\SAE_Kronologic_Dietrich_Dziezuk_Mougin\documents\9-Comparaison_IA_Deduction\"/>
    </mc:Choice>
  </mc:AlternateContent>
  <xr:revisionPtr revIDLastSave="0" documentId="13_ncr:1_{BCCD5D29-6A91-4FC7-88AC-0AD9AD092185}" xr6:coauthVersionLast="47" xr6:coauthVersionMax="47" xr10:uidLastSave="{00000000-0000-0000-0000-000000000000}"/>
  <bookViews>
    <workbookView xWindow="-108" yWindow="-108" windowWidth="23256" windowHeight="12456" xr2:uid="{D48D6D2E-15DA-470C-9B34-0D45AB2DB35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N37" i="1" s="1"/>
  <c r="M36" i="1"/>
  <c r="M35" i="1"/>
  <c r="M34" i="1"/>
  <c r="M33" i="1"/>
  <c r="M32" i="1"/>
  <c r="L41" i="1"/>
  <c r="L40" i="1"/>
  <c r="L39" i="1"/>
  <c r="L38" i="1"/>
  <c r="N38" i="1" s="1"/>
  <c r="L37" i="1"/>
  <c r="L36" i="1"/>
  <c r="L35" i="1"/>
  <c r="L34" i="1"/>
  <c r="L33" i="1"/>
  <c r="L32" i="1"/>
  <c r="N32" i="1" s="1"/>
  <c r="M11" i="1"/>
  <c r="M10" i="1"/>
  <c r="M13" i="1" s="1"/>
  <c r="M9" i="1"/>
  <c r="M8" i="1"/>
  <c r="M7" i="1"/>
  <c r="N7" i="1" s="1"/>
  <c r="M6" i="1"/>
  <c r="N6" i="1" s="1"/>
  <c r="M5" i="1"/>
  <c r="M4" i="1"/>
  <c r="M3" i="1"/>
  <c r="M2" i="1"/>
  <c r="L11" i="1"/>
  <c r="L10" i="1"/>
  <c r="L9" i="1"/>
  <c r="L8" i="1"/>
  <c r="L7" i="1"/>
  <c r="L6" i="1"/>
  <c r="L5" i="1"/>
  <c r="L4" i="1"/>
  <c r="L3" i="1"/>
  <c r="N3" i="1" s="1"/>
  <c r="L2" i="1"/>
  <c r="G56" i="1"/>
  <c r="G55" i="1"/>
  <c r="G54" i="1"/>
  <c r="G53" i="1"/>
  <c r="G52" i="1"/>
  <c r="G51" i="1"/>
  <c r="G50" i="1"/>
  <c r="G57" i="1" s="1"/>
  <c r="G49" i="1"/>
  <c r="G48" i="1"/>
  <c r="I48" i="1" s="1"/>
  <c r="G47" i="1"/>
  <c r="H56" i="1"/>
  <c r="H55" i="1"/>
  <c r="H54" i="1"/>
  <c r="H53" i="1"/>
  <c r="H52" i="1"/>
  <c r="H51" i="1"/>
  <c r="I51" i="1" s="1"/>
  <c r="H50" i="1"/>
  <c r="H49" i="1"/>
  <c r="I49" i="1" s="1"/>
  <c r="H48" i="1"/>
  <c r="H47" i="1"/>
  <c r="H41" i="1"/>
  <c r="H40" i="1"/>
  <c r="H39" i="1"/>
  <c r="H38" i="1"/>
  <c r="H37" i="1"/>
  <c r="I37" i="1" s="1"/>
  <c r="H36" i="1"/>
  <c r="H35" i="1"/>
  <c r="H34" i="1"/>
  <c r="H33" i="1"/>
  <c r="H32" i="1"/>
  <c r="G41" i="1"/>
  <c r="G40" i="1"/>
  <c r="G39" i="1"/>
  <c r="I39" i="1" s="1"/>
  <c r="G38" i="1"/>
  <c r="G37" i="1"/>
  <c r="G36" i="1"/>
  <c r="G35" i="1"/>
  <c r="G34" i="1"/>
  <c r="I34" i="1" s="1"/>
  <c r="G33" i="1"/>
  <c r="I33" i="1" s="1"/>
  <c r="G32" i="1"/>
  <c r="H11" i="1"/>
  <c r="I11" i="1" s="1"/>
  <c r="H10" i="1"/>
  <c r="I10" i="1" s="1"/>
  <c r="H9" i="1"/>
  <c r="I9" i="1" s="1"/>
  <c r="H8" i="1"/>
  <c r="H7" i="1"/>
  <c r="H6" i="1"/>
  <c r="H5" i="1"/>
  <c r="H4" i="1"/>
  <c r="H3" i="1"/>
  <c r="H2" i="1"/>
  <c r="I2" i="1" s="1"/>
  <c r="G11" i="1"/>
  <c r="G10" i="1"/>
  <c r="G9" i="1"/>
  <c r="G8" i="1"/>
  <c r="G7" i="1"/>
  <c r="G6" i="1"/>
  <c r="I6" i="1" s="1"/>
  <c r="G5" i="1"/>
  <c r="G4" i="1"/>
  <c r="I4" i="1" s="1"/>
  <c r="G3" i="1"/>
  <c r="I3" i="1" s="1"/>
  <c r="G2" i="1"/>
  <c r="B2" i="1"/>
  <c r="B11" i="1"/>
  <c r="D11" i="1" s="1"/>
  <c r="B10" i="1"/>
  <c r="B9" i="1"/>
  <c r="D9" i="1" s="1"/>
  <c r="B8" i="1"/>
  <c r="B7" i="1"/>
  <c r="B6" i="1"/>
  <c r="B5" i="1"/>
  <c r="B4" i="1"/>
  <c r="D4" i="1" s="1"/>
  <c r="B3" i="1"/>
  <c r="C11" i="1"/>
  <c r="C10" i="1"/>
  <c r="C9" i="1"/>
  <c r="C8" i="1"/>
  <c r="C7" i="1"/>
  <c r="C6" i="1"/>
  <c r="D6" i="1" s="1"/>
  <c r="C5" i="1"/>
  <c r="D5" i="1" s="1"/>
  <c r="C4" i="1"/>
  <c r="C3" i="1"/>
  <c r="C2" i="1"/>
  <c r="C14" i="1"/>
  <c r="G59" i="1"/>
  <c r="G58" i="1"/>
  <c r="H44" i="1"/>
  <c r="G44" i="1"/>
  <c r="H43" i="1"/>
  <c r="G43" i="1"/>
  <c r="M44" i="1"/>
  <c r="L44" i="1"/>
  <c r="M43" i="1"/>
  <c r="L43" i="1"/>
  <c r="L14" i="1"/>
  <c r="L13" i="1"/>
  <c r="H14" i="1"/>
  <c r="H13" i="1"/>
  <c r="G13" i="1"/>
  <c r="B14" i="1"/>
  <c r="C13" i="1"/>
  <c r="B13" i="1"/>
  <c r="N41" i="1"/>
  <c r="N40" i="1"/>
  <c r="N39" i="1"/>
  <c r="N36" i="1"/>
  <c r="N35" i="1"/>
  <c r="N34" i="1"/>
  <c r="N33" i="1"/>
  <c r="N4" i="1"/>
  <c r="N5" i="1"/>
  <c r="N8" i="1"/>
  <c r="N9" i="1"/>
  <c r="N11" i="1"/>
  <c r="N2" i="1"/>
  <c r="M42" i="1"/>
  <c r="L42" i="1"/>
  <c r="H42" i="1"/>
  <c r="G42" i="1"/>
  <c r="L12" i="1"/>
  <c r="H12" i="1"/>
  <c r="G12" i="1"/>
  <c r="B12" i="1"/>
  <c r="I40" i="1"/>
  <c r="I38" i="1"/>
  <c r="I36" i="1"/>
  <c r="I32" i="1"/>
  <c r="I56" i="1"/>
  <c r="I55" i="1"/>
  <c r="I53" i="1"/>
  <c r="I47" i="1"/>
  <c r="D3" i="1"/>
  <c r="D7" i="1"/>
  <c r="D8" i="1"/>
  <c r="I5" i="1"/>
  <c r="I8" i="1"/>
  <c r="N42" i="1" l="1"/>
  <c r="N43" i="1"/>
  <c r="M14" i="1"/>
  <c r="M12" i="1"/>
  <c r="N10" i="1"/>
  <c r="N14" i="1"/>
  <c r="I54" i="1"/>
  <c r="I52" i="1"/>
  <c r="I58" i="1" s="1"/>
  <c r="I50" i="1"/>
  <c r="H57" i="1"/>
  <c r="H58" i="1"/>
  <c r="H59" i="1"/>
  <c r="I41" i="1"/>
  <c r="I42" i="1" s="1"/>
  <c r="I35" i="1"/>
  <c r="I7" i="1"/>
  <c r="G14" i="1"/>
  <c r="I14" i="1"/>
  <c r="D10" i="1"/>
  <c r="D14" i="1" s="1"/>
  <c r="C12" i="1"/>
  <c r="D2" i="1"/>
  <c r="D13" i="1" s="1"/>
  <c r="I13" i="1"/>
  <c r="N44" i="1"/>
  <c r="N13" i="1"/>
  <c r="N12" i="1"/>
  <c r="D12" i="1"/>
  <c r="I12" i="1"/>
  <c r="I59" i="1" l="1"/>
  <c r="I57" i="1"/>
  <c r="I43" i="1"/>
  <c r="I44" i="1"/>
</calcChain>
</file>

<file path=xl/sharedStrings.xml><?xml version="1.0" encoding="utf-8"?>
<sst xmlns="http://schemas.openxmlformats.org/spreadsheetml/2006/main" count="43" uniqueCount="13">
  <si>
    <t>Choco-Solver</t>
  </si>
  <si>
    <t>Heuristique</t>
  </si>
  <si>
    <t>Initialisation</t>
  </si>
  <si>
    <t>Question temps (L1/T6)</t>
  </si>
  <si>
    <t>CB de fois plus rapide</t>
  </si>
  <si>
    <t>Question temps (L1/T4)</t>
  </si>
  <si>
    <t>Question solution coupable en 2</t>
  </si>
  <si>
    <t>Question personnage (L3/D)</t>
  </si>
  <si>
    <t>Question solution coupable en 3</t>
  </si>
  <si>
    <t>Moyenne</t>
  </si>
  <si>
    <t>Question avec le plus de propagation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</si>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</sst>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Heuristique</a:t>
            </a: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Choco-Solver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Feuil1!$F$32:$F$41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Feuil1!$L$32:$L$41</c:f>
              <c:numCache>
                <c:formatCode>0.00</c:formatCode>
                <c:ptCount val="10"/>
                <c:pt idx="0">
                  <c:v>2.9533</c:v>
                </c:pt>
                <c:pt idx="1">
                  <c:v>3.6840999999999999</c:v>
                </c:pt>
                <c:pt idx="2">
                  <c:v>3.6684999999999999</c:v>
                </c:pt>
                <c:pt idx="3">
                  <c:v>3.4344000000000001</c:v>
                </c:pt>
                <c:pt idx="4">
                  <c:v>3.1663999999999999</c:v>
                </c:pt>
                <c:pt idx="5">
                  <c:v>4.6749000000000001</c:v>
                </c:pt>
                <c:pt idx="6">
                  <c:v>3.5411999999999999</c:v>
                </c:pt>
                <c:pt idx="7">
                  <c:v>4.8762999999999996</c:v>
                </c:pt>
                <c:pt idx="8">
                  <c:v>3.3517000000000001</c:v>
                </c:pt>
                <c:pt idx="9">
                  <c:v>3.1446000000000001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CC-4207-850C-0A45CC666D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0681151"/>
        <c:axId val="830679231"/>
      </c:scatterChart>
      <c:valAx>
        <c:axId val="8306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679231"/>
        <c:crosses val="autoZero"/>
        <c:crossBetween val="midCat"/>
      </c:valAx>
      <c:valAx>
        <c:axId val="8306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en milisecondes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06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739140</xdr:colOff>
      <xdr:row>14</xdr:row>
      <xdr:rowOff>72390</xdr:rowOff>
    </xdr:from>
    <xdr:to>
      <xdr:col>13</xdr:col>
      <xdr:colOff>655320</xdr:colOff>
      <xdr:row>29</xdr:row>
      <xdr:rowOff>72390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060C071-78D5-A53E-1C3A-77D3341C9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BDF-14B1-42A6-BBA8-E19A1E152D23}">
  <dimension ref="A1:N60"/>
  <sheetViews>
    <sheetView tabSelected="1" topLeftCell="C14" workbookViewId="0">
      <selection activeCell="I27" sqref="I27"/>
    </sheetView>
  </sheetViews>
  <sheetFormatPr baseColWidth="10" defaultRowHeight="14.4" x14ac:dyDescent="0.3"/>
  <cols>
    <col min="1" max="1" width="44.88671875" customWidth="1"/>
    <col min="2" max="2" width="12.77734375" customWidth="1"/>
    <col min="4" max="4" width="18.6640625" customWidth="1"/>
    <col min="6" max="6" width="31.6640625" customWidth="1"/>
    <col min="7" max="7" width="13.6640625" customWidth="1"/>
    <col min="9" max="9" width="18" customWidth="1"/>
    <col min="11" max="11" width="32.109375" customWidth="1"/>
    <col min="12" max="12" width="12.6640625" customWidth="1"/>
    <col min="14" max="14" width="17.88671875" customWidth="1"/>
    <col min="16" max="16" width="27.21875" customWidth="1"/>
    <col min="17" max="17" width="13.77734375" customWidth="1"/>
    <col min="19" max="19" width="18.33203125" customWidth="1"/>
  </cols>
  <sheetData>
    <row r="1" spans="1:14" x14ac:dyDescent="0.3">
      <c r="A1" t="s">
        <v>2</v>
      </c>
      <c r="B1" t="s">
        <v>0</v>
      </c>
      <c r="C1" t="s">
        <v>1</v>
      </c>
      <c r="D1" t="s">
        <v>4</v>
      </c>
      <c r="F1" t="s">
        <v>3</v>
      </c>
      <c r="G1" t="s">
        <v>0</v>
      </c>
      <c r="H1" t="s">
        <v>1</v>
      </c>
      <c r="I1" t="s">
        <v>4</v>
      </c>
      <c r="K1" t="s">
        <v>6</v>
      </c>
      <c r="L1" t="s">
        <v>0</v>
      </c>
      <c r="M1" t="s">
        <v>1</v>
      </c>
      <c r="N1" t="s">
        <v>4</v>
      </c>
    </row>
    <row r="2" spans="1:14" x14ac:dyDescent="0.3">
      <c r="A2">
        <v>1</v>
      </c>
      <c r="B2" s="1">
        <f>96494400/1000000</f>
        <v>96.494399999999999</v>
      </c>
      <c r="C2" s="1">
        <f>1822000/1000000</f>
        <v>1.8220000000000001</v>
      </c>
      <c r="D2" s="2">
        <f>B2/C2</f>
        <v>52.960702524698128</v>
      </c>
      <c r="F2">
        <v>1</v>
      </c>
      <c r="G2" s="1">
        <f>6631100/1000000</f>
        <v>6.6311</v>
      </c>
      <c r="H2" s="1">
        <f>276000/1000000</f>
        <v>0.27600000000000002</v>
      </c>
      <c r="I2" s="2">
        <f>G2/H2</f>
        <v>24.025724637681158</v>
      </c>
      <c r="K2">
        <v>1</v>
      </c>
      <c r="L2" s="1">
        <f>2994700/1000000</f>
        <v>2.9946999999999999</v>
      </c>
      <c r="M2" s="1">
        <f>10579900/1000000</f>
        <v>10.5799</v>
      </c>
      <c r="N2" s="1">
        <f>M2/L2</f>
        <v>3.532874745383511</v>
      </c>
    </row>
    <row r="3" spans="1:14" x14ac:dyDescent="0.3">
      <c r="A3">
        <v>2</v>
      </c>
      <c r="B3" s="1">
        <f>89898100/1000000</f>
        <v>89.898099999999999</v>
      </c>
      <c r="C3" s="1">
        <f>1632800/1000000</f>
        <v>1.6328</v>
      </c>
      <c r="D3" s="2">
        <f t="shared" ref="D3:D11" si="0">B3/C3</f>
        <v>55.057631063204312</v>
      </c>
      <c r="F3">
        <v>2</v>
      </c>
      <c r="G3" s="1">
        <f>7906000/1000000</f>
        <v>7.9059999999999997</v>
      </c>
      <c r="H3" s="1">
        <f>243800/1000000</f>
        <v>0.24379999999999999</v>
      </c>
      <c r="I3" s="2">
        <f t="shared" ref="I3:I11" si="1">G3/H3</f>
        <v>32.428219852337982</v>
      </c>
      <c r="K3">
        <v>2</v>
      </c>
      <c r="L3" s="1">
        <f>4018400/1000000</f>
        <v>4.0183999999999997</v>
      </c>
      <c r="M3" s="1">
        <f>8393500/1000000</f>
        <v>8.3934999999999995</v>
      </c>
      <c r="N3" s="1">
        <f t="shared" ref="N3:N11" si="2">M3/L3</f>
        <v>2.088766673302807</v>
      </c>
    </row>
    <row r="4" spans="1:14" x14ac:dyDescent="0.3">
      <c r="A4">
        <v>3</v>
      </c>
      <c r="B4" s="1">
        <f>81826200/1000000</f>
        <v>81.8262</v>
      </c>
      <c r="C4" s="1">
        <f>1421800/1000000</f>
        <v>1.4218</v>
      </c>
      <c r="D4" s="2">
        <f t="shared" si="0"/>
        <v>57.55113236742158</v>
      </c>
      <c r="F4">
        <v>3</v>
      </c>
      <c r="G4" s="1">
        <f>5349600/1000000</f>
        <v>5.3495999999999997</v>
      </c>
      <c r="H4" s="1">
        <f>238700/1000000</f>
        <v>0.2387</v>
      </c>
      <c r="I4" s="2">
        <f t="shared" si="1"/>
        <v>22.411395056556344</v>
      </c>
      <c r="K4">
        <v>3</v>
      </c>
      <c r="L4" s="1">
        <f>3742200/1000000</f>
        <v>3.7422</v>
      </c>
      <c r="M4" s="1">
        <f>8860300/1000000</f>
        <v>8.8603000000000005</v>
      </c>
      <c r="N4" s="1">
        <f t="shared" si="2"/>
        <v>2.3676714232269789</v>
      </c>
    </row>
    <row r="5" spans="1:14" x14ac:dyDescent="0.3">
      <c r="A5">
        <v>4</v>
      </c>
      <c r="B5" s="1">
        <f>82988900/1000000</f>
        <v>82.988900000000001</v>
      </c>
      <c r="C5" s="1">
        <f>1456700/1000000</f>
        <v>1.4567000000000001</v>
      </c>
      <c r="D5" s="2">
        <f t="shared" si="0"/>
        <v>56.970481224685933</v>
      </c>
      <c r="F5">
        <v>4</v>
      </c>
      <c r="G5" s="1">
        <f>5798200/1000000</f>
        <v>5.7981999999999996</v>
      </c>
      <c r="H5" s="1">
        <f>252500/1000000</f>
        <v>0.2525</v>
      </c>
      <c r="I5" s="2">
        <f t="shared" si="1"/>
        <v>22.96316831683168</v>
      </c>
      <c r="K5">
        <v>4</v>
      </c>
      <c r="L5" s="1">
        <f>4718600/1000000</f>
        <v>4.7186000000000003</v>
      </c>
      <c r="M5" s="1">
        <f>13250200/1000000</f>
        <v>13.2502</v>
      </c>
      <c r="N5" s="1">
        <f t="shared" si="2"/>
        <v>2.8080786674013476</v>
      </c>
    </row>
    <row r="6" spans="1:14" x14ac:dyDescent="0.3">
      <c r="A6">
        <v>5</v>
      </c>
      <c r="B6" s="1">
        <f>81609000/1000000</f>
        <v>81.608999999999995</v>
      </c>
      <c r="C6" s="1">
        <f>1397400/1000000</f>
        <v>1.3974</v>
      </c>
      <c r="D6" s="2">
        <f t="shared" si="0"/>
        <v>58.400601116358949</v>
      </c>
      <c r="F6">
        <v>5</v>
      </c>
      <c r="G6" s="1">
        <f>5584500/1000000</f>
        <v>5.5845000000000002</v>
      </c>
      <c r="H6" s="1">
        <f>236200/1000000</f>
        <v>0.23619999999999999</v>
      </c>
      <c r="I6" s="2">
        <f t="shared" si="1"/>
        <v>23.643099068585947</v>
      </c>
      <c r="K6">
        <v>5</v>
      </c>
      <c r="L6" s="1">
        <f>2985200/1000000</f>
        <v>2.9851999999999999</v>
      </c>
      <c r="M6" s="1">
        <f>11186400/1000000</f>
        <v>11.186400000000001</v>
      </c>
      <c r="N6" s="1">
        <f t="shared" si="2"/>
        <v>3.7472866139622139</v>
      </c>
    </row>
    <row r="7" spans="1:14" x14ac:dyDescent="0.3">
      <c r="A7">
        <v>6</v>
      </c>
      <c r="B7" s="1">
        <f>95197800/1000000</f>
        <v>95.197800000000001</v>
      </c>
      <c r="C7" s="1">
        <f>2204800/1000000</f>
        <v>2.2048000000000001</v>
      </c>
      <c r="D7" s="2">
        <f t="shared" si="0"/>
        <v>43.177521770682148</v>
      </c>
      <c r="F7">
        <v>6</v>
      </c>
      <c r="G7" s="1">
        <f>5171000/1000000</f>
        <v>5.1710000000000003</v>
      </c>
      <c r="H7" s="1">
        <f>292700/1000000</f>
        <v>0.29270000000000002</v>
      </c>
      <c r="I7" s="2">
        <f t="shared" si="1"/>
        <v>17.666552784420908</v>
      </c>
      <c r="K7">
        <v>6</v>
      </c>
      <c r="L7" s="1">
        <f>2794400/1000000</f>
        <v>2.7944</v>
      </c>
      <c r="M7" s="1">
        <f>11879100/1000000</f>
        <v>11.879099999999999</v>
      </c>
      <c r="N7" s="1">
        <f t="shared" si="2"/>
        <v>4.2510377898654452</v>
      </c>
    </row>
    <row r="8" spans="1:14" x14ac:dyDescent="0.3">
      <c r="A8">
        <v>7</v>
      </c>
      <c r="B8" s="1">
        <f>94490200/1000000</f>
        <v>94.490200000000002</v>
      </c>
      <c r="C8" s="1">
        <f>1655600/1000000</f>
        <v>1.6556</v>
      </c>
      <c r="D8" s="2">
        <f t="shared" si="0"/>
        <v>57.073085286301044</v>
      </c>
      <c r="F8">
        <v>7</v>
      </c>
      <c r="G8" s="1">
        <f>5182400/1000000</f>
        <v>5.1824000000000003</v>
      </c>
      <c r="H8" s="1">
        <f>289200/1000000</f>
        <v>0.28920000000000001</v>
      </c>
      <c r="I8" s="2">
        <f t="shared" si="1"/>
        <v>17.919778699861688</v>
      </c>
      <c r="K8">
        <v>7</v>
      </c>
      <c r="L8" s="1">
        <f>3220800/1000000</f>
        <v>3.2208000000000001</v>
      </c>
      <c r="M8" s="1">
        <f>10114000/1000000</f>
        <v>10.114000000000001</v>
      </c>
      <c r="N8" s="1">
        <f t="shared" si="2"/>
        <v>3.1402136115250872</v>
      </c>
    </row>
    <row r="9" spans="1:14" x14ac:dyDescent="0.3">
      <c r="A9">
        <v>8</v>
      </c>
      <c r="B9" s="1">
        <f>96334300/1000000</f>
        <v>96.334299999999999</v>
      </c>
      <c r="C9" s="1">
        <f>1629400/1000000</f>
        <v>1.6294</v>
      </c>
      <c r="D9" s="2">
        <f t="shared" si="0"/>
        <v>59.122560451700011</v>
      </c>
      <c r="F9">
        <v>8</v>
      </c>
      <c r="G9" s="1">
        <f>5437800/1000000</f>
        <v>5.4378000000000002</v>
      </c>
      <c r="H9" s="1">
        <f>256000/1000000</f>
        <v>0.25600000000000001</v>
      </c>
      <c r="I9" s="2">
        <f t="shared" si="1"/>
        <v>21.241406250000001</v>
      </c>
      <c r="K9">
        <v>8</v>
      </c>
      <c r="L9" s="1">
        <f>2964000/1000000</f>
        <v>2.964</v>
      </c>
      <c r="M9" s="1">
        <f>10899400/1000000</f>
        <v>10.8994</v>
      </c>
      <c r="N9" s="1">
        <f t="shared" si="2"/>
        <v>3.6772604588394064</v>
      </c>
    </row>
    <row r="10" spans="1:14" x14ac:dyDescent="0.3">
      <c r="A10">
        <v>9</v>
      </c>
      <c r="B10" s="1">
        <f>103164400/1000000</f>
        <v>103.1644</v>
      </c>
      <c r="C10" s="1">
        <f>1736100/1000000</f>
        <v>1.7361</v>
      </c>
      <c r="D10" s="2">
        <f t="shared" si="0"/>
        <v>59.423074707678133</v>
      </c>
      <c r="F10">
        <v>9</v>
      </c>
      <c r="G10" s="1">
        <f>5052600/1000000</f>
        <v>5.0526</v>
      </c>
      <c r="H10" s="1">
        <f>213900/1000000</f>
        <v>0.21390000000000001</v>
      </c>
      <c r="I10" s="2">
        <f t="shared" si="1"/>
        <v>23.621318373071528</v>
      </c>
      <c r="K10">
        <v>9</v>
      </c>
      <c r="L10" s="1">
        <f>3106700/1000000</f>
        <v>3.1067</v>
      </c>
      <c r="M10" s="1">
        <f>11435100/1000000</f>
        <v>11.4351</v>
      </c>
      <c r="N10" s="1">
        <f t="shared" si="2"/>
        <v>3.680786686838124</v>
      </c>
    </row>
    <row r="11" spans="1:14" x14ac:dyDescent="0.3">
      <c r="A11">
        <v>10</v>
      </c>
      <c r="B11" s="1">
        <f>80017900/1000000</f>
        <v>80.017899999999997</v>
      </c>
      <c r="C11" s="1">
        <f>1369800/1000000</f>
        <v>1.3697999999999999</v>
      </c>
      <c r="D11" s="2">
        <f t="shared" si="0"/>
        <v>58.415754124689741</v>
      </c>
      <c r="F11">
        <v>10</v>
      </c>
      <c r="G11" s="1">
        <f>6076300/1000000</f>
        <v>6.0762999999999998</v>
      </c>
      <c r="H11" s="1">
        <f>254600/1000000</f>
        <v>0.25459999999999999</v>
      </c>
      <c r="I11" s="2">
        <f t="shared" si="1"/>
        <v>23.866064414768264</v>
      </c>
      <c r="K11">
        <v>10</v>
      </c>
      <c r="L11" s="1">
        <f>3675100/1000000</f>
        <v>3.6751</v>
      </c>
      <c r="M11" s="1">
        <f>9432200/1000000</f>
        <v>9.4321999999999999</v>
      </c>
      <c r="N11" s="1">
        <f t="shared" si="2"/>
        <v>2.5665151968653914</v>
      </c>
    </row>
    <row r="12" spans="1:14" x14ac:dyDescent="0.3">
      <c r="A12" t="s">
        <v>9</v>
      </c>
      <c r="B12">
        <f>AVERAGE(B2:B11)</f>
        <v>90.202119999999994</v>
      </c>
      <c r="C12" s="1">
        <f t="shared" ref="C12:D12" si="3">AVERAGE(C2:C11)</f>
        <v>1.6326399999999999</v>
      </c>
      <c r="D12" s="2">
        <f t="shared" si="3"/>
        <v>55.815254463741994</v>
      </c>
      <c r="F12" t="s">
        <v>9</v>
      </c>
      <c r="G12" s="1">
        <f>AVERAGE(G2:G11)</f>
        <v>5.8189499999999992</v>
      </c>
      <c r="H12" s="1">
        <f t="shared" ref="H12" si="4">AVERAGE(H2:H11)</f>
        <v>0.25535999999999998</v>
      </c>
      <c r="I12" s="2">
        <f t="shared" ref="I12" si="5">AVERAGE(I2:I11)</f>
        <v>22.978672745411551</v>
      </c>
      <c r="K12" t="s">
        <v>9</v>
      </c>
      <c r="L12" s="1">
        <f>AVERAGE(L2:L11)</f>
        <v>3.4220099999999993</v>
      </c>
      <c r="M12" s="1">
        <f t="shared" ref="M12" si="6">AVERAGE(M2:M11)</f>
        <v>10.603010000000001</v>
      </c>
      <c r="N12" s="2">
        <f t="shared" ref="N12" si="7">AVERAGE(N2:N11)</f>
        <v>3.1860491867210312</v>
      </c>
    </row>
    <row r="13" spans="1:14" x14ac:dyDescent="0.3">
      <c r="A13" t="s">
        <v>11</v>
      </c>
      <c r="B13">
        <f>MAX(B2:B11)</f>
        <v>103.1644</v>
      </c>
      <c r="C13" s="1">
        <f t="shared" ref="C13:D13" si="8">MAX(C2:C11)</f>
        <v>2.2048000000000001</v>
      </c>
      <c r="D13" s="2">
        <f t="shared" si="8"/>
        <v>59.423074707678133</v>
      </c>
      <c r="F13" t="s">
        <v>11</v>
      </c>
      <c r="G13" s="1">
        <f>MAX(G2:G11)</f>
        <v>7.9059999999999997</v>
      </c>
      <c r="H13" s="1">
        <f t="shared" ref="H13:I13" si="9">MAX(H2:H11)</f>
        <v>0.29270000000000002</v>
      </c>
      <c r="I13" s="2">
        <f t="shared" si="9"/>
        <v>32.428219852337982</v>
      </c>
      <c r="K13" t="s">
        <v>11</v>
      </c>
      <c r="L13" s="1">
        <f>MAX(L2:L11)</f>
        <v>4.7186000000000003</v>
      </c>
      <c r="M13" s="1">
        <f t="shared" ref="M13:N13" si="10">MAX(M2:M11)</f>
        <v>13.2502</v>
      </c>
      <c r="N13" s="2">
        <f t="shared" si="10"/>
        <v>4.2510377898654452</v>
      </c>
    </row>
    <row r="14" spans="1:14" x14ac:dyDescent="0.3">
      <c r="A14" t="s">
        <v>12</v>
      </c>
      <c r="B14">
        <f>MIN(B2:B11)</f>
        <v>80.017899999999997</v>
      </c>
      <c r="C14" s="1">
        <f t="shared" ref="C14:D14" si="11">MIN(C2:C11)</f>
        <v>1.3697999999999999</v>
      </c>
      <c r="D14" s="2">
        <f t="shared" si="11"/>
        <v>43.177521770682148</v>
      </c>
      <c r="F14" t="s">
        <v>12</v>
      </c>
      <c r="G14" s="1">
        <f>MIN(G2:G11)</f>
        <v>5.0526</v>
      </c>
      <c r="H14" s="1">
        <f t="shared" ref="H14:I14" si="12">MIN(H2:H11)</f>
        <v>0.21390000000000001</v>
      </c>
      <c r="I14" s="2">
        <f t="shared" si="12"/>
        <v>17.666552784420908</v>
      </c>
      <c r="K14" t="s">
        <v>12</v>
      </c>
      <c r="L14" s="1">
        <f>MIN(L2:L11)</f>
        <v>2.7944</v>
      </c>
      <c r="M14" s="1">
        <f t="shared" ref="M14:N14" si="13">MIN(M2:M11)</f>
        <v>8.3934999999999995</v>
      </c>
      <c r="N14" s="2">
        <f t="shared" si="13"/>
        <v>2.088766673302807</v>
      </c>
    </row>
    <row r="15" spans="1:14" x14ac:dyDescent="0.3">
      <c r="D15" s="2"/>
    </row>
    <row r="31" spans="6:14" x14ac:dyDescent="0.3">
      <c r="F31" t="s">
        <v>7</v>
      </c>
      <c r="G31" t="s">
        <v>0</v>
      </c>
      <c r="H31" t="s">
        <v>1</v>
      </c>
      <c r="I31" t="s">
        <v>4</v>
      </c>
      <c r="K31" t="s">
        <v>8</v>
      </c>
      <c r="L31" t="s">
        <v>0</v>
      </c>
      <c r="M31" t="s">
        <v>1</v>
      </c>
      <c r="N31" t="s">
        <v>4</v>
      </c>
    </row>
    <row r="32" spans="6:14" x14ac:dyDescent="0.3">
      <c r="F32">
        <v>1</v>
      </c>
      <c r="G32" s="1">
        <f>4395000/1000000</f>
        <v>4.3949999999999996</v>
      </c>
      <c r="H32" s="1">
        <f>240200/1000000</f>
        <v>0.2402</v>
      </c>
      <c r="I32" s="2">
        <f>G32/H32</f>
        <v>18.297252289758532</v>
      </c>
      <c r="K32">
        <v>1</v>
      </c>
      <c r="L32" s="1">
        <f>2953300/1000000</f>
        <v>2.9533</v>
      </c>
      <c r="M32" s="1">
        <f>10885900/1000000</f>
        <v>10.885899999999999</v>
      </c>
      <c r="N32" s="1">
        <f>M32/L32</f>
        <v>3.686012257474689</v>
      </c>
    </row>
    <row r="33" spans="6:14" x14ac:dyDescent="0.3">
      <c r="F33">
        <v>2</v>
      </c>
      <c r="G33" s="1">
        <f>3542900/1000000</f>
        <v>3.5428999999999999</v>
      </c>
      <c r="H33" s="1">
        <f>186600/1000000</f>
        <v>0.18659999999999999</v>
      </c>
      <c r="I33" s="2">
        <f t="shared" ref="I33:I41" si="14">G33/H33</f>
        <v>18.986602357984996</v>
      </c>
      <c r="K33">
        <v>2</v>
      </c>
      <c r="L33" s="1">
        <f>3684100/1000000</f>
        <v>3.6840999999999999</v>
      </c>
      <c r="M33" s="1">
        <f>11317100/1000000</f>
        <v>11.3171</v>
      </c>
      <c r="N33" s="1">
        <f t="shared" ref="N33:N41" si="15">M33/L33</f>
        <v>3.0718764420075462</v>
      </c>
    </row>
    <row r="34" spans="6:14" x14ac:dyDescent="0.3">
      <c r="F34">
        <v>3</v>
      </c>
      <c r="G34" s="1">
        <f>4813700/1000000</f>
        <v>4.8136999999999999</v>
      </c>
      <c r="H34" s="1">
        <f>200000/1000000</f>
        <v>0.2</v>
      </c>
      <c r="I34" s="2">
        <f t="shared" si="14"/>
        <v>24.068499999999997</v>
      </c>
      <c r="K34">
        <v>3</v>
      </c>
      <c r="L34" s="1">
        <f>3668500/1000000</f>
        <v>3.6684999999999999</v>
      </c>
      <c r="M34" s="1">
        <f>13162500/1000000</f>
        <v>13.1625</v>
      </c>
      <c r="N34" s="1">
        <f t="shared" si="15"/>
        <v>3.5879787379037755</v>
      </c>
    </row>
    <row r="35" spans="6:14" x14ac:dyDescent="0.3">
      <c r="F35">
        <v>4</v>
      </c>
      <c r="G35" s="1">
        <f>4084000/1000000</f>
        <v>4.0839999999999996</v>
      </c>
      <c r="H35" s="1">
        <f>247400/1000000</f>
        <v>0.24740000000000001</v>
      </c>
      <c r="I35" s="2">
        <f t="shared" si="14"/>
        <v>16.507679870654808</v>
      </c>
      <c r="K35">
        <v>4</v>
      </c>
      <c r="L35" s="1">
        <f>3434400/1000000</f>
        <v>3.4344000000000001</v>
      </c>
      <c r="M35" s="1">
        <f>13629400/1000000</f>
        <v>13.6294</v>
      </c>
      <c r="N35" s="1">
        <f t="shared" si="15"/>
        <v>3.9684952247845331</v>
      </c>
    </row>
    <row r="36" spans="6:14" x14ac:dyDescent="0.3">
      <c r="F36">
        <v>5</v>
      </c>
      <c r="G36" s="1">
        <f>4323900/1000000</f>
        <v>4.3239000000000001</v>
      </c>
      <c r="H36" s="1">
        <f>336600/1000000</f>
        <v>0.33660000000000001</v>
      </c>
      <c r="I36" s="2">
        <f t="shared" si="14"/>
        <v>12.845811051693405</v>
      </c>
      <c r="K36">
        <v>5</v>
      </c>
      <c r="L36" s="1">
        <f>3166400/1000000</f>
        <v>3.1663999999999999</v>
      </c>
      <c r="M36" s="1">
        <f>10543200/1000000</f>
        <v>10.543200000000001</v>
      </c>
      <c r="N36" s="1">
        <f t="shared" si="15"/>
        <v>3.3297119757453264</v>
      </c>
    </row>
    <row r="37" spans="6:14" x14ac:dyDescent="0.3">
      <c r="F37">
        <v>6</v>
      </c>
      <c r="G37" s="1">
        <f>6865900/1000000</f>
        <v>6.8658999999999999</v>
      </c>
      <c r="H37" s="1">
        <f>286400/1000000</f>
        <v>0.28639999999999999</v>
      </c>
      <c r="I37" s="2">
        <f t="shared" si="14"/>
        <v>23.973114525139664</v>
      </c>
      <c r="K37">
        <v>6</v>
      </c>
      <c r="L37" s="1">
        <f>4674900/1000000</f>
        <v>4.6749000000000001</v>
      </c>
      <c r="M37" s="1">
        <f>10866800/1000000</f>
        <v>10.8668</v>
      </c>
      <c r="N37" s="1">
        <f t="shared" si="15"/>
        <v>2.3244989197629895</v>
      </c>
    </row>
    <row r="38" spans="6:14" x14ac:dyDescent="0.3">
      <c r="F38">
        <v>7</v>
      </c>
      <c r="G38" s="1">
        <f>3694200/1000000</f>
        <v>3.6941999999999999</v>
      </c>
      <c r="H38" s="1">
        <f>229500/1000000</f>
        <v>0.22950000000000001</v>
      </c>
      <c r="I38" s="2">
        <f t="shared" si="14"/>
        <v>16.096732026143791</v>
      </c>
      <c r="K38">
        <v>7</v>
      </c>
      <c r="L38" s="1">
        <f>3541200/1000000</f>
        <v>3.5411999999999999</v>
      </c>
      <c r="M38" s="1">
        <f>8864100/1000000</f>
        <v>8.8641000000000005</v>
      </c>
      <c r="N38" s="1">
        <f t="shared" si="15"/>
        <v>2.5031345306675705</v>
      </c>
    </row>
    <row r="39" spans="6:14" x14ac:dyDescent="0.3">
      <c r="F39">
        <v>8</v>
      </c>
      <c r="G39" s="1">
        <f>4263200/1000000</f>
        <v>4.2632000000000003</v>
      </c>
      <c r="H39" s="1">
        <f>214900/1000000</f>
        <v>0.21490000000000001</v>
      </c>
      <c r="I39" s="2">
        <f t="shared" si="14"/>
        <v>19.838064215914379</v>
      </c>
      <c r="K39">
        <v>8</v>
      </c>
      <c r="L39" s="1">
        <f>4876300/1000000</f>
        <v>4.8762999999999996</v>
      </c>
      <c r="M39" s="1">
        <f>9247200/1000000</f>
        <v>9.2471999999999994</v>
      </c>
      <c r="N39" s="1">
        <f t="shared" si="15"/>
        <v>1.8963558435699199</v>
      </c>
    </row>
    <row r="40" spans="6:14" x14ac:dyDescent="0.3">
      <c r="F40">
        <v>9</v>
      </c>
      <c r="G40" s="1">
        <f>3879200/1000000</f>
        <v>3.8792</v>
      </c>
      <c r="H40" s="1">
        <f>217700/1000000</f>
        <v>0.2177</v>
      </c>
      <c r="I40" s="2">
        <f t="shared" si="14"/>
        <v>17.819016995865869</v>
      </c>
      <c r="K40">
        <v>9</v>
      </c>
      <c r="L40" s="1">
        <f>3351700/1000000</f>
        <v>3.3517000000000001</v>
      </c>
      <c r="M40" s="1">
        <f>10179600/1000000</f>
        <v>10.179600000000001</v>
      </c>
      <c r="N40" s="1">
        <f t="shared" si="15"/>
        <v>3.0371453292359103</v>
      </c>
    </row>
    <row r="41" spans="6:14" x14ac:dyDescent="0.3">
      <c r="F41">
        <v>10</v>
      </c>
      <c r="G41" s="1">
        <f>4128400/1000000</f>
        <v>4.1284000000000001</v>
      </c>
      <c r="H41" s="1">
        <f>258800/1000000</f>
        <v>0.25879999999999997</v>
      </c>
      <c r="I41" s="2">
        <f t="shared" si="14"/>
        <v>15.952086553323031</v>
      </c>
      <c r="K41">
        <v>10</v>
      </c>
      <c r="L41" s="1">
        <f>3144600/1000000</f>
        <v>3.1446000000000001</v>
      </c>
      <c r="M41" s="1">
        <f>9893800/1000000</f>
        <v>9.8938000000000006</v>
      </c>
      <c r="N41" s="1">
        <f t="shared" si="15"/>
        <v>3.1462825160592764</v>
      </c>
    </row>
    <row r="42" spans="6:14" x14ac:dyDescent="0.3">
      <c r="F42" t="s">
        <v>9</v>
      </c>
      <c r="G42" s="1">
        <f>AVERAGE(G32:G41)</f>
        <v>4.3990399999999994</v>
      </c>
      <c r="H42" s="1">
        <f t="shared" ref="H42" si="16">AVERAGE(H32:H41)</f>
        <v>0.24181</v>
      </c>
      <c r="I42" s="2">
        <f t="shared" ref="I42" si="17">AVERAGE(I32:I41)</f>
        <v>18.438485988647848</v>
      </c>
      <c r="K42" t="s">
        <v>9</v>
      </c>
      <c r="L42" s="1">
        <f>AVERAGE(L32:L41)</f>
        <v>3.6495399999999996</v>
      </c>
      <c r="M42" s="1">
        <f t="shared" ref="M42" si="18">AVERAGE(M32:M41)</f>
        <v>10.85896</v>
      </c>
      <c r="N42" s="2">
        <f t="shared" ref="N42" si="19">AVERAGE(N32:N41)</f>
        <v>3.0551491777211535</v>
      </c>
    </row>
    <row r="43" spans="6:14" x14ac:dyDescent="0.3">
      <c r="F43" t="s">
        <v>11</v>
      </c>
      <c r="G43" s="1">
        <f>MAX(G32:G41)</f>
        <v>6.8658999999999999</v>
      </c>
      <c r="H43" s="1">
        <f t="shared" ref="H43:I43" si="20">MAX(H32:H41)</f>
        <v>0.33660000000000001</v>
      </c>
      <c r="I43" s="2">
        <f t="shared" si="20"/>
        <v>24.068499999999997</v>
      </c>
      <c r="K43" t="s">
        <v>11</v>
      </c>
      <c r="L43" s="1">
        <f>MAX(L32:L41)</f>
        <v>4.8762999999999996</v>
      </c>
      <c r="M43" s="1">
        <f t="shared" ref="M43:N43" si="21">MAX(M32:M41)</f>
        <v>13.6294</v>
      </c>
      <c r="N43" s="2">
        <f t="shared" si="21"/>
        <v>3.9684952247845331</v>
      </c>
    </row>
    <row r="44" spans="6:14" x14ac:dyDescent="0.3">
      <c r="F44" t="s">
        <v>12</v>
      </c>
      <c r="G44" s="1">
        <f>MIN(G32:G41)</f>
        <v>3.5428999999999999</v>
      </c>
      <c r="H44" s="1">
        <f t="shared" ref="H44:I44" si="22">MIN(H32:H41)</f>
        <v>0.18659999999999999</v>
      </c>
      <c r="I44" s="2">
        <f t="shared" si="22"/>
        <v>12.845811051693405</v>
      </c>
      <c r="K44" t="s">
        <v>12</v>
      </c>
      <c r="L44" s="1">
        <f>MIN(L32:L41)</f>
        <v>2.9533</v>
      </c>
      <c r="M44" s="1">
        <f t="shared" ref="M44:N44" si="23">MIN(M32:M41)</f>
        <v>8.8641000000000005</v>
      </c>
      <c r="N44" s="2">
        <f t="shared" si="23"/>
        <v>1.8963558435699199</v>
      </c>
    </row>
    <row r="46" spans="6:14" x14ac:dyDescent="0.3">
      <c r="F46" t="s">
        <v>5</v>
      </c>
      <c r="G46" t="s">
        <v>0</v>
      </c>
      <c r="H46" t="s">
        <v>1</v>
      </c>
      <c r="I46" t="s">
        <v>4</v>
      </c>
    </row>
    <row r="47" spans="6:14" x14ac:dyDescent="0.3">
      <c r="F47">
        <v>1</v>
      </c>
      <c r="G47" s="1">
        <f>1578500/1000000</f>
        <v>1.5785</v>
      </c>
      <c r="H47" s="1">
        <f>208500/1000000</f>
        <v>0.20849999999999999</v>
      </c>
      <c r="I47" s="2">
        <f>G47/H47</f>
        <v>7.5707434052757794</v>
      </c>
    </row>
    <row r="48" spans="6:14" x14ac:dyDescent="0.3">
      <c r="F48">
        <v>2</v>
      </c>
      <c r="G48" s="1">
        <f>4989800/1000000</f>
        <v>4.9897999999999998</v>
      </c>
      <c r="H48" s="1">
        <f>296500/1000000</f>
        <v>0.29649999999999999</v>
      </c>
      <c r="I48" s="2">
        <f t="shared" ref="I48:I56" si="24">G48/H48</f>
        <v>16.829005059021924</v>
      </c>
    </row>
    <row r="49" spans="6:9" x14ac:dyDescent="0.3">
      <c r="F49">
        <v>3</v>
      </c>
      <c r="G49" s="1">
        <f>3553500/1000000</f>
        <v>3.5535000000000001</v>
      </c>
      <c r="H49" s="1">
        <f>201300/1000000</f>
        <v>0.20130000000000001</v>
      </c>
      <c r="I49" s="2">
        <f t="shared" si="24"/>
        <v>17.652757078986586</v>
      </c>
    </row>
    <row r="50" spans="6:9" x14ac:dyDescent="0.3">
      <c r="F50">
        <v>4</v>
      </c>
      <c r="G50" s="1">
        <f>4645600/1000000</f>
        <v>4.6456</v>
      </c>
      <c r="H50" s="1">
        <f>375900/1000000</f>
        <v>0.37590000000000001</v>
      </c>
      <c r="I50" s="2">
        <f t="shared" si="24"/>
        <v>12.358606012237297</v>
      </c>
    </row>
    <row r="51" spans="6:9" x14ac:dyDescent="0.3">
      <c r="F51">
        <v>5</v>
      </c>
      <c r="G51" s="1">
        <f>4707700/1000000</f>
        <v>4.7077</v>
      </c>
      <c r="H51" s="1">
        <f>211900/1000000</f>
        <v>0.21190000000000001</v>
      </c>
      <c r="I51" s="2">
        <f t="shared" si="24"/>
        <v>22.216611609249647</v>
      </c>
    </row>
    <row r="52" spans="6:9" x14ac:dyDescent="0.3">
      <c r="F52">
        <v>6</v>
      </c>
      <c r="G52" s="1">
        <f>7056300/1000000</f>
        <v>7.0563000000000002</v>
      </c>
      <c r="H52" s="1">
        <f>215300/1000000</f>
        <v>0.21529999999999999</v>
      </c>
      <c r="I52" s="2">
        <f t="shared" si="24"/>
        <v>32.774268462610316</v>
      </c>
    </row>
    <row r="53" spans="6:9" x14ac:dyDescent="0.3">
      <c r="F53">
        <v>7</v>
      </c>
      <c r="G53" s="1">
        <f>4113700/1000000</f>
        <v>4.1136999999999997</v>
      </c>
      <c r="H53" s="1">
        <f>247100/1000000</f>
        <v>0.24709999999999999</v>
      </c>
      <c r="I53" s="2">
        <f t="shared" si="24"/>
        <v>16.647915823553216</v>
      </c>
    </row>
    <row r="54" spans="6:9" x14ac:dyDescent="0.3">
      <c r="F54">
        <v>8</v>
      </c>
      <c r="G54" s="1">
        <f>6305400/1000000</f>
        <v>6.3053999999999997</v>
      </c>
      <c r="H54" s="1">
        <f>359800/1000000</f>
        <v>0.35980000000000001</v>
      </c>
      <c r="I54" s="2">
        <f t="shared" si="24"/>
        <v>17.524735964424679</v>
      </c>
    </row>
    <row r="55" spans="6:9" x14ac:dyDescent="0.3">
      <c r="F55">
        <v>9</v>
      </c>
      <c r="G55" s="1">
        <f>5325900/1000000</f>
        <v>5.3258999999999999</v>
      </c>
      <c r="H55" s="1">
        <f>280200/1000000</f>
        <v>0.2802</v>
      </c>
      <c r="I55" s="2">
        <f t="shared" si="24"/>
        <v>19.007494646680943</v>
      </c>
    </row>
    <row r="56" spans="6:9" x14ac:dyDescent="0.3">
      <c r="F56">
        <v>10</v>
      </c>
      <c r="G56" s="1">
        <f>8678900/1000000</f>
        <v>8.6789000000000005</v>
      </c>
      <c r="H56" s="1">
        <f>246800/1000000</f>
        <v>0.24679999999999999</v>
      </c>
      <c r="I56" s="2">
        <f t="shared" si="24"/>
        <v>35.165721231766618</v>
      </c>
    </row>
    <row r="57" spans="6:9" x14ac:dyDescent="0.3">
      <c r="F57" t="s">
        <v>9</v>
      </c>
      <c r="G57" s="1">
        <f>AVERAGE(G47:G56)</f>
        <v>5.0955299999999992</v>
      </c>
      <c r="H57" s="1">
        <f t="shared" ref="H57" si="25">AVERAGE(H47:H56)</f>
        <v>0.26432999999999995</v>
      </c>
      <c r="I57" s="2">
        <f t="shared" ref="I57" si="26">AVERAGE(I47:I56)</f>
        <v>19.774785929380702</v>
      </c>
    </row>
    <row r="58" spans="6:9" x14ac:dyDescent="0.3">
      <c r="F58" t="s">
        <v>11</v>
      </c>
      <c r="G58" s="1">
        <f>MAX(G47:G56)</f>
        <v>8.6789000000000005</v>
      </c>
      <c r="H58" s="1">
        <f t="shared" ref="H58:I58" si="27">MAX(H47:H56)</f>
        <v>0.37590000000000001</v>
      </c>
      <c r="I58" s="2">
        <f t="shared" si="27"/>
        <v>35.165721231766618</v>
      </c>
    </row>
    <row r="59" spans="6:9" x14ac:dyDescent="0.3">
      <c r="F59" t="s">
        <v>12</v>
      </c>
      <c r="G59" s="1">
        <f>MIN(G47:G56)</f>
        <v>1.5785</v>
      </c>
      <c r="H59" s="1">
        <f t="shared" ref="H59:I59" si="28">MIN(H47:H56)</f>
        <v>0.20130000000000001</v>
      </c>
      <c r="I59" s="2">
        <f t="shared" si="28"/>
        <v>7.5707434052757794</v>
      </c>
    </row>
    <row r="60" spans="6:9" x14ac:dyDescent="0.3">
      <c r="F6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Mougin</dc:creator>
  <cp:lastModifiedBy>Enzo Mougin</cp:lastModifiedBy>
  <dcterms:created xsi:type="dcterms:W3CDTF">2025-03-24T14:15:43Z</dcterms:created>
  <dcterms:modified xsi:type="dcterms:W3CDTF">2025-03-24T15:51:10Z</dcterms:modified>
</cp:coreProperties>
</file>