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 sheetId="2" r:id="rId6"/>
    <sheet state="visible" name="Diseño" sheetId="3" r:id="rId7"/>
    <sheet state="visible" name="Semana Diagnostico" sheetId="4" r:id="rId8"/>
    <sheet state="visible" name="S.2" sheetId="5" r:id="rId9"/>
    <sheet state="visible" name="S.3" sheetId="6" r:id="rId10"/>
    <sheet state="visible" name="S.4" sheetId="7" r:id="rId11"/>
    <sheet state="visible" name="S.5" sheetId="8" r:id="rId12"/>
    <sheet state="visible" name="S.6" sheetId="9" r:id="rId13"/>
    <sheet state="visible" name="S.7" sheetId="10" r:id="rId14"/>
    <sheet state="visible" name="S.8" sheetId="11" r:id="rId15"/>
    <sheet state="visible" name="S.9" sheetId="12" r:id="rId16"/>
    <sheet state="visible" name="S.10" sheetId="13" r:id="rId17"/>
    <sheet state="visible" name="S.11" sheetId="14" r:id="rId18"/>
    <sheet state="visible" name="Proyectos" sheetId="15" r:id="rId19"/>
    <sheet state="visible" name="Practicas" sheetId="16" r:id="rId20"/>
    <sheet state="visible" name="Tareas" sheetId="17" r:id="rId21"/>
    <sheet state="visible"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<sst xmlns="http://schemas.openxmlformats.org/spreadsheetml/2006/main" count="1693" uniqueCount="504">
  <si>
    <t>Competencias que se formaran en el Segundo Semestre 2026</t>
  </si>
  <si>
    <t xml:space="preserve">Resumen de Ponderacion y Horas </t>
  </si>
  <si>
    <t>Curso</t>
  </si>
  <si>
    <t>Diseño de Contenido Curricular</t>
  </si>
  <si>
    <t>724 - Teoría de Sistemas 2</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</si>
  <si>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</si>
  <si>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</si>
  <si>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</si>
  <si>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</si>
  <si>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</si>
  <si>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</si>
  <si>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Competencias relacionadas al perfil del egresado (Especifica)</t>
  </si>
  <si>
    <t>Ponderacion</t>
  </si>
  <si>
    <t>Horas utilizadas</t>
  </si>
  <si>
    <t>Aspectos clave que debe abordar</t>
  </si>
  <si>
    <t>semestre que aplica</t>
  </si>
  <si>
    <t>Competencias relacionadas al perfil del egresado (General)</t>
  </si>
  <si>
    <t>Semana</t>
  </si>
  <si>
    <t>Valor Maximo Recomendado</t>
  </si>
  <si>
    <t>Actividades durante el peridodo de laboratorio</t>
  </si>
  <si>
    <t>No.</t>
  </si>
  <si>
    <t>Tiempo</t>
  </si>
  <si>
    <t>Competencia</t>
  </si>
  <si>
    <t>Demuestra pensamiento crítico, actitud investigativa y rigor analítico en el
 planteamiento y la resolución de problemas complejos.</t>
  </si>
  <si>
    <t>Nombre de la Unidad</t>
  </si>
  <si>
    <t>Tema</t>
  </si>
  <si>
    <t>Subtema</t>
  </si>
  <si>
    <t>Mes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</si>
  <si>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</si>
  <si>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</si>
  <si>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identifica los conceptos fundamentales de la teoría de sistemas y del pensamiento sistémico mediante la revisión de definiciones, clasificaciones y características básicas de los sistemas para reconocer los elementos esenciales en el análisis y modelación de sistemas</t>
  </si>
  <si>
    <t>Tiempo Aproximado</t>
  </si>
  <si>
    <t>Unidad 1: Introducción al pensamiento sistémico</t>
  </si>
  <si>
    <t>Maneja e Interpreta adecuadamente datos masivos, sean estos
 estructurados o no estructurados, facilitando su visualización e interpretación
 de forma eficaz en apoyo a la toma de decisiones.</t>
  </si>
  <si>
    <t>Los modelos mentales o sistemas abstractos diseñados</t>
  </si>
  <si>
    <t>Pensar en sistemas o pensar de otras maneras</t>
  </si>
  <si>
    <t>Julio</t>
  </si>
  <si>
    <t>No puedes excederte mas de 15 minutos</t>
  </si>
  <si>
    <t>La realidad interpretada por el pensamiento</t>
  </si>
  <si>
    <t xml:space="preserve">Nombre y Formacion Academica </t>
  </si>
  <si>
    <t>La dinámica de los modelos mentales</t>
  </si>
  <si>
    <t xml:space="preserve">Presentacion breve </t>
  </si>
  <si>
    <t>La escalera de inferencias</t>
  </si>
  <si>
    <t xml:space="preserve">Experiencia docente y profecional </t>
  </si>
  <si>
    <t>Modelos mentales sistémicos</t>
  </si>
  <si>
    <t>Explicacion de mi experiencia estudiantil y laboral</t>
  </si>
  <si>
    <t>Toma decisiones profesionales con base en fundamentos teóricos, datos e
 información pertinente, válida y confiable.</t>
  </si>
  <si>
    <t>Comparación de sistemas abstractos</t>
  </si>
  <si>
    <t>Rol del auxiliar dentro del curso (funciones, actividades y apoyo a los estudiantes).</t>
  </si>
  <si>
    <t>Operaciones mentales básicas</t>
  </si>
  <si>
    <t>Explicar de manera breve mis funciones a los estudiantes</t>
  </si>
  <si>
    <t>Unidad 2: Los sistemas abstractos diseñados</t>
  </si>
  <si>
    <t>Operaciones mentales sistémicas</t>
  </si>
  <si>
    <t>Operaciones mentales básicas del pensamiento sistémico</t>
  </si>
  <si>
    <t>Construye soluciones integrales trabajando en forma colaborativa y
 propositiva en equipos interdisciplinarios, en forma presencial o utilizando
 plataformas virtuales.</t>
  </si>
  <si>
    <t>Expectativas sobre la dinámica del curso</t>
  </si>
  <si>
    <t>El pensamiento sistémico como emergente</t>
  </si>
  <si>
    <t>Obtener y verificar el nivel de los estudiantes con los temas</t>
  </si>
  <si>
    <t>Hábitos relacionados con los sistemas abstractos</t>
  </si>
  <si>
    <t xml:space="preserve">Tiempo que emplearas </t>
  </si>
  <si>
    <t>El pensamiento adaptativo complejo</t>
  </si>
  <si>
    <t>La perspectiva en sistemas abstractos</t>
  </si>
  <si>
    <t>Demuestra destreza y habilidad en la selección, uso y adaptación de
 herramientas metodológicas, tecnológicas, equipos especializados y en la
 lectura e interpretación de datos, pertinentes al contexto de su ejercicio
 profesional.</t>
  </si>
  <si>
    <t>Comparación entre sistemas diseñados</t>
  </si>
  <si>
    <t>Ejemplos de sistemas mentales</t>
  </si>
  <si>
    <t xml:space="preserve">2. Evaluación de Conocimientos Previos                             </t>
  </si>
  <si>
    <t>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t>
  </si>
  <si>
    <t>Compartir modelos mentales</t>
  </si>
  <si>
    <t>Sistemas abstractos diseñados compartidos (paradigmas)</t>
  </si>
  <si>
    <t>Paradigmas en contextos específicos</t>
  </si>
  <si>
    <t>No puedes excederte mas de 45 minutos</t>
  </si>
  <si>
    <t>Actualiza permanente sus conocimientos relacionados con TIC en general,
 apoyándose en las estrategias de aprendizaje apropiadas.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</si>
  <si>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</si>
  <si>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Comparación con otros paradigmas</t>
  </si>
  <si>
    <t>Redactaras de 15 a 20 preguntas con sus respectivas respuestas , por lo que debes escoge los temas que evaluaras</t>
  </si>
  <si>
    <t>Ejemplos de paradigmas compartidos</t>
  </si>
  <si>
    <t>Sección 1: Conocimientos previos
1. ¿Has trabajado antes con el enfoque de pensamiento sistémico?
Sí, bastante.
Lo he escuchado pero no lo he usado.
No, nunca.
2. ¿Conoces qué es un sistema en el contexto de Teoría de Sistemas?
Sí, puedo explicarlo y dar ejemplos.
Tengo una idea general.
No, no lo conozco.
3.¿Has realizado antes diagramas de ciclos causales o de influencia?
Sí, en cursos previos.
Solo he visto ejemplos.
No, nunca.
4.¿Conoces qué es un modelo de simulación?
Sí, he trabajado con alguno.
Tengo una idea, pero no lo he hecho.
No, no lo conozco.
Sección 2: Herramientas y experiencia
5.¿Has utilizado alguna vez el software Vensim?
Sí.
Solo lo he visto en tutoriales.
No.
6.¿Has trabajado con alguna otra herramienta de simulación dinámica?
Sí (ej. Stella, AnyLogic).
No.
7.¿Conoces qué es la diferencia entre un diagrama causal y un modelo de flujos y niveles?
Sí, lo entiendo claramente.
Tengo una idea general.
No, no lo conozco.
Sección 3: Conceptos del curso
8.¿Sabes qué significa retroalimentación positiva y negativa en un sistema?
Sí, lo tengo claro.
Lo he escuchado pero no lo entiendo del todo.
No.
9.¿Has trabajado con variables endógenas y exógenas en un modelo?
Sí.
No, pero me interesa aprender.
No.
10.¿Conoces qué son niveles (stocks) y flujos (flows) en dinámica de sistemas?
Sí, sé diferenciarlos.
He visto ejemplos pero no lo aplico.
No.
11.¿Sabes qué es la validación de un modelo en simulación?
Sí, conozco métodos de validación.
Lo he escuchado.
No.
12. ¿Tienes experiencia usando datos históricos para modelar o simular?
Sí, en otros cursos.
Algo, pero muy poco.
No.
Sección 4: Metodologías de trabajo
13.¿Has trabajado antes con metodologías ágiles (Scrum, Kanban, retrospectivas)?
Sí, en varios proyectos.
Solo en uno.
Nunca.
14.¿Has usado Trello u otra herramienta similar de gestión de proyectos?
Sí, varias veces.
Una vez.
Nunca.
15.¿Has usado alguna herramienta de transcripción o resúmenes automáticos (ej. Read AI)?
Sí.
No, pero me interesa.
No.</t>
  </si>
  <si>
    <t>Impacto en toma de decisiones</t>
  </si>
  <si>
    <t>Redactaras una parte practica para realizar la evaluacion de conocimientos previos</t>
  </si>
  <si>
    <t>Realizaremos un pequeño ejemplo de un EDT, para prepararnos en la siguiente clase formal.</t>
  </si>
  <si>
    <t>Evolución de paradigmas</t>
  </si>
  <si>
    <t>Cambios en modelos mentales compartidos</t>
  </si>
  <si>
    <t>No</t>
  </si>
  <si>
    <t>Perspectiva de sistemas abstractos diseñados</t>
  </si>
  <si>
    <t>Las perspectivas y los sistemas abstractos</t>
  </si>
  <si>
    <t>Proyectos</t>
  </si>
  <si>
    <t>Tipo</t>
  </si>
  <si>
    <t>Verbo en Presente</t>
  </si>
  <si>
    <t>Objeto de la acción</t>
  </si>
  <si>
    <t>Impacto de las perspectivas en decisiones</t>
  </si>
  <si>
    <t>Operaciones mentales avanzadas en pensamiento sistémico</t>
  </si>
  <si>
    <t>Interrelaciones entre modelos mentales</t>
  </si>
  <si>
    <t xml:space="preserve">3. Presentación de los Estudiantes                                </t>
  </si>
  <si>
    <t>Ejemplos de pensamiento circular</t>
  </si>
  <si>
    <t>[Palabras conectoreas] Herramientas o metodología</t>
  </si>
  <si>
    <t>Ejemplos de retroalimentación</t>
  </si>
  <si>
    <t>[Palabras conectoreas] Condiciones específicas</t>
  </si>
  <si>
    <t>Prácticas</t>
  </si>
  <si>
    <t>Conclusión de los modelos mentales diseñados</t>
  </si>
  <si>
    <t>Unidad 3: Desarrollando el pensamiento sistémico complejo</t>
  </si>
  <si>
    <t>Nivel</t>
  </si>
  <si>
    <t>Fundamentos del pensamiento sistémico</t>
  </si>
  <si>
    <t>Concepto de sistema</t>
  </si>
  <si>
    <t>Estructura de los sistemas</t>
  </si>
  <si>
    <t>Agosto</t>
  </si>
  <si>
    <t>Subsistemas y suprasistemas</t>
  </si>
  <si>
    <t xml:space="preserve">No puedes excederte mas de 30 minutos </t>
  </si>
  <si>
    <t>Tareas</t>
  </si>
  <si>
    <t>Sinergia y emergencia en sistemas</t>
  </si>
  <si>
    <t>Seleccion al Azar de 5 Estudiantes</t>
  </si>
  <si>
    <t>Escoger de manera aleatoria a los estudiantes para una breve presentacion</t>
  </si>
  <si>
    <t>Complejidad sistémica</t>
  </si>
  <si>
    <t>Especifica</t>
  </si>
  <si>
    <t>aplica</t>
  </si>
  <si>
    <t>El universo como conjunto de sistemas</t>
  </si>
  <si>
    <t>modelos, métodos y artefactos de gestión de proyectos</t>
  </si>
  <si>
    <t>Ejemplos de sistemas naturales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</si>
  <si>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</si>
  <si>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analiza las estructuras y dinámicas de sistemas simples y complejos mediante mapas DSRP, diagramas de ciclos causales y arquetipos sistémicos para identificar patrones de comportamiento y oportunidades de intervención sistémica</t>
  </si>
  <si>
    <t>Indica las preguntas que responderan los estudiantes afortunados</t>
  </si>
  <si>
    <t>Clasificación de sistemas</t>
  </si>
  <si>
    <t>Cual es nombre, como siente la carrera hasta al momento, Que espera del curso</t>
  </si>
  <si>
    <t>Sistemas físicos diseñados</t>
  </si>
  <si>
    <t>mediante el uso de herramientas de planificación, simulación y monitoreo</t>
  </si>
  <si>
    <t>Sistemas abstractos diseñados</t>
  </si>
  <si>
    <t>para resolver escenarios comunes en proyectos y mejorar la toma de decisiones en la gestión de proyectos tecnológicos</t>
  </si>
  <si>
    <t>Sistemas de actividad humana</t>
  </si>
  <si>
    <t>Total</t>
  </si>
  <si>
    <t>Diferencias entre sistemas naturales y diseñados</t>
  </si>
  <si>
    <t>Aplicar</t>
  </si>
  <si>
    <t>Sistemas complejos adaptativos</t>
  </si>
  <si>
    <t>Características de sistemas de actividad humana</t>
  </si>
  <si>
    <t xml:space="preserve">4.  Senso de Horarios de Calificación                                  </t>
  </si>
  <si>
    <t>Ejemplos de interacciones entre sistemas</t>
  </si>
  <si>
    <t xml:space="preserve">Deberas estar recordando que deben contestar el formulario asi mismo dejar el link fijado en la llamada </t>
  </si>
  <si>
    <t>Validacion</t>
  </si>
  <si>
    <t>Niveles de perspectiva</t>
  </si>
  <si>
    <t>Modelo del iceberg</t>
  </si>
  <si>
    <t>Esta actividad quedara abierta hasta el fin de la clase. pero emplearas 5 min especificos para la actividad</t>
  </si>
  <si>
    <t xml:space="preserve">Link de google forms donde este el cuestionario </t>
  </si>
  <si>
    <t>Interpretación de niveles de percepción</t>
  </si>
  <si>
    <t>Impacto de la percepción en el pensamiento sistémico</t>
  </si>
  <si>
    <t>Ejemplos de interpretación de sistemas</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</si>
  <si>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</si>
  <si>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Cambio de perspectiva en análisis sistémico</t>
  </si>
  <si>
    <t xml:space="preserve">Dias y posibles Horarios de calificacion </t>
  </si>
  <si>
    <t>Impacto del cambio de nivel de percepción</t>
  </si>
  <si>
    <t>Ejemplos de interacción entre niveles de perspectiva</t>
  </si>
  <si>
    <t>Hábitos de un pensador sistémico</t>
  </si>
  <si>
    <t>Introducción a los hábitos de un pensador sistémico</t>
  </si>
  <si>
    <t>Ejemplos de hábitos de pensamiento sistémico</t>
  </si>
  <si>
    <t xml:space="preserve">5.  Mostrar Programa del Curso                 </t>
  </si>
  <si>
    <t>Aplicación de hábitos en la vida diaria</t>
  </si>
  <si>
    <t>General</t>
  </si>
  <si>
    <t>integra</t>
  </si>
  <si>
    <t>estructura de desglose de trabajo (EDT)</t>
  </si>
  <si>
    <t>Relación entre hábitos y toma de decisiones</t>
  </si>
  <si>
    <t>No puedes excederte mas de 30 minutos</t>
  </si>
  <si>
    <t>Mejora de habilidades de pensamiento sistémico</t>
  </si>
  <si>
    <t>utilizando herramientas de planificación como Project Libre</t>
  </si>
  <si>
    <t>Desarrollo de la perspectiva a largo plazo</t>
  </si>
  <si>
    <t>para organizar tareas y entregables en proyectos complejos</t>
  </si>
  <si>
    <t>Casos de estudio</t>
  </si>
  <si>
    <t>Unidad 4: Modelación y simulación dinámica de sistemas</t>
  </si>
  <si>
    <t>Modelación de sistemas con mapas sistémicos</t>
  </si>
  <si>
    <t>Introducción a los mapas sistémicos</t>
  </si>
  <si>
    <t xml:space="preserve">6. Evaluación de Conocimientos del Curso Actual                                  </t>
  </si>
  <si>
    <t>Mapas DSRP</t>
  </si>
  <si>
    <t>Diagramas de causa y efecto</t>
  </si>
  <si>
    <t>Septiembre</t>
  </si>
  <si>
    <t xml:space="preserve">Redactaras 20 preguntas con sus respectivas respuestas </t>
  </si>
  <si>
    <t>Interdependencias sistémicas</t>
  </si>
  <si>
    <t>Comportamientos circulares en sistemas</t>
  </si>
  <si>
    <t>Ejemplos de interdependencias sistémicas</t>
  </si>
  <si>
    <t>¿Has trabajado antes con el enfoque de pensamiento sistémico?
Si
No
Creo que lo he Escuchado
2.
ENCUESTA
 •  30 segundo  •  Sin puntuar
¿Conoces qué es un sistema en el contexto de Teoría de Sistemas?
Si
No
Creo que lo he escuchado
3.
ENCUESTA
 •  30 segundo  •  Sin puntuar
¿Has realizado antes diagramas de ciclos causales o de influencia?
Si
No
He visto ejemplos
4.
ENCUESTA
 •  30 segundo  •  Sin puntuar
¿Conoces qué es un modelo de simulación?
Si
No
Tal Vez
5.
ENCUESTA
 •  30 segundo  •  Sin puntuar
¿Has utilizado alguna vez el software Vensim?
Si
No
Tal vez
6.
ENCUESTA
 •  30 segundo  •  Sin puntuar
¿Has trabajado con alguna otra herramienta de simulación dinámica?
Si
No
Tal vez
7.
ENCUESTA
 •  30 segundo  •  Sin puntuar
¿Conoces qué es la diferencia entre un diagrama causal y un modelo de flujos y niveles?
Si
No
Tal Vez
8.
ENCUESTA
 •  30 segundo  •  Sin puntuar
¿Sabes qué significa retroalimentación positiva y negativa en un sistema?
Si
No
Lo he escuchado
9.
ENCUESTA
 •  30 segundo  •  Sin puntuar
¿Has trabajado con variables endógenas y exógenas en un modelo?
Si
No
Tal Vez
10.
ENCUESTA
 •  30 segundo  •  Sin puntuar
¿Conoces qué son niveles (stocks) y flujos (flows) en dinámica de sistemas?
Si
No
Tal Vez
11.
ENCUESTA
 •  30 segundo  •  Sin puntuar
¿Sabes qué es la validación de un modelo en simulación?
Si
No
Tal Vez
12.
ENCUESTA
 •  30 segundo  •  Sin puntuar
¿Has trabajado antes con metodologías ágiles (Scrum, Kanban, retrospectivas)?
Si
No
Lo he escuchado
13.
ENCUESTA
 •  30 segundo  •  Sin puntuar
¿Has usado Trello u otra herramienta similar de gestión de proyectos?
Si
No
Lo he escuchado</t>
  </si>
  <si>
    <t>Introducción a la retroalimentación</t>
  </si>
  <si>
    <t>Estructuras circulares de retroalimentación</t>
  </si>
  <si>
    <t>Retroalimentación de compensación y refuerzo</t>
  </si>
  <si>
    <t>Ejemplos de retroalimentación en sistemas</t>
  </si>
  <si>
    <t>revisa</t>
  </si>
  <si>
    <t>riesgos y variables críticas en proyectos</t>
  </si>
  <si>
    <t>empleando técnicas de identificación y evaluación de riesgos</t>
  </si>
  <si>
    <t>Impacto de la retroalimentación en el comportamiento de sistemas</t>
  </si>
  <si>
    <t>para la formulación de estrategias de mitigación y control</t>
  </si>
  <si>
    <t>Analizar</t>
  </si>
  <si>
    <t>Retroalimentación y toma de decisiones</t>
  </si>
  <si>
    <t>Acumulaciones y tasas de cambio</t>
  </si>
  <si>
    <t>Diagramas de ciclos causales a flujos y niveles</t>
  </si>
  <si>
    <t>Ejemplos de ciclos causales</t>
  </si>
  <si>
    <t>principios de calidad, eficiencia y control de tiempos</t>
  </si>
  <si>
    <t>mediante el uso de cronogramas, presupuestos y simuladores</t>
  </si>
  <si>
    <t>para mejorar el desempeño y cumplimiento de los objetivos de proyectos de TI</t>
  </si>
  <si>
    <t>Simulación con VENSIM</t>
  </si>
  <si>
    <t>Introducción a VENSIM</t>
  </si>
  <si>
    <t>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t>
  </si>
  <si>
    <t>Ejemplos de simulaciones en VENSIM</t>
  </si>
  <si>
    <t>Análisis de resultados de simulaciones</t>
  </si>
  <si>
    <t>Simulación de sistemas complejos</t>
  </si>
  <si>
    <t>Impacto de los cambios en variables</t>
  </si>
  <si>
    <t>Integración de VENSIM en la toma de decisiones</t>
  </si>
  <si>
    <t>Ejemplos prácticos con simulaciones</t>
  </si>
  <si>
    <t>Unidad 5: Toma de decisiones sistémicas</t>
  </si>
  <si>
    <t>Patrones y tendencias en sistemas</t>
  </si>
  <si>
    <t>Identificación de patrones sistémicos</t>
  </si>
  <si>
    <t>combina</t>
  </si>
  <si>
    <t>prácticas ágiles de gestión de proyectos</t>
  </si>
  <si>
    <t>Ejemplos de patrones y tendencias en sistemas</t>
  </si>
  <si>
    <t>a través del uso de marcos como Scrum y Kanban</t>
  </si>
  <si>
    <t>para la ejecución iterativa de entregables y mejora continua del equipo</t>
  </si>
  <si>
    <t>Crear</t>
  </si>
  <si>
    <t>Predicción de comportamientos en sistemas</t>
  </si>
  <si>
    <t>Impacto de patrones en toma de decisiones</t>
  </si>
  <si>
    <t>Ejemplos de arquetipos sistémicos comunes</t>
  </si>
  <si>
    <t>Arquetipos y resolución de problemas sistémicos</t>
  </si>
  <si>
    <t>Octubre</t>
  </si>
  <si>
    <t>Toma de decisiones sistémicas</t>
  </si>
  <si>
    <t>Uso de VENSIM para la toma de decisiones</t>
  </si>
  <si>
    <t>Desarrollo de estrategias de toma de decisiones</t>
  </si>
  <si>
    <t>valida</t>
  </si>
  <si>
    <t>el desempeño de proyectos tecnológicos</t>
  </si>
  <si>
    <t>utilizando el método del valor ganado (EVM) y reportes de avance</t>
  </si>
  <si>
    <t>para tomar decisiones correctivas basadas en datos objetivos</t>
  </si>
  <si>
    <t>Evaluar</t>
  </si>
  <si>
    <t>Análisis de ejemplos reales</t>
  </si>
  <si>
    <t>Hábitos para análisis de información sistémica</t>
  </si>
  <si>
    <t>Resolución de problemas con enfoque sistémico</t>
  </si>
  <si>
    <t>Impacto de la retroalimentación en decisiones</t>
  </si>
  <si>
    <t>define</t>
  </si>
  <si>
    <t>requisitos y objetivos de proyectos tecnológicos</t>
  </si>
  <si>
    <t>mediante métodos de recolección y análisis de información</t>
  </si>
  <si>
    <t>para establecer el alcance y éxito del proyecto en entornos organizacionales</t>
  </si>
  <si>
    <t>Comprender</t>
  </si>
  <si>
    <t>modelos y técnicas de estimación de duración de tareas (como PERT o juicio experto)</t>
  </si>
  <si>
    <t>mediante el uso de software de gestión como ProjectLibre</t>
  </si>
  <si>
    <t>para establecer una hoja de ruta fundamental que guíe la ejecución del proyecto</t>
  </si>
  <si>
    <t>analiza</t>
  </si>
  <si>
    <t>las relaciones lógicas y dependencias entre actividades del proyecto (FS, SS, FF, SF)</t>
  </si>
  <si>
    <t>empleando métodos visuales como el Diagrama de Red (PERT/CPM)</t>
  </si>
  <si>
    <t>para identificar el camino crítico y optimizar el flujo de trabajo mediante técnicas de paralelización</t>
  </si>
  <si>
    <t>técnicas de estimación de costos (análoga, paramétrica o ascendente)</t>
  </si>
  <si>
    <t>mediante el uso de plantillas de cálculo en Microsoft Excel o herramientas de Sistemas ERP</t>
  </si>
  <si>
    <t>para establecer límites claros de gasto y una base sólida para el control financiero del proyecto</t>
  </si>
  <si>
    <t>riesgos y variables críticas en proyectos de sistemas (internos y externos)</t>
  </si>
  <si>
    <t>empleando el monitoreo mensual de variaciones y comparativas de gastos reales</t>
  </si>
  <si>
    <t>para evaluar la viabilidad de la inversión y asegurar el cumplimiento de los objetivos tecnológicos ante los stakeholders</t>
  </si>
  <si>
    <t>empleando técnicas de identificación como brainstorming, entrevistas y análisis de proyectos pasados</t>
  </si>
  <si>
    <t>para la formulación de estrategias de mitigación y el mantenimiento de un registro de riesgos centralizado</t>
  </si>
  <si>
    <t>la probabilidad e impacto de eventos inciertos sobre los objetivos del proyecto (cronograma, presupuesto y calidad)</t>
  </si>
  <si>
    <t>mediante la aplicación de análisis cualitativos y cuantitativos</t>
  </si>
  <si>
    <t>para priorizar acciones de respuesta (mitigación, evitación, transferencia o aceptación) que aseguren el éxito del proyecto</t>
  </si>
  <si>
    <t>Si las competencias son las misma que el semetre anterior compartenos tu opinion de porque no se cambiaron</t>
  </si>
  <si>
    <t>Diseño de la Sesión de Laboratorio</t>
  </si>
  <si>
    <t>Ponderación</t>
  </si>
  <si>
    <t>Validación de Tiempo</t>
  </si>
  <si>
    <t>✅ VALIDACIÓN CORRECTA</t>
  </si>
  <si>
    <t>1. Área Actitudinal (Saber Ser)</t>
  </si>
  <si>
    <t>Tiene que estar en un rango de 3 a 5 minutos</t>
  </si>
  <si>
    <t>Nombre del Valor</t>
  </si>
  <si>
    <t>Responsabilidad y pensamiento Analítico</t>
  </si>
  <si>
    <t>Descripcion</t>
  </si>
  <si>
    <t>Responsabilidad y pensamiento analítico</t>
  </si>
  <si>
    <t>Como se relaciona con los conocimientos de la sesion y se aplicaria</t>
  </si>
  <si>
    <t>Conocimiento: Comprender qué es un alcance y cómo delimita el proyecto.
Aplicación: Formular los objetivos iniciales y metas en un marco ágil para guiar todo el curso.</t>
  </si>
  <si>
    <t>Compromiso y liderazgo profesional</t>
  </si>
  <si>
    <t>2. Área Conocimiento (Saber)</t>
  </si>
  <si>
    <t>No puede exceder los 60 minutos</t>
  </si>
  <si>
    <t>Competencia a desarrollar</t>
  </si>
  <si>
    <t xml:space="preserve">define requisitos y objetivos de proyectos tecnológicos mediante métodos de recolección y análisis de información para establecer el alcance y éxito del proyecto en entornos organizacionales </t>
  </si>
  <si>
    <t>2.1 Contenido</t>
  </si>
  <si>
    <t>Conocimiento: Documentar formalmente la autorización de un proyecto.
Aplicación: Establecer responsables, justificación y primera base para trabajar en equipo.</t>
  </si>
  <si>
    <t>Unidad</t>
  </si>
  <si>
    <t xml:space="preserve">Tema </t>
  </si>
  <si>
    <t>Sub Tema</t>
  </si>
  <si>
    <t>Desarrollo del acta de inicio del proyecto</t>
  </si>
  <si>
    <t>Identificación de los interesados clave</t>
  </si>
  <si>
    <t>Alcance preliminar del proyecto</t>
  </si>
  <si>
    <t>Aprobación formal del proyecto</t>
  </si>
  <si>
    <t>Roles y responsabilidades del equipo del proyecto</t>
  </si>
  <si>
    <t>Estructura de desglose de trabajo (EDT)</t>
  </si>
  <si>
    <t>Introducción a la EDT (WBS)</t>
  </si>
  <si>
    <t xml:space="preserve">Componentes jerárquicos de la EDT
</t>
  </si>
  <si>
    <t>Descomposición de tareas y entregables</t>
  </si>
  <si>
    <t>Niveles de la EDT</t>
  </si>
  <si>
    <t>Herramientas para crear una EDT</t>
  </si>
  <si>
    <t>2.2 Recursos Educativos</t>
  </si>
  <si>
    <t>Tipo de Recurso a utilizar</t>
  </si>
  <si>
    <t>Valor maximo recomendado en Minutos</t>
  </si>
  <si>
    <t>Tiempo Aproximado ( unicamente el valor de minutos )</t>
  </si>
  <si>
    <t>Presentacion</t>
  </si>
  <si>
    <t>Obligatorio</t>
  </si>
  <si>
    <t>Video</t>
  </si>
  <si>
    <t>3 a 6 minutos</t>
  </si>
  <si>
    <t>Lectura</t>
  </si>
  <si>
    <t>Optativo</t>
  </si>
  <si>
    <t>Ejercicio Demostrativo</t>
  </si>
  <si>
    <t>Transparencia</t>
  </si>
  <si>
    <t>3. Área de Habilidades (Saber Hacer)</t>
  </si>
  <si>
    <t>Tiene que estar en un rango de 30 a 50 minutos</t>
  </si>
  <si>
    <t>Actividad 1 (Obligatoria)</t>
  </si>
  <si>
    <t>Competencia que predomina en la actividad</t>
  </si>
  <si>
    <t>cualidad de ser claro, honesto y sincero, permitiendo el acceso libre y público a la información sobre actos, decisiones y uso de recursos de instituciones públicas o privadas</t>
  </si>
  <si>
    <t>actividades</t>
  </si>
  <si>
    <t>La transparencia en la gestión de proyectos significa comunicar con
honestidad y claridad el estado real de los avances, incluyendo tanto los
éxitos como los desafíos enfrentados.
Reportar retrasos o problemas de manera oportuna no es una señal de
debilidad, sino una práctica profesional que permite al equipo tomar
decisiones informadas y aplicar medidas correctivas efectivas.</t>
  </si>
  <si>
    <t>Coloca el tiempo que usar en la actividad, un tiempo sugerido 30 minutos</t>
  </si>
  <si>
    <t>Descripcion de la Actividad</t>
  </si>
  <si>
    <t>Definir el alcance del proyecto predictivo</t>
  </si>
  <si>
    <t>EDT</t>
  </si>
  <si>
    <t>Actividad 2 (Optativa puedes hacerla si lo consideras apropiado)</t>
  </si>
  <si>
    <t>practica</t>
  </si>
  <si>
    <t xml:space="preserve">aplica modelos y técnicas de estimación de duración de tareas (como PERT o juicio experto) mediante el uso de software de gestión como ProjectLibre para establecer una hoja de ruta fundamental que guíe la ejecución del proyecto 							</t>
  </si>
  <si>
    <t>Coloca el tiempo que usar en la actividad, un tiempo sugerido 20 minutos</t>
  </si>
  <si>
    <t xml:space="preserve">analiza las relaciones lógicas y dependencias entre actividades del proyecto (FS, SS, FF, SF) empleando métodos visuales como el Diagrama de Red (PERT/CPM) para identificar el camino crítico y optimizar el flujo de trabajo mediante técnicas de paralelización 							</t>
  </si>
  <si>
    <t>Definir el alcance predictivo del proyecto</t>
  </si>
  <si>
    <t>3. Cierre</t>
  </si>
  <si>
    <t>Tiene que estar en un rango de 10 a 15 minutos</t>
  </si>
  <si>
    <t>Asignacion de Actividades</t>
  </si>
  <si>
    <t>Resolucion de dudas</t>
  </si>
  <si>
    <t>Resuelve alguna duda, asigna las actividades que deben realizar, dudas de proyectos, etc</t>
  </si>
  <si>
    <t xml:space="preserve"> Resolucion de dudas  +  Quizz</t>
  </si>
  <si>
    <t>Clasificacion de Procesos y Tareas del PMBOK</t>
  </si>
  <si>
    <t>Quizz</t>
  </si>
  <si>
    <t>Prudencia</t>
  </si>
  <si>
    <t>Capacidad de anticiparse a problemas financieros mediante la reflexión, la evaluación realista de costos y la toma de decisiones responsables. Implica actuar con cautela al asignar recursos para evitar consecuencias graves que pongan en riesgo la continuidad de los proyectos tecnológicos.</t>
  </si>
  <si>
    <t>Relación con el conocimiento: Se vincula directamente con la necesidad de establecer una Reserva para Contingencias (del 10-15%) y realizar estimaciones basadas en escenarios conservadores en lugar de solo optimistas.Aplicación práctica: El estudiante aplica la prudencia al realizar una Planificación Realista, registrando rigurosamente todas las suposiciones y restricciones financieras para asegurar la trazabilidad y mitigar amenazas como el incremento inesperado de costos o retrasos.</t>
  </si>
  <si>
    <t xml:space="preserve">aplica técnicas de estimación de costos (análoga, paramétrica o ascendente) mediante el uso de plantillas de cálculo en Microsoft Excel o herramientas de Sistemas ERP para establecer límites claros de gasto y una base sólida para el control financiero del proyecto 							</t>
  </si>
  <si>
    <t xml:space="preserve">integra principios de eficiencia y control presupuestario, incluyendo reservas para contingencias empleando el monitoreo mensual de variaciones y comparativas de gastos reales para evaluar la viabilidad de la inversión y asegurar el cumplimiento de los objetivos tecnológicos ante los stakeholders 							</t>
  </si>
  <si>
    <t>Excelencia</t>
  </si>
  <si>
    <t>Compromiso con la calidad en cada etapa del proyecto mediante una actitud constante y proactiva ante la incertidumbre. La excelencia implica no conformarse con soluciones reactivas, sino buscar el rigor analítico en la identificación y documentación de cada riesgo para proteger los resultados del equipo.</t>
  </si>
  <si>
    <t>Relación con el conocimiento: Se vincula con la necesidad de realizar un Análisis Riguroso y una identificación proactiva, utilizando todas las técnicas disponibles (como el análisis de lecciones aprendidas de proyectos pasados) para evitar errores recurrentes.Aplicación práctica: El estudiante demuestra excelencia al elaborar un Registro de Riesgos detallado que no solo mencione el problema, sino que asigne responsables y estrategias de respuesta efectivas, asegurando que el proyecto se mantenga en el camino correcto.</t>
  </si>
  <si>
    <t xml:space="preserve">revisa técnicas de estimación de costos (análoga, paramétrica o ascendente) empleando técnicas de identificación como brainstorming, entrevistas y análisis de proyectos pasados para la formulación de estrategias de mitigación y el mantenimiento de un registro de riesgos centralizado 							</t>
  </si>
  <si>
    <t xml:space="preserve">analiza la probabilidad e impacto de eventos inciertos sobre los objetivos del proyecto (cronograma, presupuesto y calidad) mediante la aplicación de análisis cualitativos y cuantitativos para priorizar acciones de respuesta (mitigación, evitación, transferencia o aceptación) que aseguren el éxito del proyecto 							</t>
  </si>
  <si>
    <t>Project Libre</t>
  </si>
  <si>
    <t>Identificación de Riesgos del Proyecto</t>
  </si>
  <si>
    <t>Organización y control estratégico</t>
  </si>
  <si>
    <t>Conocimiento: Reconocer amenazas y oportunidades.
Aplicación: Prevenir retrasos, fallas técnicas o de coordinación en el proyecto.</t>
  </si>
  <si>
    <t>Análisis objetivo y toma de decisiones</t>
  </si>
  <si>
    <t>Conocimiento: Usar la línea base como referencia de control.
Aplicación: Detectar desviaciones en cronograma y presupuesto.</t>
  </si>
  <si>
    <t xml:space="preserve">valida el desempeño de proyectos tecnológicos utilizando el método del valor ganado (EVM) y reportes de avance para tomar decisiones correctivas basadas en datos objetivos </t>
  </si>
  <si>
    <t xml:space="preserve">integra principios de calidad, eficiencia y control de tiempos mediante el uso de cronogramas, presupuestos y simuladores para mejorar el desempeño y cumplimiento de los objetivos de proyectos de TI </t>
  </si>
  <si>
    <t>Comunicación efectiva y síntesis de información</t>
  </si>
  <si>
    <t>Conocimiento: Relación entre costo, tiempo y avance físico del proyecto.
Aplicación: Reportar a interesados el estado real del proyecto con indicadores.</t>
  </si>
  <si>
    <t xml:space="preserve">combina prácticas ágiles de gestión de proyectos a través del uso de marcos como Scrum y Kanban para la ejecución iterativa de entregables y mejora continua del equipo </t>
  </si>
  <si>
    <t>Aprendizaje reflexivo y mejora continua</t>
  </si>
  <si>
    <t>Conocimiento: Evaluar resultados y reflexionar sobre la gestión.
Aplicación: Documentar experiencias útiles para proyectos futuros.</t>
  </si>
  <si>
    <t>Juego de simulación de cronograma</t>
  </si>
  <si>
    <t xml:space="preserve">Impacto del retraso de tareas en la finalización del proyecto
</t>
  </si>
  <si>
    <t>Presentación de resultados de la simulación</t>
  </si>
  <si>
    <t>Desarrollo de equipos ágiles</t>
  </si>
  <si>
    <t>Principios y características de equipos ágiles</t>
  </si>
  <si>
    <t xml:space="preserve">Roles dentro de un equipo ágil
</t>
  </si>
  <si>
    <t xml:space="preserve">Técnicas para fomentar la colaboración en equipos ágiles
</t>
  </si>
  <si>
    <t xml:space="preserve">Herramientas para la gestión de equipos ágiles (Scrum, Kanban)
</t>
  </si>
  <si>
    <t xml:space="preserve">Implementación de retros en equipos ágiles
</t>
  </si>
  <si>
    <t>Mejora continua en la dinámica del equipo</t>
  </si>
  <si>
    <t xml:space="preserve">Medición del rendimiento de equipos ágiles
</t>
  </si>
  <si>
    <t>Simulación con Scrum y Kanban</t>
  </si>
  <si>
    <t xml:space="preserve">Introducción a Scrum: roles, eventos, artefactos
</t>
  </si>
  <si>
    <t>Compromiso con la configuración precisa y profesional de entornos tecnológicos, buscando la optimización de recursos y la interoperabilidad sin errores. La excelencia se manifiesta en la proactividad para automatizar despliegues y mantener una documentación clara de las conexiones y servicios creados</t>
  </si>
  <si>
    <t>Realizar los entregables con excelente presentacion paralos stakeholders es importante debido a que ellos tomaran las decisiones futuras por lo tanto poner en  practica este valor es indispensable</t>
  </si>
  <si>
    <t>Aplicación de mejora continua</t>
  </si>
  <si>
    <t>La sumatoria de los puntos de los proyectos debe superar el  60% del total de la nota, no puede ser un 100%</t>
  </si>
  <si>
    <t>1. Primer Proyecto</t>
  </si>
  <si>
    <t>Horas para realizarlo</t>
  </si>
  <si>
    <t>Titulo</t>
  </si>
  <si>
    <t>Resolución de dudas + Quizz</t>
  </si>
  <si>
    <t>Qué tecnologías, lenguajes de programación, plataformas, hardware o software se utilizaran</t>
  </si>
  <si>
    <t>Descripción de lo que se realizara</t>
  </si>
  <si>
    <t>2. Segundo Proyecto</t>
  </si>
  <si>
    <t>3. Tercer Proyecto</t>
  </si>
  <si>
    <t>Optativa</t>
  </si>
  <si>
    <t>Aplicar conceptos de planificacion de recursos, control de costos y gestion del cronograma en proyectos mediante simulaciones e informes interactivos.</t>
  </si>
  <si>
    <t>Practicas</t>
  </si>
  <si>
    <t>La sumatoria de los puntos de los practicas debe no debe super el  20%</t>
  </si>
  <si>
    <t>1. Primera Practica</t>
  </si>
  <si>
    <t>Obligatoria</t>
  </si>
  <si>
    <t>Comprende los principios de gestión de proyectos aplicados a contextos reales de salud y tecnología.</t>
  </si>
  <si>
    <t>Implementa ciclos de mejora continua evaluando resultados iterativos para ajustar la toma de decisiones y asegurar el éxito del proyecto.</t>
  </si>
  <si>
    <t>Simulando un proyecto SCRUM con Kanban (Desarrollo y gestion de proyectos predictivos)</t>
  </si>
  <si>
    <t>Scrum y Jira</t>
  </si>
  <si>
    <t>Cada grupo simulara un proyecto usando SCRUM como metodología de reuniones y para verficar y mostrar su proceso usaran tableros Kanban para ilustrarlo</t>
  </si>
  <si>
    <t>2. Segunda Practica</t>
  </si>
  <si>
    <t>Codigo-Nombre</t>
  </si>
  <si>
    <t>Competencias</t>
  </si>
  <si>
    <t>Aplica técnicas de asignación de recursos y control de costos mediante el uso de simuladores interactivos para optimizar el desempeño del proyecto.</t>
  </si>
  <si>
    <t>17 - Área Social Humanística 1</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</si>
  <si>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</si>
  <si>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</si>
  <si>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 xml:space="preserve">Gestión de recursos y costos desde el cronograma: Simulación iterativa.						</t>
  </si>
  <si>
    <t>101 - Área Matemática Básica 1</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</si>
  <si>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</si>
  <si>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</si>
  <si>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5 - Técnicas de Estudio e Investigación</t>
  </si>
  <si>
    <t>Aplica conocimientos tecnológicos con ética profesional y respetando y
 cuidando los recursos naturales, humanos y financieros.</t>
  </si>
  <si>
    <t xml:space="preserve">"Plataforma de Simulación: Juego interactivo ""That PM Game"" para la gestión de proyectos en tiempo real.
Herramientas de Colaboración: Software de videoconferencia para compartir pantalla y trabajo grupal.
Documentación: Procesadores de texto para la elaboración del reporte técnico en formato PDF."							
							</t>
  </si>
  <si>
    <t>39 - Deportes 1</t>
  </si>
  <si>
    <t>6 - Idioma Tecnico 1</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</si>
  <si>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</si>
  <si>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</si>
  <si>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La sumatoria de los puntos de los practicas debe no debe super el  10% de la nota</t>
  </si>
  <si>
    <t xml:space="preserve">Los estudiantes participarán en una experiencia de aprendizaje basada en la práctica donde deberán completar un proyecto en el menor tiempo posible y bajo presupuesto utilizando el simulador That PM Game. El ejercicio se divide en tres fases: primero, realizarán un mínimo de 5 intentos iniciales para documentar decisiones y errores; segundo, analizarán estos datos para mejorar su estrategia de asignación de recursos y priorización de tareas; y finalmente, aplicarán la nueva estrategia en al menos 3 intentos adicionales hasta lograr resultados exitosos consecutivos.							
							</t>
  </si>
  <si>
    <t>Identifica sus necesidades de actualización, capacitación y formación,
 durante su proceso formativo y en el ejercicio profesional, y busca los medios
 para cubrirlas por medios formales e informales, nacionales e
 internacionales, presenciales y en línea.</t>
  </si>
  <si>
    <t>Tarea de fortalecimiento académico</t>
  </si>
  <si>
    <t>103 - Área Matemática Básica 2</t>
  </si>
  <si>
    <t>Comunica a diversos públicos, información de su campo profesional, en
 varios lenguajes y formatos de manera asertiva, clara, rigurosa y precisa, con
 el uso apropiado de recursos tecnológicos.</t>
  </si>
  <si>
    <t>Obligatoria se debe dejar en la sesion de diagnistico</t>
  </si>
  <si>
    <t>960 - Matemática Para Computación 1</t>
  </si>
  <si>
    <t>Se comunica correctamente en su lengua oficial y utiliza una lengua
 extranjera con el dominio requerido para el ejercicio de su profesión.</t>
  </si>
  <si>
    <t>3. Tercera Practica</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</si>
  <si>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</si>
  <si>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</si>
  <si>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</si>
  <si>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</si>
  <si>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</si>
  <si>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</si>
  <si>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</si>
  <si>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</si>
  <si>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</si>
  <si>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</si>
  <si>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Identifica y analiza interesados, riesgos, alcance y restricciones de un proyecto complejo, aplicando metodologías estándar (PMBOK)</t>
  </si>
  <si>
    <t>9 - Idioma Técnico 3</t>
  </si>
  <si>
    <t>Desarrolla entregables claros y estructurados que reflejan profesionalismo y viabilidad técnica.</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</si>
  <si>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</si>
  <si>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</si>
  <si>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</si>
  <si>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</si>
  <si>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</si>
  <si>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</si>
  <si>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</si>
  <si>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</si>
  <si>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</si>
  <si>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</si>
  <si>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</si>
  <si>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</si>
  <si>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</si>
  <si>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</si>
  <si>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</si>
  <si>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</si>
  <si>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</si>
  <si>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</si>
  <si>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</si>
  <si>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</si>
  <si>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</si>
  <si>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</si>
  <si>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Que conocimientos base y competencias esenciales se deben reforzar que permitan al estudiante afrontar con mayor solidez los contenidos del curso</t>
  </si>
  <si>
    <t>120 - Matemática Aplicada 2</t>
  </si>
  <si>
    <t>200 - Ingeniería Eléctrica 1</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</si>
  <si>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</si>
  <si>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</si>
  <si>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</si>
  <si>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</si>
  <si>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</si>
  <si>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</si>
  <si>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</si>
  <si>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</si>
  <si>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4. Cuarta Practica</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</si>
  <si>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</si>
  <si>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</si>
  <si>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</si>
  <si>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</si>
  <si>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</si>
  <si>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</si>
  <si>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</si>
  <si>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</si>
  <si>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</si>
  <si>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</si>
  <si>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</si>
  <si>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</si>
  <si>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</si>
  <si>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</si>
  <si>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1. Primera Tarea</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</si>
  <si>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</si>
  <si>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</si>
  <si>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</si>
  <si>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</si>
  <si>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</si>
  <si>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</si>
  <si>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</si>
  <si>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</si>
  <si>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</si>
  <si>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</si>
  <si>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</si>
  <si>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</si>
  <si>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</si>
  <si>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</si>
  <si>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0089 - Comunicación Asertiva</t>
  </si>
  <si>
    <t>Acta de inicio del Proyecto Salud Conecta</t>
  </si>
  <si>
    <t>Software: Sistema de registro digital de pacientes, control de inventario de medicamentos y generación de reportes epidemiológicos con soporte multilingüe.Hardware: Equipamiento tecnológico para 150 centros de salud rurales e infraestructura de red.Metodología: Estándares de gestión basados en la guía PMBOK y enfoques de sistemas de Kerzner.Plataformas: Integración con sistemas oficiales como SIAS y SIGSA del MSPAS.</t>
  </si>
  <si>
    <t>5. Quinta Practica</t>
  </si>
  <si>
    <t>El estudiante deberá analizar y desarrollar un Acta de Inicio formal para el proyecto SaludConecta, cuyo objetivo es digitalizar la gestión de información en 150 centros de salud rurales de Guatemala. El trabajo incluye la definición del propósito y justificación, redacción de objetivos SMART, análisis detallado de al menos 12 interesados, especificación del alcance (inclusiones y exclusiones), diseño de un cronograma de hitos, identificación y mitigación de riesgos, desglose de un presupuesto de Q8,500,000 y el establecimiento de restricciones y supuestos del proyecto.</t>
  </si>
  <si>
    <t>2. Segunda Tarea</t>
  </si>
  <si>
    <t>Planificación de recursos, costos y simulación del proyecto Salud Conecta</t>
  </si>
  <si>
    <t>Software: ProjectLibre para la asignación de recursos, elaboración del cronograma y control de costos del proyecto.
Herramientas complementarias: Microsoft Excel o Google Sheets para el registro y análisis de costos, recursos y escenarios de simulación.
Metodología: Buenas prácticas de gestión de proyectos basadas en PMBOK para planificación, monitoreo y control.
Plataformas: Computadora con acceso a ProjectLibre y hojas de cálculo para simular ajustes de tiempo, recursos y presupuesto.</t>
  </si>
  <si>
    <t>El estudiante deberá analizar y desarrollar la planificación de recursos y costos del proyecto Salud Conecta, tomando como base el Acta de Inicio elaborada previamente. El trabajo incluye la asignación de recursos humanos, tecnológicos y materiales a las principales actividades del proyecto, la estimación de costos directos e indirectos, la construcción del cronograma base en ProjectLibre y la simulación de al menos dos escenarios que afecten el tiempo o el presupuesto, como retrasos, aumento de costos o cambios en la disponibilidad de recursos. Finalmente, deberá proponer acciones de mejora continua y decisiones correctivas que permitan optimizar el desempeño del proyecto y asegurar su viabilidad técnica y administrativa.</t>
  </si>
  <si>
    <t>6. Sexta Practica</t>
  </si>
  <si>
    <t>3. Tercera Tarea</t>
  </si>
  <si>
    <t>comprensión de los Grupos de Procesos de la Gestión de Proyectos (Iniciación,</t>
  </si>
  <si>
    <t>entender la clasificación de actividades segun el ciclo de vida del proyecto</t>
  </si>
  <si>
    <t xml:space="preserve">https://todopmp.com/ritagame/process-pmbok.html, https://todopmp.com/ritagame/process-pmbok.html                                                        
                                                        </t>
  </si>
  <si>
    <t>Aprender a diferenciar las diferentes actividades del ciclo de vida de un proyecto, mediante 2 juegos interactivos</t>
  </si>
  <si>
    <t>7. Septima Practica</t>
  </si>
  <si>
    <t>4. Cuarta Tarea</t>
  </si>
  <si>
    <t>5. Quinta Tarea</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</si>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</sst>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font>
    <font>
      <b/>
      <sz val="12.0"/>
      <color rgb="FFFBBC04"/>
      <name val="Arial"/>
    </font>
    <font>
      <b/>
      <sz val="12.0"/>
      <color rgb="FFFF6D01"/>
      <name val="Arial"/>
    </font>
    <font>
      <b/>
      <color theme="1"/>
      <name val="Arial"/>
    </font>
    <font>
      <color rgb="FFFFFFFF"/>
      <name val="Arial"/>
    </font>
    <font>
      <b/>
      <sz val="12.0"/>
      <color theme="8"/>
      <name val="Arial"/>
    </font>
    <font>
      <sz val="12.0"/>
      <color rgb="FFB7B7B7"/>
      <name val="Arial"/>
    </font>
    <font>
      <b/>
      <sz val="12.0"/>
      <color theme="1"/>
      <name val="Arial"/>
    </font>
    <font>
      <sz val="12.0"/>
      <color rgb="FF404040"/>
      <name val="Inter"/>
    </font>
    <font/>
    <font>
      <color rgb="FFB7B7B7"/>
      <name val="Arial"/>
    </font>
    <font>
      <b/>
      <sz val="11.0"/>
      <color theme="1"/>
      <name val="Arial"/>
    </font>
    <font>
      <sz val="12.0"/>
      <color theme="1"/>
      <name val="Arial"/>
    </font>
    <font>
      <b/>
      <sz val="13.0"/>
      <color theme="4"/>
      <name val="Arial"/>
    </font>
    <font>
      <b/>
      <sz val="12.0"/>
      <color theme="4"/>
      <name val="Arial"/>
    </font>
    <font>
      <color rgb="FF999999"/>
      <name val="Arial"/>
    </font>
    <font>
      <b/>
      <sz val="13.0"/>
      <color rgb="FF4285F4"/>
      <name val="Arial"/>
    </font>
    <font>
      <b/>
      <sz val="12.0"/>
      <color rgb="FF4285F4"/>
      <name val="Arial"/>
    </font>
    <font>
      <sz val="11.0"/>
      <color theme="1"/>
      <name val="Arial"/>
    </font>
    <font>
      <b/>
      <sz val="12.0"/>
      <color rgb="FFFFFFFF"/>
      <name val="Arial"/>
    </font>
    <font>
      <color rgb="FF000000"/>
      <name val="Arial"/>
    </font>
    <font>
      <color rgb="FFCCCCCC"/>
      <name val="Arial"/>
    </font>
    <font>
      <color rgb="FFD9D9D9"/>
      <name val="Arial"/>
    </font>
    <font>
      <color theme="1"/>
      <name val="Arial"/>
      <scheme val="minor"/>
    </font>
    <font>
      <color rgb="FFEFEFEF"/>
      <name val="Arial"/>
    </font>
    <font>
      <u/>
      <color rgb="FF000000"/>
      <name val="Arial"/>
    </font>
  </fonts>
  <fills count="19">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3F3F3"/>
        <bgColor rgb="FFF3F3F3"/>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EAD1DC"/>
        <bgColor rgb="FFEAD1DC"/>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double">
        <color rgb="FF434343"/>
      </left>
      <right style="double">
        <color rgb="FF434343"/>
      </right>
      <top style="double">
        <color rgb="FF434343"/>
      </top>
      <bottom style="double">
        <color rgb="FF434343"/>
      </bottom>
    </border>
    <border>
      <left style="thin">
        <color rgb="FF000000"/>
      </left>
      <top style="thin">
        <color rgb="FF000000"/>
      </top>
      <bottom style="thin">
        <color rgb="FF000000"/>
      </bottom>
    </border>
    <border>
      <left style="double">
        <color rgb="FF434343"/>
      </left>
      <top style="double">
        <color rgb="FF434343"/>
      </top>
      <bottom style="double">
        <color rgb="FF434343"/>
      </bottom>
    </border>
    <border>
      <top style="thin">
        <color rgb="FF000000"/>
      </top>
      <bottom style="thin">
        <color rgb="FF000000"/>
      </bottom>
    </border>
    <border>
      <right style="thin">
        <color rgb="FF000000"/>
      </right>
      <top style="thin">
        <color rgb="FF000000"/>
      </top>
      <bottom style="thin">
        <color rgb="FF000000"/>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wrapText="1"/>
    </xf>
    <xf borderId="0" fillId="0" fontId="2" numFmtId="0" xfId="0" applyAlignment="1" applyFont="1">
      <alignment horizontal="center" vertical="bottom"/>
    </xf>
    <xf borderId="0" fillId="0" fontId="3" numFmtId="0" xfId="0" applyFont="1"/>
    <xf borderId="0" fillId="0" fontId="4" numFmtId="0" xfId="0" applyFont="1"/>
    <xf borderId="0" fillId="0" fontId="5" numFmtId="0" xfId="0" applyFont="1"/>
    <xf borderId="0" fillId="0" fontId="4" numFmtId="0" xfId="0" applyAlignment="1" applyFont="1">
      <alignment readingOrder="0"/>
    </xf>
    <xf borderId="0" fillId="0" fontId="6" numFmtId="0" xfId="0" applyFont="1"/>
    <xf borderId="0" fillId="0" fontId="4" numFmtId="0" xfId="0" applyAlignment="1" applyFont="1">
      <alignment shrinkToFit="0" wrapText="1"/>
    </xf>
    <xf borderId="0" fillId="0" fontId="1" numFmtId="0" xfId="0" applyFont="1"/>
    <xf borderId="0" fillId="0" fontId="7" numFmtId="0" xfId="0" applyAlignment="1" applyFont="1">
      <alignment shrinkToFit="0" wrapText="1"/>
    </xf>
    <xf borderId="1" fillId="0" fontId="4" numFmtId="0" xfId="0" applyBorder="1" applyFont="1"/>
    <xf borderId="2" fillId="2" fontId="8" numFmtId="0" xfId="0" applyAlignment="1" applyBorder="1" applyFill="1" applyFont="1">
      <alignment shrinkToFit="0" vertical="bottom" wrapText="1"/>
    </xf>
    <xf borderId="3" fillId="3" fontId="9" numFmtId="0" xfId="0" applyAlignment="1" applyBorder="1" applyFill="1" applyFont="1">
      <alignment horizontal="center" shrinkToFit="0" vertical="bottom" wrapText="1"/>
    </xf>
    <xf borderId="4" fillId="2" fontId="8" numFmtId="0" xfId="0" applyAlignment="1" applyBorder="1" applyFill="1" applyFont="1">
      <alignment shrinkToFit="0" vertical="bottom" wrapText="1"/>
    </xf>
    <xf borderId="5" fillId="0" fontId="10" numFmtId="0" xfId="0" applyBorder="1" applyFont="1"/>
    <xf borderId="3" fillId="0" fontId="1" numFmtId="0" xfId="0" applyAlignment="1" applyBorder="1" applyFont="1">
      <alignment vertical="bottom"/>
    </xf>
    <xf borderId="6" fillId="0" fontId="10" numFmtId="0" xfId="0" applyBorder="1" applyFont="1"/>
    <xf borderId="7" fillId="0" fontId="10" numFmtId="0" xfId="0" applyBorder="1" applyFont="1"/>
    <xf borderId="8" fillId="0" fontId="10" numFmtId="0" xfId="0" applyBorder="1" applyFont="1"/>
    <xf borderId="0" fillId="0" fontId="11" numFmtId="0" xfId="0" applyFont="1"/>
    <xf borderId="1" fillId="0" fontId="1" numFmtId="0" xfId="0" applyBorder="1" applyFont="1"/>
    <xf borderId="0" fillId="4" fontId="1" numFmtId="0" xfId="0" applyAlignment="1" applyFill="1" applyFont="1">
      <alignment shrinkToFit="0" vertical="bottom" wrapText="1"/>
    </xf>
    <xf borderId="0" fillId="0" fontId="12" numFmtId="0" xfId="0" applyAlignment="1" applyFont="1">
      <alignment vertical="bottom"/>
    </xf>
    <xf borderId="3" fillId="0" fontId="1" numFmtId="0" xfId="0" applyBorder="1" applyFont="1"/>
    <xf borderId="1" fillId="5" fontId="9" numFmtId="0" xfId="0" applyAlignment="1" applyBorder="1" applyFill="1" applyFont="1">
      <alignment horizontal="center" shrinkToFit="0" vertical="bottom" wrapText="1"/>
    </xf>
    <xf borderId="2" fillId="0" fontId="13" numFmtId="0" xfId="0" applyAlignment="1" applyBorder="1" applyFont="1">
      <alignment shrinkToFit="0" vertical="bottom" wrapText="1"/>
    </xf>
    <xf borderId="1" fillId="0" fontId="12" numFmtId="0" xfId="0" applyAlignment="1" applyBorder="1" applyFont="1">
      <alignment vertical="bottom"/>
    </xf>
    <xf borderId="3" fillId="0" fontId="1" numFmtId="0" xfId="0" applyAlignment="1" applyBorder="1" applyFont="1">
      <alignment readingOrder="0"/>
    </xf>
    <xf borderId="1" fillId="0" fontId="12" numFmtId="0" xfId="0" applyAlignment="1" applyBorder="1" applyFont="1">
      <alignment shrinkToFit="0" vertical="bottom" wrapText="1"/>
    </xf>
    <xf borderId="0" fillId="5" fontId="1" numFmtId="0" xfId="0" applyAlignment="1" applyFill="1" applyFont="1">
      <alignment vertical="bottom"/>
    </xf>
    <xf borderId="0" fillId="0" fontId="1" numFmtId="0" xfId="0" applyAlignment="1" applyFont="1">
      <alignment horizontal="center" shrinkToFit="0" vertical="center" wrapText="1"/>
    </xf>
    <xf borderId="0" fillId="0" fontId="1" numFmtId="0" xfId="0" applyAlignment="1" applyFont="1">
      <alignment horizontal="right" readingOrder="0" vertical="bottom"/>
    </xf>
    <xf borderId="0" fillId="0" fontId="14" numFmtId="0" xfId="0" applyFont="1"/>
    <xf borderId="0" fillId="0" fontId="1" numFmtId="0" xfId="0" applyAlignment="1" applyFont="1">
      <alignment readingOrder="0" shrinkToFit="0" vertical="bottom" wrapText="1"/>
    </xf>
    <xf borderId="0" fillId="0" fontId="15" numFmtId="0" xfId="0" applyAlignment="1" applyFont="1">
      <alignment shrinkToFit="0" wrapText="1"/>
    </xf>
    <xf borderId="0" fillId="0" fontId="1" numFmtId="0" xfId="0" applyAlignment="1" applyFont="1">
      <alignment readingOrder="0" vertical="bottom"/>
    </xf>
    <xf borderId="0" fillId="6" fontId="5" numFmtId="0" xfId="0" applyAlignment="1" applyFill="1" applyFont="1">
      <alignment readingOrder="0"/>
    </xf>
    <xf borderId="0" fillId="0" fontId="16" numFmtId="0" xfId="0" applyFont="1"/>
    <xf borderId="1" fillId="7" fontId="1" numFmtId="0" xfId="0" applyAlignment="1" applyBorder="1" applyFill="1" applyFont="1">
      <alignment shrinkToFit="0" vertical="bottom" wrapText="1"/>
    </xf>
    <xf borderId="1" fillId="5" fontId="9" numFmtId="0" xfId="0" applyAlignment="1" applyBorder="1" applyFill="1" applyFont="1">
      <alignment horizontal="center" vertical="bottom"/>
    </xf>
    <xf borderId="1" fillId="7" fontId="1" numFmtId="0" xfId="0" applyAlignment="1" applyBorder="1" applyFill="1" applyFont="1">
      <alignment shrinkToFit="0" wrapText="1"/>
    </xf>
    <xf borderId="1" fillId="0" fontId="13" numFmtId="0" xfId="0" applyAlignment="1" applyBorder="1" applyFont="1">
      <alignment horizontal="center" vertical="bottom"/>
    </xf>
    <xf borderId="2" fillId="0" fontId="1" numFmtId="0" xfId="0" applyAlignment="1" applyBorder="1" applyFont="1">
      <alignment horizontal="right" vertical="bottom"/>
    </xf>
    <xf borderId="1" fillId="7" fontId="1" numFmtId="0" xfId="0" applyBorder="1" applyFill="1" applyFont="1"/>
    <xf borderId="3" fillId="0" fontId="1" numFmtId="0" xfId="0" applyAlignment="1" applyBorder="1" applyFont="1">
      <alignment horizontal="right" vertical="bottom"/>
    </xf>
    <xf borderId="0" fillId="0" fontId="17" numFmtId="0" xfId="0" applyFont="1"/>
    <xf borderId="2" fillId="0" fontId="1" numFmtId="0" xfId="0" applyAlignment="1" applyBorder="1" applyFont="1">
      <alignment vertical="bottom"/>
    </xf>
    <xf borderId="4" fillId="0" fontId="1" numFmtId="0" xfId="0" applyAlignment="1" applyBorder="1" applyFont="1">
      <alignment vertical="bottom"/>
    </xf>
    <xf borderId="0" fillId="4" fontId="1" numFmtId="0" xfId="0" applyAlignment="1" applyFill="1" applyFont="1">
      <alignment horizontal="right" vertical="bottom"/>
    </xf>
    <xf borderId="1" fillId="8" fontId="12" numFmtId="0" xfId="0" applyAlignment="1" applyBorder="1" applyFill="1" applyFont="1">
      <alignment horizontal="center" vertical="bottom"/>
    </xf>
    <xf borderId="2" fillId="0" fontId="13" numFmtId="0" xfId="0" applyAlignment="1" applyBorder="1" applyFont="1">
      <alignment vertical="bottom"/>
    </xf>
    <xf borderId="3" fillId="0" fontId="1" numFmtId="0" xfId="0" applyAlignment="1" applyBorder="1" applyFont="1">
      <alignment horizontal="right" readingOrder="0" vertical="bottom"/>
    </xf>
    <xf borderId="3" fillId="8" fontId="12" numFmtId="0" xfId="0" applyAlignment="1" applyBorder="1" applyFill="1" applyFont="1">
      <alignment horizontal="center" vertical="bottom"/>
    </xf>
    <xf borderId="0" fillId="0" fontId="18" numFmtId="0" xfId="0" applyAlignment="1" applyFont="1">
      <alignment shrinkToFit="0" wrapText="1"/>
    </xf>
    <xf borderId="1" fillId="8" fontId="12" numFmtId="0" xfId="0" applyAlignment="1" applyBorder="1" applyFill="1" applyFont="1">
      <alignment horizontal="center" shrinkToFit="0" vertical="bottom" wrapText="1"/>
    </xf>
    <xf borderId="3" fillId="8" fontId="12" numFmtId="0" xfId="0" applyAlignment="1" applyBorder="1" applyFill="1" applyFont="1">
      <alignment horizontal="center" shrinkToFit="0" vertical="bottom" wrapText="1"/>
    </xf>
    <xf borderId="0" fillId="6" fontId="5" numFmtId="0" xfId="0" applyFill="1" applyFont="1"/>
    <xf borderId="1" fillId="0" fontId="1" numFmtId="0" xfId="0" applyAlignment="1" applyBorder="1" applyFont="1">
      <alignment horizontal="right" vertical="bottom"/>
    </xf>
    <xf borderId="9" fillId="0" fontId="13" numFmtId="0" xfId="0" applyAlignment="1" applyBorder="1" applyFont="1">
      <alignment vertical="bottom"/>
    </xf>
    <xf borderId="9" fillId="0" fontId="1" numFmtId="0" xfId="0" applyAlignment="1" applyBorder="1" applyFont="1">
      <alignment horizontal="right" vertical="bottom"/>
    </xf>
    <xf borderId="1" fillId="9" fontId="1" numFmtId="0" xfId="0" applyAlignment="1" applyBorder="1" applyFill="1" applyFont="1">
      <alignment vertical="bottom"/>
    </xf>
    <xf borderId="3" fillId="10" fontId="1" numFmtId="0" xfId="0" applyAlignment="1" applyBorder="1" applyFill="1" applyFont="1">
      <alignment vertical="bottom"/>
    </xf>
    <xf borderId="6" fillId="10" fontId="1" numFmtId="0" xfId="0" applyAlignment="1" applyBorder="1" applyFill="1" applyFont="1">
      <alignment vertical="bottom"/>
    </xf>
    <xf borderId="10" fillId="0" fontId="1" numFmtId="0" xfId="0" applyAlignment="1" applyBorder="1" applyFont="1">
      <alignment vertical="bottom"/>
    </xf>
    <xf borderId="11" fillId="0" fontId="10" numFmtId="0" xfId="0" applyBorder="1" applyFont="1"/>
    <xf borderId="1" fillId="11" fontId="1" numFmtId="0" xfId="0" applyAlignment="1" applyBorder="1" applyFill="1" applyFont="1">
      <alignment vertical="bottom"/>
    </xf>
    <xf borderId="12" fillId="0" fontId="10" numFmtId="0" xfId="0" applyBorder="1" applyFont="1"/>
    <xf borderId="3" fillId="12" fontId="1" numFmtId="0" xfId="0" applyAlignment="1" applyBorder="1" applyFill="1" applyFont="1">
      <alignment vertical="bottom"/>
    </xf>
    <xf borderId="1" fillId="7" fontId="8" numFmtId="0" xfId="0" applyAlignment="1" applyBorder="1" applyFill="1" applyFont="1">
      <alignment shrinkToFit="0" vertical="bottom" wrapText="1"/>
    </xf>
    <xf borderId="6" fillId="12" fontId="1" numFmtId="0" xfId="0" applyAlignment="1" applyBorder="1" applyFill="1" applyFont="1">
      <alignment vertical="bottom"/>
    </xf>
    <xf borderId="1" fillId="13" fontId="1" numFmtId="0" xfId="0" applyAlignment="1" applyBorder="1" applyFill="1" applyFont="1">
      <alignment vertical="bottom"/>
    </xf>
    <xf borderId="1" fillId="5" fontId="1" numFmtId="0" xfId="0" applyAlignment="1" applyBorder="1" applyFill="1" applyFont="1">
      <alignment vertical="bottom"/>
    </xf>
    <xf borderId="1" fillId="7" fontId="1" numFmtId="0" xfId="0" applyAlignment="1" applyBorder="1" applyFill="1" applyFont="1">
      <alignment horizontal="right" vertical="bottom"/>
    </xf>
    <xf borderId="13" fillId="14" fontId="8" numFmtId="0" xfId="0" applyAlignment="1" applyBorder="1" applyFill="1" applyFont="1">
      <alignment shrinkToFit="0" vertical="bottom" wrapText="1"/>
    </xf>
    <xf borderId="3" fillId="15" fontId="19" numFmtId="0" xfId="0" applyAlignment="1" applyBorder="1" applyFill="1" applyFont="1">
      <alignment horizontal="center" shrinkToFit="0" vertical="bottom" wrapText="1"/>
    </xf>
    <xf borderId="14" fillId="14" fontId="1" numFmtId="0" xfId="0" applyAlignment="1" applyBorder="1" applyFill="1" applyFont="1">
      <alignment shrinkToFit="0" vertical="bottom" wrapText="1"/>
    </xf>
    <xf borderId="15" fillId="0" fontId="10" numFmtId="0" xfId="0" applyBorder="1" applyFont="1"/>
    <xf borderId="3" fillId="10" fontId="1" numFmtId="0" xfId="0" applyAlignment="1" applyBorder="1" applyFill="1" applyFont="1">
      <alignment vertical="bottom"/>
    </xf>
    <xf borderId="16" fillId="0" fontId="10" numFmtId="0" xfId="0" applyBorder="1" applyFont="1"/>
    <xf borderId="6" fillId="10" fontId="1" numFmtId="0" xfId="0" applyAlignment="1" applyBorder="1" applyFill="1" applyFont="1">
      <alignment vertical="bottom"/>
    </xf>
    <xf borderId="1" fillId="11" fontId="1" numFmtId="0" xfId="0" applyAlignment="1" applyBorder="1" applyFill="1" applyFont="1">
      <alignment vertical="bottom"/>
    </xf>
    <xf borderId="3" fillId="12" fontId="1" numFmtId="0" xfId="0" applyAlignment="1" applyBorder="1" applyFill="1" applyFont="1">
      <alignment vertical="bottom"/>
    </xf>
    <xf borderId="6" fillId="12" fontId="1" numFmtId="0" xfId="0" applyAlignment="1" applyBorder="1" applyFill="1" applyFont="1">
      <alignment vertical="bottom"/>
    </xf>
    <xf borderId="1" fillId="13" fontId="1" numFmtId="0" xfId="0" applyAlignment="1" applyBorder="1" applyFill="1" applyFont="1">
      <alignment vertical="bottom"/>
    </xf>
    <xf borderId="3" fillId="0" fontId="1" numFmtId="0" xfId="0" applyAlignment="1" applyBorder="1" applyFont="1">
      <alignment readingOrder="0" vertical="bottom"/>
    </xf>
    <xf borderId="1" fillId="0" fontId="1" numFmtId="0" xfId="0" applyAlignment="1" applyBorder="1" applyFont="1">
      <alignment horizontal="right" readingOrder="0" vertical="bottom"/>
    </xf>
    <xf borderId="1" fillId="9" fontId="1" numFmtId="0" xfId="0" applyAlignment="1" applyBorder="1" applyFill="1" applyFont="1">
      <alignment readingOrder="0" vertical="bottom"/>
    </xf>
    <xf borderId="3" fillId="10" fontId="1" numFmtId="0" xfId="0" applyAlignment="1" applyBorder="1" applyFill="1" applyFont="1">
      <alignment readingOrder="0" vertical="bottom"/>
    </xf>
    <xf borderId="1" fillId="11" fontId="1" numFmtId="0" xfId="0" applyAlignment="1" applyBorder="1" applyFill="1" applyFont="1">
      <alignment readingOrder="0" vertical="bottom"/>
    </xf>
    <xf borderId="3" fillId="12" fontId="1" numFmtId="0" xfId="0" applyAlignment="1" applyBorder="1" applyFill="1" applyFont="1">
      <alignment readingOrder="0" vertical="bottom"/>
    </xf>
    <xf borderId="1" fillId="13" fontId="1" numFmtId="0" xfId="0" applyAlignment="1" applyBorder="1" applyFill="1" applyFont="1">
      <alignment readingOrder="0" vertical="bottom"/>
    </xf>
    <xf borderId="1" fillId="0" fontId="12" numFmtId="0" xfId="0" applyAlignment="1" applyBorder="1" applyFont="1">
      <alignment readingOrder="0" vertical="bottom"/>
    </xf>
    <xf borderId="3" fillId="4" fontId="1" numFmtId="0" xfId="0" applyAlignment="1" applyBorder="1" applyFill="1" applyFont="1">
      <alignment vertical="bottom"/>
    </xf>
    <xf borderId="17" fillId="0" fontId="1" numFmtId="0" xfId="0" applyAlignment="1" applyBorder="1" applyFont="1">
      <alignment vertical="bottom"/>
    </xf>
    <xf borderId="18" fillId="0" fontId="10" numFmtId="0" xfId="0" applyBorder="1" applyFont="1"/>
    <xf borderId="19" fillId="0" fontId="10" numFmtId="0" xfId="0" applyBorder="1" applyFont="1"/>
    <xf borderId="20" fillId="0" fontId="10" numFmtId="0" xfId="0" applyBorder="1" applyFont="1"/>
    <xf borderId="21" fillId="0" fontId="10" numFmtId="0" xfId="0" applyBorder="1" applyFont="1"/>
    <xf borderId="22" fillId="0" fontId="10" numFmtId="0" xfId="0" applyBorder="1" applyFont="1"/>
    <xf borderId="3" fillId="15" fontId="1" numFmtId="0" xfId="0" applyAlignment="1" applyBorder="1" applyFill="1" applyFont="1">
      <alignment horizontal="center" vertical="bottom"/>
    </xf>
    <xf borderId="1" fillId="0" fontId="1" numFmtId="0" xfId="0" applyAlignment="1" applyBorder="1" applyFont="1">
      <alignment shrinkToFit="0" wrapText="1"/>
    </xf>
    <xf borderId="3" fillId="0" fontId="1" numFmtId="0" xfId="0" applyAlignment="1" applyBorder="1" applyFont="1">
      <alignment horizontal="center" vertical="bottom"/>
    </xf>
    <xf borderId="3" fillId="15" fontId="1" numFmtId="0" xfId="0" applyAlignment="1" applyBorder="1" applyFill="1" applyFont="1">
      <alignment horizontal="center" readingOrder="0"/>
    </xf>
    <xf borderId="0" fillId="0" fontId="18" numFmtId="0" xfId="0" applyFont="1"/>
    <xf borderId="0" fillId="16" fontId="20" numFmtId="0" xfId="0" applyFill="1" applyFont="1"/>
    <xf borderId="3" fillId="0" fontId="1" numFmtId="0" xfId="0" applyAlignment="1" applyBorder="1" applyFont="1">
      <alignment horizontal="center" readingOrder="0" vertical="bottom"/>
    </xf>
    <xf borderId="3" fillId="7" fontId="1" numFmtId="0" xfId="0" applyBorder="1" applyFill="1" applyFont="1"/>
    <xf borderId="0" fillId="16" fontId="20" numFmtId="0" xfId="0" applyAlignment="1" applyFill="1" applyFont="1">
      <alignment readingOrder="0"/>
    </xf>
    <xf borderId="0" fillId="0" fontId="15" numFmtId="0" xfId="0" applyFont="1"/>
    <xf borderId="1" fillId="17" fontId="1" numFmtId="0" xfId="0" applyBorder="1" applyFill="1" applyFont="1"/>
    <xf borderId="3" fillId="17" fontId="1" numFmtId="0" xfId="0" applyBorder="1" applyFill="1" applyFont="1"/>
    <xf borderId="3" fillId="15" fontId="1" numFmtId="0" xfId="0" applyAlignment="1" applyBorder="1" applyFill="1" applyFont="1">
      <alignment horizontal="center"/>
    </xf>
    <xf borderId="6" fillId="0" fontId="1" numFmtId="0" xfId="0" applyAlignment="1" applyBorder="1" applyFont="1">
      <alignment horizontal="right" vertical="bottom"/>
    </xf>
    <xf borderId="6" fillId="0" fontId="1" numFmtId="0" xfId="0" applyAlignment="1" applyBorder="1" applyFont="1">
      <alignment vertical="bottom"/>
    </xf>
    <xf borderId="5" fillId="0" fontId="1" numFmtId="0" xfId="0" applyAlignment="1" applyBorder="1" applyFont="1">
      <alignment vertical="bottom"/>
    </xf>
    <xf borderId="0" fillId="0" fontId="1" numFmtId="0" xfId="0" applyAlignment="1" applyFont="1">
      <alignment vertical="bottom"/>
    </xf>
    <xf borderId="0" fillId="0" fontId="1" numFmtId="0" xfId="0" applyAlignment="1" applyFont="1">
      <alignment horizontal="right" vertical="bottom"/>
    </xf>
    <xf borderId="1" fillId="18" fontId="1" numFmtId="0" xfId="0" applyAlignment="1" applyBorder="1" applyFill="1" applyFont="1">
      <alignment shrinkToFit="0" wrapText="1"/>
    </xf>
    <xf borderId="3" fillId="18" fontId="1" numFmtId="0" xfId="0" applyBorder="1" applyFill="1" applyFont="1"/>
    <xf borderId="1" fillId="14" fontId="1" numFmtId="0" xfId="0" applyBorder="1" applyFill="1" applyFont="1"/>
    <xf borderId="1" fillId="0" fontId="1" numFmtId="0" xfId="0" applyAlignment="1" applyBorder="1" applyFont="1">
      <alignment readingOrder="0"/>
    </xf>
    <xf borderId="1" fillId="0" fontId="1" numFmtId="0" xfId="0" applyAlignment="1" applyBorder="1" applyFont="1">
      <alignment vertical="bottom"/>
    </xf>
    <xf borderId="3" fillId="0" fontId="1" numFmtId="0" xfId="0" applyAlignment="1" applyBorder="1" applyFont="1">
      <alignment horizontal="center"/>
    </xf>
    <xf borderId="17" fillId="0" fontId="1" numFmtId="0" xfId="0" applyAlignment="1" applyBorder="1" applyFont="1">
      <alignment readingOrder="0"/>
    </xf>
    <xf borderId="3" fillId="0" fontId="21" numFmtId="0" xfId="0" applyAlignment="1" applyBorder="1" applyFont="1">
      <alignment horizontal="right" readingOrder="0" vertical="bottom"/>
    </xf>
    <xf borderId="3" fillId="0" fontId="22" numFmtId="0" xfId="0" applyAlignment="1" applyBorder="1" applyFont="1">
      <alignment readingOrder="0"/>
    </xf>
    <xf borderId="0" fillId="0" fontId="22" numFmtId="0" xfId="0" applyFont="1"/>
    <xf borderId="23" fillId="0" fontId="10" numFmtId="0" xfId="0" applyBorder="1" applyFont="1"/>
    <xf borderId="24" fillId="0" fontId="10" numFmtId="0" xfId="0" applyBorder="1" applyFont="1"/>
    <xf borderId="3" fillId="0" fontId="21" numFmtId="0" xfId="0" applyAlignment="1" applyBorder="1" applyFont="1">
      <alignment horizontal="right" vertical="bottom"/>
    </xf>
    <xf borderId="0" fillId="0" fontId="23" numFmtId="0" xfId="0" applyFont="1"/>
    <xf borderId="3" fillId="0" fontId="22" numFmtId="0" xfId="0" applyBorder="1" applyFont="1"/>
    <xf borderId="17" fillId="0" fontId="1" numFmtId="0" xfId="0" applyBorder="1" applyFont="1"/>
    <xf borderId="0" fillId="0" fontId="24" numFmtId="0" xfId="0" applyFont="1"/>
    <xf borderId="3" fillId="0" fontId="1" numFmtId="0" xfId="0" applyAlignment="1" applyBorder="1" applyFont="1">
      <alignment horizontal="center" readingOrder="0"/>
    </xf>
    <xf borderId="1" fillId="7" fontId="1" numFmtId="0" xfId="0" applyAlignment="1" applyBorder="1" applyFill="1" applyFont="1">
      <alignment readingOrder="0" shrinkToFit="0" wrapText="1"/>
    </xf>
    <xf borderId="1" fillId="7" fontId="1" numFmtId="0" xfId="0" applyAlignment="1" applyBorder="1" applyFill="1" applyFont="1">
      <alignment readingOrder="0"/>
    </xf>
    <xf borderId="3" fillId="7" fontId="1" numFmtId="0" xfId="0" applyAlignment="1" applyBorder="1" applyFill="1" applyFont="1">
      <alignment readingOrder="0"/>
    </xf>
    <xf borderId="5" fillId="7" fontId="1" numFmtId="0" xfId="0" applyBorder="1" applyFill="1" applyFont="1"/>
    <xf borderId="6" fillId="7" fontId="1" numFmtId="0" xfId="0" applyBorder="1" applyFill="1" applyFont="1"/>
    <xf borderId="6" fillId="0" fontId="1" numFmtId="0" xfId="0" applyBorder="1" applyFont="1"/>
    <xf borderId="5" fillId="0" fontId="1" numFmtId="0" xfId="0" applyBorder="1" applyFont="1"/>
    <xf borderId="0" fillId="0" fontId="3" numFmtId="0" xfId="0" applyAlignment="1" applyFont="1">
      <alignment horizontal="center"/>
    </xf>
    <xf borderId="0" fillId="0" fontId="24" numFmtId="0" xfId="0" applyAlignment="1" applyFont="1">
      <alignment readingOrder="0"/>
    </xf>
    <xf borderId="17" fillId="0" fontId="25" numFmtId="0" xfId="0" applyBorder="1" applyFont="1"/>
    <xf borderId="0" fillId="0" fontId="20" numFmtId="0" xfId="0" applyFont="1"/>
    <xf borderId="17" fillId="0" fontId="1" numFmtId="0" xfId="0" applyAlignment="1" applyBorder="1" applyFont="1">
      <alignment readingOrder="0" shrinkToFit="0" vertical="top" wrapText="1"/>
    </xf>
    <xf borderId="17" fillId="0" fontId="26" numFmtId="0" xfId="0" applyAlignment="1" applyBorder="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962025</xdr:colOff>
      <xdr:row>0</xdr:row>
      <xdr:rowOff>2771775</xdr:rowOff>
    </xdr:from>
    <xdr:ext cx="6781800" cy="32099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2"/>
    </row>
    <row r="2" ht="15.75" customHeight="1">
      <c r="A2" s="2"/>
      <c r="B2" s="4" t="s">
        <v>1</v>
      </c>
    </row>
    <row r="3" ht="15.75" customHeight="1">
      <c r="A3" s="2"/>
    </row>
    <row r="4" ht="15.75" customHeight="1">
      <c r="A4" s="2"/>
      <c r="B4" s="5" t="s">
        <v>2</v>
      </c>
      <c r="C4" s="7" t="s">
        <v>4</v>
      </c>
    </row>
    <row r="5">
      <c r="A5" s="2"/>
      <c r="B5" s="9" t="s">
        <v>5</v>
      </c>
      <c r="C5" s="10" t="s">
        <v>6</v>
      </c>
    </row>
    <row r="6">
      <c r="A6" s="2"/>
      <c r="B6" s="9" t="s">
        <v>7</v>
      </c>
    </row>
    <row r="7" ht="15.75" customHeight="1">
      <c r="A7" s="2"/>
    </row>
    <row r="8" ht="15.75" customHeight="1">
      <c r="A8" s="11" t="s">
        <v>8</v>
      </c>
    </row>
    <row r="9" ht="15.75" customHeight="1">
      <c r="A9" s="11" t="s">
        <v>9</v>
      </c>
    </row>
    <row r="10">
      <c r="A10" s="13" t="s">
        <v>10</v>
      </c>
      <c r="B10" s="13" t="s">
        <v>12</v>
      </c>
      <c r="C10" s="13" t="s">
        <v>13</v>
      </c>
      <c r="D10" s="15" t="s">
        <v>14</v>
      </c>
      <c r="E10" s="19"/>
      <c r="F10" s="20"/>
      <c r="G10" s="23" t="s">
        <v>18</v>
      </c>
    </row>
    <row r="11">
      <c r="A11" s="27" t="s">
        <v>19</v>
      </c>
      <c r="B11" s="44">
        <f>S.2!C7+S.3!C7+S.4!C7+S.5!C7+S.6!C7+S.7!C7+S.8!C7+S.9!C7+S.10!C7+S.11!C7</f>
        <v>64</v>
      </c>
      <c r="C11" s="48">
        <f>S.2!C6+S.3!C6+S.4!C6+S.5!C6+S.6!C6+S.7!C6+S.8!C6+S.9!C6+S.10!C6+S.11!C6</f>
        <v>1175</v>
      </c>
      <c r="D11" s="49"/>
      <c r="E11" s="19"/>
      <c r="F11" s="20"/>
      <c r="G11" s="50">
        <v>10.0</v>
      </c>
    </row>
    <row r="12" ht="15.75" customHeight="1">
      <c r="A12" s="52" t="s">
        <v>85</v>
      </c>
      <c r="B12" s="44">
        <f>Proyectos!C6</f>
        <v>0</v>
      </c>
      <c r="C12" s="48">
        <f>Proyectos!C5</f>
        <v>4</v>
      </c>
      <c r="D12" s="49"/>
      <c r="E12" s="19"/>
      <c r="F12" s="20"/>
      <c r="G12" s="50">
        <v>60.0</v>
      </c>
    </row>
    <row r="13" ht="15.75" customHeight="1">
      <c r="A13" s="52" t="s">
        <v>97</v>
      </c>
      <c r="B13" s="44">
        <f>Practicas!C6</f>
        <v>16</v>
      </c>
      <c r="C13" s="48">
        <f>Practicas!C5</f>
        <v>10</v>
      </c>
      <c r="D13" s="49"/>
      <c r="E13" s="19"/>
      <c r="F13" s="20"/>
      <c r="G13" s="50">
        <v>20.0</v>
      </c>
    </row>
    <row r="14" ht="15.75" customHeight="1">
      <c r="A14" s="60" t="s">
        <v>107</v>
      </c>
      <c r="B14" s="61">
        <f>Tareas!C6</f>
        <v>15</v>
      </c>
      <c r="C14" s="48">
        <f>Tareas!C5</f>
        <v>6</v>
      </c>
      <c r="D14" s="65"/>
      <c r="E14" s="66"/>
      <c r="F14" s="68"/>
      <c r="G14" s="50">
        <v>10.0</v>
      </c>
    </row>
    <row r="15" ht="15.75" customHeight="1">
      <c r="A15" s="70" t="s">
        <v>127</v>
      </c>
      <c r="B15" s="74">
        <f t="shared" ref="B15:C15" si="1">SUM(B11:B14)</f>
        <v>95</v>
      </c>
      <c r="C15" s="74">
        <f t="shared" si="1"/>
        <v>1195</v>
      </c>
      <c r="D15" s="75" t="s">
        <v>135</v>
      </c>
      <c r="E15" s="77"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Total ≠ 100 (actual 95) | Exceden: Actividades durante el peridodo de laboratorio (64&gt;10); Tareas (15&gt;10)")</f>
        <v>❌ Revisar: Total ≠ 100 (actual 95) | Exceden: Actividades durante el peridodo de laboratorio (64&gt;10); Tareas (15&gt;10)</v>
      </c>
      <c r="F15" s="78"/>
      <c r="G15" s="80"/>
    </row>
    <row r="16" ht="15.75" customHeight="1">
      <c r="A16" s="2"/>
    </row>
    <row r="17" ht="15.75" customHeight="1">
      <c r="A17" s="2"/>
    </row>
    <row r="18" ht="15.75" customHeight="1">
      <c r="A18" s="2"/>
    </row>
    <row r="19" ht="15.75" customHeight="1">
      <c r="A19" s="2"/>
    </row>
    <row r="20" ht="15.75" customHeight="1">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1"/>
      <c r="B1" s="3" t="s">
        <v>0</v>
      </c>
      <c r="Q1" s="1"/>
      <c r="R1" s="1"/>
      <c r="S1" s="1"/>
      <c r="T1" s="1"/>
      <c r="U1" s="1"/>
      <c r="V1" s="1"/>
      <c r="W1" s="1"/>
      <c r="X1" s="1"/>
      <c r="Y1" s="1"/>
      <c r="Z1" s="1"/>
    </row>
    <row r="2">
      <c r="A2" s="1"/>
      <c r="B2" s="5" t="s">
        <v>2</v>
      </c>
      <c r="C2" s="5"/>
      <c r="I2" s="1"/>
      <c r="J2" s="1"/>
      <c r="K2" s="1"/>
      <c r="L2" s="1"/>
      <c r="M2" s="1"/>
      <c r="N2" s="1"/>
      <c r="O2" s="1"/>
      <c r="P2" s="1"/>
      <c r="Q2" s="1"/>
      <c r="R2" s="1"/>
      <c r="S2" s="1"/>
      <c r="T2" s="1"/>
      <c r="U2" s="1"/>
      <c r="V2" s="1"/>
      <c r="W2" s="1"/>
      <c r="X2" s="1"/>
      <c r="Y2" s="1"/>
      <c r="Z2" s="1"/>
    </row>
    <row r="3">
      <c r="A3" s="1"/>
      <c r="B3" s="5" t="s">
        <v>5</v>
      </c>
      <c r="C3" s="10" t="s">
        <v>6</v>
      </c>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4" t="s">
        <v>11</v>
      </c>
      <c r="C5" s="16"/>
      <c r="D5" s="16"/>
      <c r="E5" s="16"/>
      <c r="F5" s="16"/>
      <c r="G5" s="18"/>
      <c r="H5" s="1"/>
      <c r="I5" s="14" t="s">
        <v>16</v>
      </c>
      <c r="J5" s="16"/>
      <c r="K5" s="16"/>
      <c r="L5" s="16"/>
      <c r="M5" s="16"/>
      <c r="N5" s="16"/>
      <c r="O5" s="16"/>
      <c r="P5" s="18"/>
      <c r="Q5" s="1"/>
      <c r="R5" s="1"/>
      <c r="S5" s="1"/>
      <c r="T5" s="1"/>
      <c r="U5" s="1"/>
      <c r="V5" s="1"/>
      <c r="W5" s="1"/>
      <c r="X5" s="1"/>
      <c r="Y5" s="1"/>
      <c r="Z5" s="1"/>
    </row>
    <row r="6">
      <c r="A6" s="1"/>
      <c r="B6" s="26">
        <v>1.0</v>
      </c>
      <c r="C6" s="17" t="s">
        <v>23</v>
      </c>
      <c r="D6" s="16"/>
      <c r="E6" s="16"/>
      <c r="F6" s="16"/>
      <c r="G6" s="18"/>
      <c r="H6" s="31"/>
      <c r="I6" s="26">
        <v>1.0</v>
      </c>
      <c r="J6" s="17" t="s">
        <v>33</v>
      </c>
      <c r="K6" s="16"/>
      <c r="L6" s="16"/>
      <c r="M6" s="16"/>
      <c r="N6" s="16"/>
      <c r="O6" s="16"/>
      <c r="P6" s="18"/>
      <c r="Q6" s="1"/>
      <c r="R6" s="1"/>
      <c r="S6" s="1"/>
      <c r="T6" s="1"/>
      <c r="U6" s="1"/>
      <c r="V6" s="1"/>
      <c r="W6" s="1"/>
      <c r="X6" s="1"/>
      <c r="Y6" s="1"/>
      <c r="Z6" s="1"/>
    </row>
    <row r="7">
      <c r="A7" s="1"/>
      <c r="B7" s="41">
        <v>2.0</v>
      </c>
      <c r="C7" s="17" t="s">
        <v>46</v>
      </c>
      <c r="D7" s="16"/>
      <c r="E7" s="16"/>
      <c r="F7" s="16"/>
      <c r="G7" s="18"/>
      <c r="H7" s="1"/>
      <c r="I7" s="43">
        <v>2.0</v>
      </c>
      <c r="J7" s="17" t="s">
        <v>54</v>
      </c>
      <c r="K7" s="16"/>
      <c r="L7" s="16"/>
      <c r="M7" s="16"/>
      <c r="N7" s="16"/>
      <c r="O7" s="16"/>
      <c r="P7" s="18"/>
      <c r="Q7" s="1"/>
      <c r="R7" s="1"/>
      <c r="S7" s="1"/>
      <c r="T7" s="1"/>
      <c r="U7" s="1"/>
      <c r="V7" s="1"/>
      <c r="W7" s="1"/>
      <c r="X7" s="1"/>
      <c r="Y7" s="1"/>
      <c r="Z7" s="1"/>
    </row>
    <row r="8">
      <c r="A8" s="1"/>
      <c r="B8" s="41">
        <v>3.0</v>
      </c>
      <c r="C8" s="17" t="s">
        <v>62</v>
      </c>
      <c r="D8" s="16"/>
      <c r="E8" s="16"/>
      <c r="F8" s="16"/>
      <c r="G8" s="18"/>
      <c r="H8" s="1"/>
      <c r="I8" s="43">
        <v>3.0</v>
      </c>
      <c r="J8" s="17" t="s">
        <v>71</v>
      </c>
      <c r="K8" s="16"/>
      <c r="L8" s="16"/>
      <c r="M8" s="16"/>
      <c r="N8" s="16"/>
      <c r="O8" s="16"/>
      <c r="P8" s="18"/>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51" t="s">
        <v>82</v>
      </c>
      <c r="C11" s="51" t="s">
        <v>86</v>
      </c>
      <c r="D11" s="51" t="s">
        <v>87</v>
      </c>
      <c r="E11" s="54" t="s">
        <v>88</v>
      </c>
      <c r="F11" s="18"/>
      <c r="G11" s="56" t="s">
        <v>94</v>
      </c>
      <c r="H11" s="57" t="s">
        <v>96</v>
      </c>
      <c r="I11" s="18"/>
      <c r="J11" s="51" t="s">
        <v>100</v>
      </c>
      <c r="K11" s="1"/>
      <c r="L11" s="1"/>
      <c r="M11" s="1"/>
      <c r="N11" s="1"/>
      <c r="O11" s="1"/>
      <c r="P11" s="1"/>
      <c r="Q11" s="1"/>
      <c r="R11" s="1"/>
      <c r="S11" s="1"/>
      <c r="T11" s="1"/>
      <c r="U11" s="1"/>
      <c r="V11" s="1"/>
      <c r="W11" s="1"/>
      <c r="X11" s="1"/>
      <c r="Y11" s="1"/>
      <c r="Z11" s="1"/>
    </row>
    <row r="12">
      <c r="A12" s="1"/>
      <c r="B12" s="59">
        <v>1.0</v>
      </c>
      <c r="C12" s="28" t="s">
        <v>112</v>
      </c>
      <c r="D12" s="62" t="s">
        <v>113</v>
      </c>
      <c r="E12" s="63" t="s">
        <v>115</v>
      </c>
      <c r="F12" s="64"/>
      <c r="G12" s="67" t="s">
        <v>123</v>
      </c>
      <c r="H12" s="69" t="s">
        <v>125</v>
      </c>
      <c r="I12" s="71"/>
      <c r="J12" s="72" t="s">
        <v>129</v>
      </c>
      <c r="K12" s="1"/>
      <c r="L12" s="1"/>
      <c r="M12" s="1"/>
      <c r="N12" s="1"/>
      <c r="O12" s="1"/>
      <c r="P12" s="1"/>
      <c r="Q12" s="1"/>
      <c r="R12" s="1"/>
      <c r="S12" s="1"/>
      <c r="T12" s="1"/>
      <c r="U12" s="1"/>
      <c r="V12" s="1"/>
      <c r="W12" s="1"/>
      <c r="X12" s="1"/>
      <c r="Y12" s="1"/>
      <c r="Z12" s="1"/>
    </row>
    <row r="13">
      <c r="A13" s="1"/>
      <c r="B13" s="73"/>
      <c r="C13" s="76" t="str">
        <f>D12 &amp; " " &amp; E12 &amp; " " &amp;G12&amp; " " &amp;H12&amp; " " </f>
        <v>aplica modelos, métodos y artefactos de gestión de proyectos mediante el uso de herramientas de planificación, simulación y monitoreo para resolver escenarios comunes en proyectos y mejorar la toma de decisiones en la gestión de proyectos tecnológicos </v>
      </c>
      <c r="D13" s="16"/>
      <c r="E13" s="16"/>
      <c r="F13" s="16"/>
      <c r="G13" s="16"/>
      <c r="H13" s="16"/>
      <c r="I13" s="16"/>
      <c r="J13" s="18"/>
      <c r="K13" s="1"/>
      <c r="L13" s="1"/>
      <c r="M13" s="1"/>
      <c r="N13" s="1"/>
      <c r="O13" s="1"/>
      <c r="P13" s="1"/>
      <c r="Q13" s="1"/>
      <c r="R13" s="1"/>
      <c r="S13" s="1"/>
      <c r="T13" s="1"/>
      <c r="U13" s="1"/>
      <c r="V13" s="1"/>
      <c r="W13" s="1"/>
      <c r="X13" s="1"/>
      <c r="Y13" s="1"/>
      <c r="Z13" s="1"/>
    </row>
    <row r="14">
      <c r="A14" s="1"/>
      <c r="B14" s="59">
        <v>2.0</v>
      </c>
      <c r="C14" s="28" t="s">
        <v>153</v>
      </c>
      <c r="D14" s="62" t="s">
        <v>154</v>
      </c>
      <c r="E14" s="79" t="s">
        <v>155</v>
      </c>
      <c r="F14" s="81"/>
      <c r="G14" s="82" t="s">
        <v>159</v>
      </c>
      <c r="H14" s="83" t="s">
        <v>161</v>
      </c>
      <c r="I14" s="84"/>
      <c r="J14" s="85" t="s">
        <v>129</v>
      </c>
      <c r="K14" s="1"/>
      <c r="L14" s="1"/>
      <c r="M14" s="1"/>
      <c r="N14" s="1"/>
      <c r="O14" s="1"/>
      <c r="P14" s="1"/>
      <c r="Q14" s="1"/>
      <c r="R14" s="1"/>
      <c r="S14" s="1"/>
      <c r="T14" s="1"/>
      <c r="U14" s="1"/>
      <c r="V14" s="1"/>
      <c r="W14" s="1"/>
      <c r="X14" s="1"/>
      <c r="Y14" s="1"/>
      <c r="Z14" s="1"/>
    </row>
    <row r="15">
      <c r="A15" s="1"/>
      <c r="B15" s="73"/>
      <c r="C15" s="76" t="str">
        <f>D14 &amp; " " &amp; E14 &amp; " " &amp;G14&amp; " " &amp;H14&amp; " " </f>
        <v>integra estructura de desglose de trabajo (EDT) utilizando herramientas de planificación como Project Libre para organizar tareas y entregables en proyectos complejos </v>
      </c>
      <c r="D15" s="16"/>
      <c r="E15" s="16"/>
      <c r="F15" s="16"/>
      <c r="G15" s="16"/>
      <c r="H15" s="16"/>
      <c r="I15" s="16"/>
      <c r="J15" s="18"/>
      <c r="K15" s="1"/>
      <c r="L15" s="1"/>
      <c r="M15" s="1"/>
      <c r="N15" s="1"/>
      <c r="O15" s="1"/>
      <c r="P15" s="1"/>
      <c r="Q15" s="1"/>
      <c r="R15" s="1"/>
      <c r="S15" s="1"/>
      <c r="T15" s="1"/>
      <c r="U15" s="1"/>
      <c r="V15" s="1"/>
      <c r="W15" s="1"/>
      <c r="X15" s="1"/>
      <c r="Y15" s="1"/>
      <c r="Z15" s="1"/>
    </row>
    <row r="16">
      <c r="A16" s="1"/>
      <c r="B16" s="59">
        <v>3.0</v>
      </c>
      <c r="C16" s="28" t="s">
        <v>112</v>
      </c>
      <c r="D16" s="62" t="s">
        <v>179</v>
      </c>
      <c r="E16" s="79" t="s">
        <v>180</v>
      </c>
      <c r="F16" s="81"/>
      <c r="G16" s="82" t="s">
        <v>181</v>
      </c>
      <c r="H16" s="83" t="s">
        <v>183</v>
      </c>
      <c r="I16" s="84"/>
      <c r="J16" s="85" t="s">
        <v>184</v>
      </c>
      <c r="K16" s="1"/>
      <c r="L16" s="1"/>
      <c r="M16" s="1"/>
      <c r="N16" s="1"/>
      <c r="O16" s="1"/>
      <c r="P16" s="1"/>
      <c r="Q16" s="1"/>
      <c r="R16" s="1"/>
      <c r="S16" s="1"/>
      <c r="T16" s="1"/>
      <c r="U16" s="1"/>
      <c r="V16" s="1"/>
      <c r="W16" s="1"/>
      <c r="X16" s="1"/>
      <c r="Y16" s="1"/>
      <c r="Z16" s="1"/>
    </row>
    <row r="17">
      <c r="A17" s="1"/>
      <c r="B17" s="73"/>
      <c r="C17" s="76" t="str">
        <f>D16 &amp; " " &amp; E16 &amp; " " &amp;G16&amp; " " &amp;H16&amp; " " </f>
        <v>revisa riesgos y variables críticas en proyectos empleando técnicas de identificación y evaluación de riesgos para la formulación de estrategias de mitigación y control </v>
      </c>
      <c r="D17" s="16"/>
      <c r="E17" s="16"/>
      <c r="F17" s="16"/>
      <c r="G17" s="16"/>
      <c r="H17" s="16"/>
      <c r="I17" s="16"/>
      <c r="J17" s="18"/>
      <c r="K17" s="1"/>
      <c r="L17" s="1"/>
      <c r="M17" s="1"/>
      <c r="N17" s="1"/>
      <c r="O17" s="1"/>
      <c r="P17" s="1"/>
      <c r="Q17" s="1"/>
      <c r="R17" s="1"/>
      <c r="S17" s="1"/>
      <c r="T17" s="1"/>
      <c r="U17" s="1"/>
      <c r="V17" s="1"/>
      <c r="W17" s="1"/>
      <c r="X17" s="1"/>
      <c r="Y17" s="1"/>
      <c r="Z17" s="1"/>
    </row>
    <row r="18">
      <c r="A18" s="1"/>
      <c r="B18" s="59">
        <v>4.0</v>
      </c>
      <c r="C18" s="28" t="s">
        <v>153</v>
      </c>
      <c r="D18" s="62" t="s">
        <v>154</v>
      </c>
      <c r="E18" s="79" t="s">
        <v>189</v>
      </c>
      <c r="F18" s="81"/>
      <c r="G18" s="82" t="s">
        <v>190</v>
      </c>
      <c r="H18" s="83" t="s">
        <v>191</v>
      </c>
      <c r="I18" s="84"/>
      <c r="J18" s="85" t="s">
        <v>129</v>
      </c>
      <c r="K18" s="1"/>
      <c r="L18" s="1"/>
      <c r="M18" s="1"/>
      <c r="N18" s="1"/>
      <c r="O18" s="1"/>
      <c r="P18" s="1"/>
      <c r="Q18" s="1"/>
      <c r="R18" s="1"/>
      <c r="S18" s="1"/>
      <c r="T18" s="1"/>
      <c r="U18" s="1"/>
      <c r="V18" s="1"/>
      <c r="W18" s="1"/>
      <c r="X18" s="1"/>
      <c r="Y18" s="1"/>
      <c r="Z18" s="1"/>
    </row>
    <row r="19">
      <c r="A19" s="1"/>
      <c r="B19" s="73"/>
      <c r="C19" s="76" t="str">
        <f>D18 &amp; " " &amp; E18 &amp; " " &amp;G18&amp; " " &amp;H18&amp; " " </f>
        <v>integra principios de calidad, eficiencia y control de tiempos mediante el uso de cronogramas, presupuestos y simuladores para mejorar el desempeño y cumplimiento de los objetivos de proyectos de TI </v>
      </c>
      <c r="D19" s="16"/>
      <c r="E19" s="16"/>
      <c r="F19" s="16"/>
      <c r="G19" s="16"/>
      <c r="H19" s="16"/>
      <c r="I19" s="16"/>
      <c r="J19" s="18"/>
      <c r="K19" s="1"/>
      <c r="L19" s="1"/>
      <c r="M19" s="1"/>
      <c r="N19" s="1"/>
      <c r="O19" s="1"/>
      <c r="P19" s="1"/>
      <c r="Q19" s="1"/>
      <c r="R19" s="1"/>
      <c r="S19" s="1"/>
      <c r="T19" s="1"/>
      <c r="U19" s="1"/>
      <c r="V19" s="1"/>
      <c r="W19" s="1"/>
      <c r="X19" s="1"/>
      <c r="Y19" s="1"/>
      <c r="Z19" s="1"/>
    </row>
    <row r="20">
      <c r="A20" s="1"/>
      <c r="B20" s="59">
        <v>5.0</v>
      </c>
      <c r="C20" s="28" t="s">
        <v>153</v>
      </c>
      <c r="D20" s="62" t="s">
        <v>204</v>
      </c>
      <c r="E20" s="79" t="s">
        <v>205</v>
      </c>
      <c r="F20" s="81"/>
      <c r="G20" s="82" t="s">
        <v>207</v>
      </c>
      <c r="H20" s="83" t="s">
        <v>208</v>
      </c>
      <c r="I20" s="84"/>
      <c r="J20" s="85" t="s">
        <v>209</v>
      </c>
      <c r="K20" s="1"/>
      <c r="L20" s="1"/>
      <c r="M20" s="1"/>
      <c r="N20" s="1"/>
      <c r="O20" s="1"/>
      <c r="P20" s="1"/>
      <c r="Q20" s="1"/>
      <c r="R20" s="1"/>
      <c r="S20" s="1"/>
      <c r="T20" s="1"/>
      <c r="U20" s="1"/>
      <c r="V20" s="1"/>
      <c r="W20" s="1"/>
      <c r="X20" s="1"/>
      <c r="Y20" s="1"/>
      <c r="Z20" s="1"/>
    </row>
    <row r="21">
      <c r="A21" s="1"/>
      <c r="B21" s="73"/>
      <c r="C21" s="76" t="str">
        <f>D20 &amp; " " &amp; E20 &amp; " " &amp;G20&amp; " " &amp;H20&amp; " " </f>
        <v>combina prácticas ágiles de gestión de proyectos a través del uso de marcos como Scrum y Kanban para la ejecución iterativa de entregables y mejora continua del equipo </v>
      </c>
      <c r="D21" s="16"/>
      <c r="E21" s="16"/>
      <c r="F21" s="16"/>
      <c r="G21" s="16"/>
      <c r="H21" s="16"/>
      <c r="I21" s="16"/>
      <c r="J21" s="18"/>
      <c r="K21" s="1"/>
      <c r="L21" s="1"/>
      <c r="M21" s="1"/>
      <c r="N21" s="1"/>
      <c r="O21" s="1"/>
      <c r="P21" s="1"/>
      <c r="Q21" s="1"/>
      <c r="R21" s="1"/>
      <c r="S21" s="1"/>
      <c r="T21" s="1"/>
      <c r="U21" s="1"/>
      <c r="V21" s="1"/>
      <c r="W21" s="1"/>
      <c r="X21" s="1"/>
      <c r="Y21" s="1"/>
      <c r="Z21" s="1"/>
    </row>
    <row r="22">
      <c r="A22" s="1"/>
      <c r="B22" s="59">
        <v>6.0</v>
      </c>
      <c r="C22" s="28" t="s">
        <v>112</v>
      </c>
      <c r="D22" s="62" t="s">
        <v>218</v>
      </c>
      <c r="E22" s="79" t="s">
        <v>219</v>
      </c>
      <c r="F22" s="81"/>
      <c r="G22" s="82" t="s">
        <v>220</v>
      </c>
      <c r="H22" s="83" t="s">
        <v>221</v>
      </c>
      <c r="I22" s="84"/>
      <c r="J22" s="85" t="s">
        <v>222</v>
      </c>
      <c r="K22" s="1"/>
      <c r="L22" s="1"/>
      <c r="M22" s="1"/>
      <c r="N22" s="1"/>
      <c r="O22" s="1"/>
      <c r="P22" s="1"/>
      <c r="Q22" s="1"/>
      <c r="R22" s="1"/>
      <c r="S22" s="1"/>
      <c r="T22" s="1"/>
      <c r="U22" s="1"/>
      <c r="V22" s="1"/>
      <c r="W22" s="1"/>
      <c r="X22" s="1"/>
      <c r="Y22" s="1"/>
      <c r="Z22" s="1"/>
    </row>
    <row r="23">
      <c r="A23" s="1"/>
      <c r="B23" s="73"/>
      <c r="C23" s="76" t="str">
        <f>D22 &amp; " " &amp; E22 &amp; " " &amp;G22&amp; " " &amp;H22&amp; " " </f>
        <v>valida el desempeño de proyectos tecnológicos utilizando el método del valor ganado (EVM) y reportes de avance para tomar decisiones correctivas basadas en datos objetivos </v>
      </c>
      <c r="D23" s="16"/>
      <c r="E23" s="16"/>
      <c r="F23" s="16"/>
      <c r="G23" s="16"/>
      <c r="H23" s="16"/>
      <c r="I23" s="16"/>
      <c r="J23" s="18"/>
      <c r="K23" s="1"/>
      <c r="L23" s="1"/>
      <c r="M23" s="1"/>
      <c r="N23" s="1"/>
      <c r="O23" s="1"/>
      <c r="P23" s="1"/>
      <c r="Q23" s="1"/>
      <c r="R23" s="1"/>
      <c r="S23" s="1"/>
      <c r="T23" s="1"/>
      <c r="U23" s="1"/>
      <c r="V23" s="1"/>
      <c r="W23" s="1"/>
      <c r="X23" s="1"/>
      <c r="Y23" s="1"/>
      <c r="Z23" s="1"/>
    </row>
    <row r="24">
      <c r="A24" s="1"/>
      <c r="B24" s="59">
        <v>7.0</v>
      </c>
      <c r="C24" s="28" t="s">
        <v>112</v>
      </c>
      <c r="D24" s="62" t="s">
        <v>227</v>
      </c>
      <c r="E24" s="79" t="s">
        <v>228</v>
      </c>
      <c r="F24" s="81"/>
      <c r="G24" s="82" t="s">
        <v>229</v>
      </c>
      <c r="H24" s="83" t="s">
        <v>230</v>
      </c>
      <c r="I24" s="84"/>
      <c r="J24" s="85" t="s">
        <v>231</v>
      </c>
      <c r="K24" s="1"/>
      <c r="L24" s="1"/>
      <c r="M24" s="1"/>
      <c r="N24" s="1"/>
      <c r="O24" s="1"/>
      <c r="P24" s="1"/>
      <c r="Q24" s="1"/>
      <c r="R24" s="1"/>
      <c r="S24" s="1"/>
      <c r="T24" s="1"/>
      <c r="U24" s="1"/>
      <c r="V24" s="1"/>
      <c r="W24" s="1"/>
      <c r="X24" s="1"/>
      <c r="Y24" s="1"/>
      <c r="Z24" s="1"/>
    </row>
    <row r="25">
      <c r="A25" s="1"/>
      <c r="B25" s="73"/>
      <c r="C25" s="76" t="str">
        <f>D24 &amp; " " &amp; E24 &amp; " " &amp;G24&amp; " " &amp;H24&amp; " " </f>
        <v>define requisitos y objetivos de proyectos tecnológicos mediante métodos de recolección y análisis de información para establecer el alcance y éxito del proyecto en entornos organizacionales </v>
      </c>
      <c r="D25" s="16"/>
      <c r="E25" s="16"/>
      <c r="F25" s="16"/>
      <c r="G25" s="16"/>
      <c r="H25" s="16"/>
      <c r="I25" s="16"/>
      <c r="J25" s="18"/>
      <c r="K25" s="1"/>
      <c r="L25" s="1"/>
      <c r="M25" s="1"/>
      <c r="N25" s="1"/>
      <c r="O25" s="1"/>
      <c r="P25" s="1"/>
      <c r="Q25" s="1"/>
      <c r="R25" s="1"/>
      <c r="S25" s="1"/>
      <c r="T25" s="1"/>
      <c r="U25" s="1"/>
      <c r="V25" s="1"/>
      <c r="W25" s="1"/>
      <c r="X25" s="1"/>
      <c r="Y25" s="1"/>
      <c r="Z25" s="1"/>
    </row>
    <row r="26">
      <c r="A26" s="1"/>
      <c r="B26" s="87">
        <v>8.0</v>
      </c>
      <c r="C26" s="28" t="s">
        <v>112</v>
      </c>
      <c r="D26" s="88" t="s">
        <v>113</v>
      </c>
      <c r="E26" s="89" t="s">
        <v>232</v>
      </c>
      <c r="F26" s="81"/>
      <c r="G26" s="90" t="s">
        <v>233</v>
      </c>
      <c r="H26" s="91" t="s">
        <v>234</v>
      </c>
      <c r="I26" s="84"/>
      <c r="J26" s="92" t="s">
        <v>129</v>
      </c>
      <c r="K26" s="1"/>
      <c r="L26" s="1"/>
      <c r="M26" s="1"/>
      <c r="N26" s="1"/>
      <c r="O26" s="1"/>
      <c r="P26" s="1"/>
      <c r="Q26" s="1"/>
      <c r="R26" s="1"/>
      <c r="S26" s="1"/>
      <c r="T26" s="1"/>
      <c r="U26" s="1"/>
      <c r="V26" s="1"/>
      <c r="W26" s="1"/>
      <c r="X26" s="1"/>
      <c r="Y26" s="1"/>
      <c r="Z26" s="1"/>
    </row>
    <row r="27">
      <c r="A27" s="1"/>
      <c r="B27" s="73"/>
      <c r="C27" s="76" t="str">
        <f>D26 &amp; " " &amp; E26 &amp; " " &amp;G26&amp; " " &amp;H26&amp; " " </f>
        <v>aplica modelos y técnicas de estimación de duración de tareas (como PERT o juicio experto) mediante el uso de software de gestión como ProjectLibre para establecer una hoja de ruta fundamental que guíe la ejecución del proyecto </v>
      </c>
      <c r="D27" s="16"/>
      <c r="E27" s="16"/>
      <c r="F27" s="16"/>
      <c r="G27" s="16"/>
      <c r="H27" s="16"/>
      <c r="I27" s="16"/>
      <c r="J27" s="18"/>
      <c r="K27" s="1"/>
      <c r="L27" s="1"/>
      <c r="M27" s="1"/>
      <c r="N27" s="1"/>
      <c r="O27" s="1"/>
      <c r="P27" s="1"/>
      <c r="Q27" s="1"/>
      <c r="R27" s="1"/>
      <c r="S27" s="1"/>
      <c r="T27" s="1"/>
      <c r="U27" s="1"/>
      <c r="V27" s="1"/>
      <c r="W27" s="1"/>
      <c r="X27" s="1"/>
      <c r="Y27" s="1"/>
      <c r="Z27" s="1"/>
    </row>
    <row r="28">
      <c r="A28" s="1"/>
      <c r="B28" s="87">
        <v>9.0</v>
      </c>
      <c r="C28" s="93" t="s">
        <v>153</v>
      </c>
      <c r="D28" s="88" t="s">
        <v>235</v>
      </c>
      <c r="E28" s="89" t="s">
        <v>236</v>
      </c>
      <c r="F28" s="81"/>
      <c r="G28" s="90" t="s">
        <v>237</v>
      </c>
      <c r="H28" s="91" t="s">
        <v>238</v>
      </c>
      <c r="I28" s="84"/>
      <c r="J28" s="92" t="s">
        <v>184</v>
      </c>
      <c r="K28" s="1"/>
      <c r="L28" s="1"/>
      <c r="M28" s="1"/>
      <c r="N28" s="1"/>
      <c r="O28" s="1"/>
      <c r="P28" s="1"/>
      <c r="Q28" s="1"/>
      <c r="R28" s="1"/>
      <c r="S28" s="1"/>
      <c r="T28" s="1"/>
      <c r="U28" s="1"/>
      <c r="V28" s="1"/>
      <c r="W28" s="1"/>
      <c r="X28" s="1"/>
      <c r="Y28" s="1"/>
      <c r="Z28" s="1"/>
    </row>
    <row r="29">
      <c r="A29" s="1"/>
      <c r="B29" s="73"/>
      <c r="C29" s="76" t="str">
        <f>D28 &amp; " " &amp; E28 &amp; " " &amp;G28&amp; " " &amp;H28&amp; " " </f>
        <v>analiza las relaciones lógicas y dependencias entre actividades del proyecto (FS, SS, FF, SF) empleando métodos visuales como el Diagrama de Red (PERT/CPM) para identificar el camino crítico y optimizar el flujo de trabajo mediante técnicas de paralelización </v>
      </c>
      <c r="D29" s="16"/>
      <c r="E29" s="16"/>
      <c r="F29" s="16"/>
      <c r="G29" s="16"/>
      <c r="H29" s="16"/>
      <c r="I29" s="16"/>
      <c r="J29" s="18"/>
      <c r="K29" s="1"/>
      <c r="L29" s="1"/>
      <c r="M29" s="1"/>
      <c r="N29" s="1"/>
      <c r="O29" s="1"/>
      <c r="P29" s="1"/>
      <c r="Q29" s="1"/>
      <c r="R29" s="1"/>
      <c r="S29" s="1"/>
      <c r="T29" s="1"/>
      <c r="U29" s="1"/>
      <c r="V29" s="1"/>
      <c r="W29" s="1"/>
      <c r="X29" s="1"/>
      <c r="Y29" s="1"/>
      <c r="Z29" s="1"/>
    </row>
    <row r="30">
      <c r="A30" s="1"/>
      <c r="B30" s="87">
        <v>10.0</v>
      </c>
      <c r="C30" s="93" t="s">
        <v>112</v>
      </c>
      <c r="D30" s="88" t="s">
        <v>113</v>
      </c>
      <c r="E30" s="89" t="s">
        <v>239</v>
      </c>
      <c r="F30" s="81"/>
      <c r="G30" s="90" t="s">
        <v>240</v>
      </c>
      <c r="H30" s="91" t="s">
        <v>241</v>
      </c>
      <c r="I30" s="84"/>
      <c r="J30" s="92" t="s">
        <v>129</v>
      </c>
      <c r="K30" s="1"/>
      <c r="L30" s="1"/>
      <c r="M30" s="1"/>
      <c r="N30" s="1"/>
      <c r="O30" s="1"/>
      <c r="P30" s="1"/>
      <c r="Q30" s="1"/>
      <c r="R30" s="1"/>
      <c r="S30" s="1"/>
      <c r="T30" s="1"/>
      <c r="U30" s="1"/>
      <c r="V30" s="1"/>
      <c r="W30" s="1"/>
      <c r="X30" s="1"/>
      <c r="Y30" s="1"/>
      <c r="Z30" s="1"/>
    </row>
    <row r="31">
      <c r="A31" s="1"/>
      <c r="B31" s="73"/>
      <c r="C31" s="76" t="str">
        <f>D30 &amp; " " &amp; E30 &amp; " " &amp;G30&amp; " " &amp;H30&amp; " " </f>
        <v>aplica técnicas de estimación de costos (análoga, paramétrica o ascendente) mediante el uso de plantillas de cálculo en Microsoft Excel o herramientas de Sistemas ERP para establecer límites claros de gasto y una base sólida para el control financiero del proyecto </v>
      </c>
      <c r="D31" s="16"/>
      <c r="E31" s="16"/>
      <c r="F31" s="16"/>
      <c r="G31" s="16"/>
      <c r="H31" s="16"/>
      <c r="I31" s="16"/>
      <c r="J31" s="18"/>
      <c r="K31" s="1"/>
      <c r="L31" s="1"/>
      <c r="M31" s="1"/>
      <c r="N31" s="1"/>
      <c r="O31" s="1"/>
      <c r="P31" s="1"/>
      <c r="Q31" s="1"/>
      <c r="R31" s="1"/>
      <c r="S31" s="1"/>
      <c r="T31" s="1"/>
      <c r="U31" s="1"/>
      <c r="V31" s="1"/>
      <c r="W31" s="1"/>
      <c r="X31" s="1"/>
      <c r="Y31" s="1"/>
      <c r="Z31" s="1"/>
    </row>
    <row r="32">
      <c r="A32" s="1"/>
      <c r="B32" s="87">
        <v>11.0</v>
      </c>
      <c r="C32" s="93" t="s">
        <v>153</v>
      </c>
      <c r="D32" s="88" t="s">
        <v>154</v>
      </c>
      <c r="E32" s="89" t="s">
        <v>242</v>
      </c>
      <c r="F32" s="81"/>
      <c r="G32" s="90" t="s">
        <v>243</v>
      </c>
      <c r="H32" s="91" t="s">
        <v>244</v>
      </c>
      <c r="I32" s="84"/>
      <c r="J32" s="92" t="s">
        <v>184</v>
      </c>
      <c r="K32" s="1"/>
      <c r="L32" s="1"/>
      <c r="M32" s="1"/>
      <c r="N32" s="1"/>
      <c r="O32" s="1"/>
      <c r="P32" s="1"/>
      <c r="Q32" s="1"/>
      <c r="R32" s="1"/>
      <c r="S32" s="1"/>
      <c r="T32" s="1"/>
      <c r="U32" s="1"/>
      <c r="V32" s="1"/>
      <c r="W32" s="1"/>
      <c r="X32" s="1"/>
      <c r="Y32" s="1"/>
      <c r="Z32" s="1"/>
    </row>
    <row r="33">
      <c r="A33" s="1"/>
      <c r="B33" s="73"/>
      <c r="C33" s="76" t="str">
        <f>D32 &amp; " " &amp; E32 &amp; " " &amp;G32&amp; " " &amp;H32&amp; " " </f>
        <v>integra riesgos y variables críticas en proyectos de sistemas (internos y externos) empleando el monitoreo mensual de variaciones y comparativas de gastos reales para evaluar la viabilidad de la inversión y asegurar el cumplimiento de los objetivos tecnológicos ante los stakeholders </v>
      </c>
      <c r="D33" s="16"/>
      <c r="E33" s="16"/>
      <c r="F33" s="16"/>
      <c r="G33" s="16"/>
      <c r="H33" s="16"/>
      <c r="I33" s="16"/>
      <c r="J33" s="18"/>
      <c r="K33" s="1"/>
      <c r="L33" s="1"/>
      <c r="M33" s="1"/>
      <c r="N33" s="1"/>
      <c r="O33" s="1"/>
      <c r="P33" s="1"/>
      <c r="Q33" s="1"/>
      <c r="R33" s="1"/>
      <c r="S33" s="1"/>
      <c r="T33" s="1"/>
      <c r="U33" s="1"/>
      <c r="V33" s="1"/>
      <c r="W33" s="1"/>
      <c r="X33" s="1"/>
      <c r="Y33" s="1"/>
      <c r="Z33" s="1"/>
    </row>
    <row r="34">
      <c r="A34" s="1"/>
      <c r="B34" s="87">
        <v>12.0</v>
      </c>
      <c r="C34" s="93" t="s">
        <v>112</v>
      </c>
      <c r="D34" s="88" t="s">
        <v>179</v>
      </c>
      <c r="E34" s="89" t="s">
        <v>239</v>
      </c>
      <c r="F34" s="81"/>
      <c r="G34" s="90" t="s">
        <v>245</v>
      </c>
      <c r="H34" s="91" t="s">
        <v>246</v>
      </c>
      <c r="I34" s="84"/>
      <c r="J34" s="92" t="s">
        <v>184</v>
      </c>
      <c r="K34" s="1"/>
      <c r="L34" s="1"/>
      <c r="M34" s="1"/>
      <c r="N34" s="1"/>
      <c r="O34" s="1"/>
      <c r="P34" s="1"/>
      <c r="Q34" s="1"/>
      <c r="R34" s="1"/>
      <c r="S34" s="1"/>
      <c r="T34" s="1"/>
      <c r="U34" s="1"/>
      <c r="V34" s="1"/>
      <c r="W34" s="1"/>
      <c r="X34" s="1"/>
      <c r="Y34" s="1"/>
      <c r="Z34" s="1"/>
    </row>
    <row r="35">
      <c r="A35" s="1"/>
      <c r="B35" s="73"/>
      <c r="C35" s="76" t="str">
        <f>D34 &amp; " " &amp; E34 &amp; " " &amp;G34&amp; " " &amp;H34&amp; " " </f>
        <v>revisa técnicas de estimación de costos (análoga, paramétrica o ascendente) empleando técnicas de identificación como brainstorming, entrevistas y análisis de proyectos pasados para la formulación de estrategias de mitigación y el mantenimiento de un registro de riesgos centralizado </v>
      </c>
      <c r="D35" s="16"/>
      <c r="E35" s="16"/>
      <c r="F35" s="16"/>
      <c r="G35" s="16"/>
      <c r="H35" s="16"/>
      <c r="I35" s="16"/>
      <c r="J35" s="18"/>
      <c r="K35" s="1"/>
      <c r="L35" s="1"/>
      <c r="M35" s="1"/>
      <c r="N35" s="1"/>
      <c r="O35" s="1"/>
      <c r="P35" s="1"/>
      <c r="Q35" s="1"/>
      <c r="R35" s="1"/>
      <c r="S35" s="1"/>
      <c r="T35" s="1"/>
      <c r="U35" s="1"/>
      <c r="V35" s="1"/>
      <c r="W35" s="1"/>
      <c r="X35" s="1"/>
      <c r="Y35" s="1"/>
      <c r="Z35" s="1"/>
    </row>
    <row r="36">
      <c r="A36" s="1"/>
      <c r="B36" s="87">
        <v>13.0</v>
      </c>
      <c r="C36" s="93" t="s">
        <v>153</v>
      </c>
      <c r="D36" s="88" t="s">
        <v>235</v>
      </c>
      <c r="E36" s="89" t="s">
        <v>247</v>
      </c>
      <c r="F36" s="81"/>
      <c r="G36" s="90" t="s">
        <v>248</v>
      </c>
      <c r="H36" s="91" t="s">
        <v>249</v>
      </c>
      <c r="I36" s="84"/>
      <c r="J36" s="92" t="s">
        <v>222</v>
      </c>
      <c r="K36" s="1"/>
      <c r="L36" s="1"/>
      <c r="M36" s="1"/>
      <c r="N36" s="1"/>
      <c r="O36" s="1"/>
      <c r="P36" s="1"/>
      <c r="Q36" s="1"/>
      <c r="R36" s="1"/>
      <c r="S36" s="1"/>
      <c r="T36" s="1"/>
      <c r="U36" s="1"/>
      <c r="V36" s="1"/>
      <c r="W36" s="1"/>
      <c r="X36" s="1"/>
      <c r="Y36" s="1"/>
      <c r="Z36" s="1"/>
    </row>
    <row r="37">
      <c r="A37" s="1"/>
      <c r="B37" s="73"/>
      <c r="C37" s="76" t="str">
        <f>D36 &amp; " " &amp; E36 &amp; " " &amp;G36&amp; " " &amp;H36&amp; " " </f>
        <v>analiza la probabilidad e impacto de eventos inciertos sobre los objetivos del proyecto (cronograma, presupuesto y calidad) mediante la aplicación de análisis cualitativos y cuantitativos para priorizar acciones de respuesta (mitigación, evitación, transferencia o aceptación) que aseguren el éxito del proyecto </v>
      </c>
      <c r="D37" s="16"/>
      <c r="E37" s="16"/>
      <c r="F37" s="16"/>
      <c r="G37" s="16"/>
      <c r="H37" s="16"/>
      <c r="I37" s="16"/>
      <c r="J37" s="18"/>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94" t="s">
        <v>250</v>
      </c>
      <c r="C42" s="16"/>
      <c r="D42" s="16"/>
      <c r="E42" s="16"/>
      <c r="F42" s="16"/>
      <c r="G42" s="16"/>
      <c r="H42" s="16"/>
      <c r="I42" s="16"/>
      <c r="J42" s="18"/>
      <c r="K42" s="1"/>
      <c r="L42" s="1"/>
      <c r="M42" s="1"/>
      <c r="N42" s="1"/>
      <c r="O42" s="1"/>
      <c r="P42" s="1"/>
      <c r="Q42" s="1"/>
      <c r="R42" s="1"/>
      <c r="S42" s="1"/>
      <c r="T42" s="1"/>
      <c r="U42" s="1"/>
      <c r="V42" s="1"/>
      <c r="W42" s="1"/>
      <c r="X42" s="1"/>
      <c r="Y42" s="1"/>
      <c r="Z42" s="1"/>
    </row>
    <row r="43">
      <c r="A43" s="1"/>
      <c r="B43" s="95"/>
      <c r="C43" s="96"/>
      <c r="D43" s="96"/>
      <c r="E43" s="96"/>
      <c r="F43" s="96"/>
      <c r="G43" s="96"/>
      <c r="H43" s="96"/>
      <c r="I43" s="96"/>
      <c r="J43" s="97"/>
      <c r="K43" s="1"/>
      <c r="L43" s="1"/>
      <c r="M43" s="1"/>
      <c r="N43" s="1"/>
      <c r="O43" s="1"/>
      <c r="P43" s="1"/>
      <c r="Q43" s="1"/>
      <c r="R43" s="1"/>
      <c r="S43" s="1"/>
      <c r="T43" s="1"/>
      <c r="U43" s="1"/>
      <c r="V43" s="1"/>
      <c r="W43" s="1"/>
      <c r="X43" s="1"/>
      <c r="Y43" s="1"/>
      <c r="Z43" s="1"/>
    </row>
    <row r="44">
      <c r="A44" s="1"/>
      <c r="B44" s="98"/>
      <c r="C44" s="99"/>
      <c r="D44" s="99"/>
      <c r="E44" s="99"/>
      <c r="F44" s="99"/>
      <c r="G44" s="99"/>
      <c r="H44" s="99"/>
      <c r="I44" s="99"/>
      <c r="J44" s="100"/>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sheetData>
  <mergeCells count="28">
    <mergeCell ref="J6:P6"/>
    <mergeCell ref="J7:P7"/>
    <mergeCell ref="B1:P1"/>
    <mergeCell ref="C2:H2"/>
    <mergeCell ref="C3:H3"/>
    <mergeCell ref="B5:G5"/>
    <mergeCell ref="I5:P5"/>
    <mergeCell ref="C6:G6"/>
    <mergeCell ref="C7:G7"/>
    <mergeCell ref="C8:G8"/>
    <mergeCell ref="J8:P8"/>
    <mergeCell ref="E11:F11"/>
    <mergeCell ref="H11:I11"/>
    <mergeCell ref="C13:J13"/>
    <mergeCell ref="C15:J15"/>
    <mergeCell ref="C17:J17"/>
    <mergeCell ref="C33:J33"/>
    <mergeCell ref="C35:J35"/>
    <mergeCell ref="C37:J37"/>
    <mergeCell ref="B42:J42"/>
    <mergeCell ref="B43:J44"/>
    <mergeCell ref="C19:J19"/>
    <mergeCell ref="C21:J21"/>
    <mergeCell ref="C23:J23"/>
    <mergeCell ref="C25:J25"/>
    <mergeCell ref="C27:J27"/>
    <mergeCell ref="C29:J29"/>
    <mergeCell ref="C31:J31"/>
  </mergeCells>
  <dataValidations>
    <dataValidation type="list" allowBlank="1" showErrorMessage="1" sqref="J6:J8">
      <formula1>#REF!</formula1>
    </dataValidation>
    <dataValidation type="list" allowBlank="1" showErrorMessage="1" sqref="C6:C8">
      <formula1>#REF!</formula1>
    </dataValidation>
    <dataValidation type="list" allowBlank="1" showErrorMessage="1" sqref="C12 C14 C16 C18 C20 C22 C24 C26 C28 C30 C32 C34 C36">
      <formula1>"Especifica,General"</formula1>
    </dataValidation>
    <dataValidation type="list" allowBlank="1" showErrorMessage="1" sqref="C2">
      <formula1>Metadata!$A$2:$A$81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5" max="5" width="27.38"/>
    <col customWidth="1" min="6" max="6" width="37.88"/>
  </cols>
  <sheetData>
    <row r="1" ht="15.75" customHeight="1"/>
    <row r="2" ht="15.75" customHeight="1">
      <c r="A2" s="6"/>
      <c r="B2" s="8" t="s">
        <v>3</v>
      </c>
    </row>
    <row r="3" ht="15.75" customHeight="1"/>
    <row r="4" ht="15.75" customHeight="1">
      <c r="B4" s="5" t="s">
        <v>2</v>
      </c>
      <c r="C4" s="5"/>
    </row>
    <row r="5" ht="15.75" customHeight="1">
      <c r="B5" s="5" t="s">
        <v>15</v>
      </c>
      <c r="C5" s="10" t="s">
        <v>6</v>
      </c>
    </row>
    <row r="6" ht="15.75" customHeight="1">
      <c r="H6" s="21"/>
    </row>
    <row r="7" ht="15.75" customHeight="1">
      <c r="H7" s="21"/>
    </row>
    <row r="8" ht="15.75" customHeight="1">
      <c r="A8" s="24"/>
      <c r="B8" s="28" t="s">
        <v>20</v>
      </c>
      <c r="C8" s="30" t="s">
        <v>22</v>
      </c>
      <c r="D8" s="28" t="s">
        <v>24</v>
      </c>
      <c r="E8" s="28" t="s">
        <v>25</v>
      </c>
      <c r="F8" s="28" t="s">
        <v>26</v>
      </c>
      <c r="G8" s="28" t="s">
        <v>27</v>
      </c>
      <c r="H8" s="28" t="s">
        <v>17</v>
      </c>
    </row>
    <row r="9" ht="15.75" customHeight="1">
      <c r="B9" s="33">
        <v>1.0</v>
      </c>
      <c r="C9" s="35" t="s">
        <v>30</v>
      </c>
      <c r="D9" s="37" t="s">
        <v>32</v>
      </c>
      <c r="E9" s="37" t="s">
        <v>34</v>
      </c>
      <c r="F9" s="37" t="s">
        <v>35</v>
      </c>
      <c r="G9" s="37" t="s">
        <v>36</v>
      </c>
      <c r="H9" s="33">
        <v>1.0</v>
      </c>
    </row>
    <row r="10" ht="15.75" customHeight="1">
      <c r="B10" s="33">
        <v>2.0</v>
      </c>
      <c r="C10" s="35" t="s">
        <v>30</v>
      </c>
      <c r="D10" s="37" t="s">
        <v>32</v>
      </c>
      <c r="E10" s="37" t="s">
        <v>34</v>
      </c>
      <c r="F10" s="37" t="s">
        <v>38</v>
      </c>
      <c r="G10" s="37" t="s">
        <v>36</v>
      </c>
      <c r="H10" s="33">
        <v>1.0</v>
      </c>
    </row>
    <row r="11" ht="15.75" customHeight="1">
      <c r="B11" s="33">
        <v>3.0</v>
      </c>
      <c r="C11" s="35" t="s">
        <v>30</v>
      </c>
      <c r="D11" s="37" t="s">
        <v>32</v>
      </c>
      <c r="E11" s="37" t="s">
        <v>34</v>
      </c>
      <c r="F11" s="37" t="s">
        <v>40</v>
      </c>
      <c r="G11" s="37" t="s">
        <v>36</v>
      </c>
      <c r="H11" s="33">
        <v>1.0</v>
      </c>
    </row>
    <row r="12" ht="15.75" customHeight="1">
      <c r="B12" s="33">
        <v>4.0</v>
      </c>
      <c r="C12" s="35" t="s">
        <v>30</v>
      </c>
      <c r="D12" s="37" t="s">
        <v>32</v>
      </c>
      <c r="E12" s="37" t="s">
        <v>34</v>
      </c>
      <c r="F12" s="37" t="s">
        <v>42</v>
      </c>
      <c r="G12" s="37" t="s">
        <v>36</v>
      </c>
      <c r="H12" s="33">
        <v>1.0</v>
      </c>
    </row>
    <row r="13" ht="15.75" customHeight="1">
      <c r="B13" s="33">
        <v>5.0</v>
      </c>
      <c r="C13" s="35" t="s">
        <v>30</v>
      </c>
      <c r="D13" s="37" t="s">
        <v>32</v>
      </c>
      <c r="E13" s="37" t="s">
        <v>34</v>
      </c>
      <c r="F13" s="37" t="s">
        <v>44</v>
      </c>
      <c r="G13" s="37" t="s">
        <v>36</v>
      </c>
      <c r="H13" s="33">
        <v>1.0</v>
      </c>
    </row>
    <row r="14" ht="15.75" customHeight="1">
      <c r="B14" s="33">
        <v>6.0</v>
      </c>
      <c r="C14" s="35" t="s">
        <v>30</v>
      </c>
      <c r="D14" s="37" t="s">
        <v>32</v>
      </c>
      <c r="E14" s="37" t="s">
        <v>34</v>
      </c>
      <c r="F14" s="37" t="s">
        <v>47</v>
      </c>
      <c r="G14" s="37" t="s">
        <v>36</v>
      </c>
      <c r="H14" s="33">
        <v>1.0</v>
      </c>
    </row>
    <row r="15" ht="15.75" customHeight="1">
      <c r="B15" s="33">
        <v>7.0</v>
      </c>
      <c r="C15" s="35" t="s">
        <v>30</v>
      </c>
      <c r="D15" s="37" t="s">
        <v>32</v>
      </c>
      <c r="E15" s="37" t="s">
        <v>34</v>
      </c>
      <c r="F15" s="37" t="s">
        <v>49</v>
      </c>
      <c r="G15" s="37" t="s">
        <v>36</v>
      </c>
      <c r="H15" s="33">
        <v>1.0</v>
      </c>
    </row>
    <row r="16" ht="15.75" customHeight="1">
      <c r="B16" s="33">
        <v>8.0</v>
      </c>
      <c r="C16" s="35" t="s">
        <v>30</v>
      </c>
      <c r="D16" s="37" t="s">
        <v>51</v>
      </c>
      <c r="E16" s="37" t="s">
        <v>52</v>
      </c>
      <c r="F16" s="37" t="s">
        <v>53</v>
      </c>
      <c r="G16" s="37" t="s">
        <v>36</v>
      </c>
      <c r="H16" s="33">
        <v>1.0</v>
      </c>
    </row>
    <row r="17" ht="15.75" customHeight="1">
      <c r="B17" s="33">
        <v>9.0</v>
      </c>
      <c r="C17" s="35" t="s">
        <v>30</v>
      </c>
      <c r="D17" s="37" t="s">
        <v>51</v>
      </c>
      <c r="E17" s="37" t="s">
        <v>52</v>
      </c>
      <c r="F17" s="37" t="s">
        <v>56</v>
      </c>
      <c r="G17" s="37" t="s">
        <v>36</v>
      </c>
      <c r="H17" s="33">
        <v>2.0</v>
      </c>
    </row>
    <row r="18" ht="15.75" customHeight="1">
      <c r="B18" s="33">
        <v>10.0</v>
      </c>
      <c r="C18" s="35" t="s">
        <v>30</v>
      </c>
      <c r="D18" s="37" t="s">
        <v>51</v>
      </c>
      <c r="E18" s="37" t="s">
        <v>52</v>
      </c>
      <c r="F18" s="37" t="s">
        <v>58</v>
      </c>
      <c r="G18" s="37" t="s">
        <v>36</v>
      </c>
      <c r="H18" s="33">
        <v>2.0</v>
      </c>
    </row>
    <row r="19" ht="15.75" customHeight="1">
      <c r="B19" s="33">
        <v>11.0</v>
      </c>
      <c r="C19" s="35" t="s">
        <v>30</v>
      </c>
      <c r="D19" s="37" t="s">
        <v>51</v>
      </c>
      <c r="E19" s="37" t="s">
        <v>52</v>
      </c>
      <c r="F19" s="37" t="s">
        <v>60</v>
      </c>
      <c r="G19" s="37" t="s">
        <v>36</v>
      </c>
      <c r="H19" s="33">
        <v>2.0</v>
      </c>
    </row>
    <row r="20" ht="15.75" customHeight="1">
      <c r="B20" s="33">
        <v>12.0</v>
      </c>
      <c r="C20" s="35" t="s">
        <v>30</v>
      </c>
      <c r="D20" s="37" t="s">
        <v>51</v>
      </c>
      <c r="E20" s="37" t="s">
        <v>52</v>
      </c>
      <c r="F20" s="37" t="s">
        <v>61</v>
      </c>
      <c r="G20" s="37" t="s">
        <v>36</v>
      </c>
      <c r="H20" s="33">
        <v>2.0</v>
      </c>
    </row>
    <row r="21" ht="15.75" customHeight="1">
      <c r="B21" s="33">
        <v>13.0</v>
      </c>
      <c r="C21" s="35" t="s">
        <v>30</v>
      </c>
      <c r="D21" s="37" t="s">
        <v>51</v>
      </c>
      <c r="E21" s="37" t="s">
        <v>52</v>
      </c>
      <c r="F21" s="37" t="s">
        <v>63</v>
      </c>
      <c r="G21" s="37" t="s">
        <v>36</v>
      </c>
      <c r="H21" s="33">
        <v>2.0</v>
      </c>
    </row>
    <row r="22" ht="15.75" customHeight="1">
      <c r="B22" s="33">
        <v>14.0</v>
      </c>
      <c r="C22" s="35" t="s">
        <v>30</v>
      </c>
      <c r="D22" s="37" t="s">
        <v>51</v>
      </c>
      <c r="E22" s="37" t="s">
        <v>52</v>
      </c>
      <c r="F22" s="37" t="s">
        <v>64</v>
      </c>
      <c r="G22" s="37" t="s">
        <v>36</v>
      </c>
      <c r="H22" s="33">
        <v>2.0</v>
      </c>
    </row>
    <row r="23" ht="15.75" customHeight="1">
      <c r="B23" s="33">
        <v>15.0</v>
      </c>
      <c r="C23" s="35" t="s">
        <v>66</v>
      </c>
      <c r="D23" s="37" t="s">
        <v>51</v>
      </c>
      <c r="E23" s="37" t="s">
        <v>67</v>
      </c>
      <c r="F23" s="37" t="s">
        <v>68</v>
      </c>
      <c r="G23" s="37" t="s">
        <v>36</v>
      </c>
      <c r="H23" s="33">
        <v>2.0</v>
      </c>
    </row>
    <row r="24" ht="15.75" customHeight="1">
      <c r="B24" s="33">
        <v>16.0</v>
      </c>
      <c r="C24" s="35" t="s">
        <v>66</v>
      </c>
      <c r="D24" s="37" t="s">
        <v>51</v>
      </c>
      <c r="E24" s="37" t="s">
        <v>67</v>
      </c>
      <c r="F24" s="37" t="s">
        <v>69</v>
      </c>
      <c r="G24" s="37" t="s">
        <v>36</v>
      </c>
      <c r="H24" s="33">
        <v>2.0</v>
      </c>
    </row>
    <row r="25" ht="15.75" customHeight="1">
      <c r="B25" s="33">
        <v>17.0</v>
      </c>
      <c r="C25" s="35" t="s">
        <v>66</v>
      </c>
      <c r="D25" s="37" t="s">
        <v>51</v>
      </c>
      <c r="E25" s="37" t="s">
        <v>67</v>
      </c>
      <c r="F25" s="37" t="s">
        <v>73</v>
      </c>
      <c r="G25" s="37" t="s">
        <v>36</v>
      </c>
      <c r="H25" s="33">
        <v>3.0</v>
      </c>
    </row>
    <row r="26" ht="15.75" customHeight="1">
      <c r="B26" s="33">
        <v>18.0</v>
      </c>
      <c r="C26" s="35" t="s">
        <v>66</v>
      </c>
      <c r="D26" s="37" t="s">
        <v>51</v>
      </c>
      <c r="E26" s="37" t="s">
        <v>67</v>
      </c>
      <c r="F26" s="37" t="s">
        <v>75</v>
      </c>
      <c r="G26" s="37" t="s">
        <v>36</v>
      </c>
      <c r="H26" s="33">
        <v>3.0</v>
      </c>
    </row>
    <row r="27" ht="15.75" customHeight="1">
      <c r="B27" s="33">
        <v>19.0</v>
      </c>
      <c r="C27" s="35" t="s">
        <v>66</v>
      </c>
      <c r="D27" s="37" t="s">
        <v>51</v>
      </c>
      <c r="E27" s="37" t="s">
        <v>67</v>
      </c>
      <c r="F27" s="37" t="s">
        <v>77</v>
      </c>
      <c r="G27" s="37" t="s">
        <v>36</v>
      </c>
      <c r="H27" s="33">
        <v>3.0</v>
      </c>
    </row>
    <row r="28" ht="15.75" customHeight="1">
      <c r="B28" s="33">
        <v>20.0</v>
      </c>
      <c r="C28" s="35" t="s">
        <v>66</v>
      </c>
      <c r="D28" s="37" t="s">
        <v>51</v>
      </c>
      <c r="E28" s="37" t="s">
        <v>67</v>
      </c>
      <c r="F28" s="37" t="s">
        <v>80</v>
      </c>
      <c r="G28" s="37" t="s">
        <v>36</v>
      </c>
      <c r="H28" s="33">
        <v>3.0</v>
      </c>
    </row>
    <row r="29" ht="15.75" customHeight="1">
      <c r="B29" s="33">
        <v>21.0</v>
      </c>
      <c r="C29" s="35" t="s">
        <v>66</v>
      </c>
      <c r="D29" s="37" t="s">
        <v>51</v>
      </c>
      <c r="E29" s="37" t="s">
        <v>67</v>
      </c>
      <c r="F29" s="37" t="s">
        <v>81</v>
      </c>
      <c r="G29" s="37" t="s">
        <v>36</v>
      </c>
      <c r="H29" s="33">
        <v>3.0</v>
      </c>
    </row>
    <row r="30" ht="15.75" customHeight="1">
      <c r="B30" s="33">
        <v>22.0</v>
      </c>
      <c r="C30" s="35" t="s">
        <v>66</v>
      </c>
      <c r="D30" s="37" t="s">
        <v>51</v>
      </c>
      <c r="E30" s="37" t="s">
        <v>83</v>
      </c>
      <c r="F30" s="37" t="s">
        <v>84</v>
      </c>
      <c r="G30" s="37" t="s">
        <v>36</v>
      </c>
      <c r="H30" s="33">
        <v>3.0</v>
      </c>
    </row>
    <row r="31" ht="15.75" customHeight="1">
      <c r="B31" s="33">
        <v>23.0</v>
      </c>
      <c r="C31" s="35" t="s">
        <v>66</v>
      </c>
      <c r="D31" s="37" t="s">
        <v>51</v>
      </c>
      <c r="E31" s="37" t="s">
        <v>83</v>
      </c>
      <c r="F31" s="37" t="s">
        <v>89</v>
      </c>
      <c r="G31" s="37" t="s">
        <v>36</v>
      </c>
      <c r="H31" s="33">
        <v>3.0</v>
      </c>
    </row>
    <row r="32" ht="15.75" customHeight="1">
      <c r="B32" s="33">
        <v>24.0</v>
      </c>
      <c r="C32" s="35" t="s">
        <v>66</v>
      </c>
      <c r="D32" s="37" t="s">
        <v>51</v>
      </c>
      <c r="E32" s="37" t="s">
        <v>83</v>
      </c>
      <c r="F32" s="37" t="s">
        <v>90</v>
      </c>
      <c r="G32" s="37" t="s">
        <v>36</v>
      </c>
      <c r="H32" s="33">
        <v>3.0</v>
      </c>
    </row>
    <row r="33" ht="15.75" customHeight="1">
      <c r="B33" s="33">
        <v>25.0</v>
      </c>
      <c r="C33" s="35" t="s">
        <v>66</v>
      </c>
      <c r="D33" s="37" t="s">
        <v>51</v>
      </c>
      <c r="E33" s="37" t="s">
        <v>83</v>
      </c>
      <c r="F33" s="37" t="s">
        <v>91</v>
      </c>
      <c r="G33" s="37" t="s">
        <v>36</v>
      </c>
      <c r="H33" s="33">
        <v>4.0</v>
      </c>
    </row>
    <row r="34" ht="15.75" customHeight="1">
      <c r="B34" s="33">
        <v>26.0</v>
      </c>
      <c r="C34" s="35" t="s">
        <v>66</v>
      </c>
      <c r="D34" s="37" t="s">
        <v>51</v>
      </c>
      <c r="E34" s="37" t="s">
        <v>83</v>
      </c>
      <c r="F34" s="37" t="s">
        <v>93</v>
      </c>
      <c r="G34" s="37" t="s">
        <v>36</v>
      </c>
      <c r="H34" s="33">
        <v>4.0</v>
      </c>
    </row>
    <row r="35" ht="15.75" customHeight="1">
      <c r="B35" s="33">
        <v>27.0</v>
      </c>
      <c r="C35" s="35" t="s">
        <v>66</v>
      </c>
      <c r="D35" s="37" t="s">
        <v>51</v>
      </c>
      <c r="E35" s="37" t="s">
        <v>83</v>
      </c>
      <c r="F35" s="37" t="s">
        <v>95</v>
      </c>
      <c r="G35" s="37" t="s">
        <v>36</v>
      </c>
      <c r="H35" s="33">
        <v>4.0</v>
      </c>
    </row>
    <row r="36" ht="15.75" customHeight="1">
      <c r="B36" s="33">
        <v>28.0</v>
      </c>
      <c r="C36" s="35" t="s">
        <v>66</v>
      </c>
      <c r="D36" s="37" t="s">
        <v>51</v>
      </c>
      <c r="E36" s="37" t="s">
        <v>83</v>
      </c>
      <c r="F36" s="37" t="s">
        <v>98</v>
      </c>
      <c r="G36" s="37" t="s">
        <v>36</v>
      </c>
      <c r="H36" s="33">
        <v>4.0</v>
      </c>
    </row>
    <row r="37" ht="15.75" customHeight="1">
      <c r="B37" s="33">
        <v>29.0</v>
      </c>
      <c r="C37" s="35" t="s">
        <v>66</v>
      </c>
      <c r="D37" s="37" t="s">
        <v>99</v>
      </c>
      <c r="E37" s="37" t="s">
        <v>101</v>
      </c>
      <c r="F37" s="37" t="s">
        <v>102</v>
      </c>
      <c r="G37" s="37" t="s">
        <v>36</v>
      </c>
      <c r="H37" s="33">
        <v>4.0</v>
      </c>
    </row>
    <row r="38" ht="15.75" customHeight="1">
      <c r="B38" s="33">
        <v>30.0</v>
      </c>
      <c r="C38" s="35" t="s">
        <v>66</v>
      </c>
      <c r="D38" s="37" t="s">
        <v>99</v>
      </c>
      <c r="E38" s="37" t="s">
        <v>101</v>
      </c>
      <c r="F38" s="37" t="s">
        <v>103</v>
      </c>
      <c r="G38" s="37" t="s">
        <v>104</v>
      </c>
      <c r="H38" s="33">
        <v>4.0</v>
      </c>
    </row>
    <row r="39" ht="15.75" customHeight="1">
      <c r="B39" s="33">
        <v>31.0</v>
      </c>
      <c r="C39" s="35" t="s">
        <v>66</v>
      </c>
      <c r="D39" s="37" t="s">
        <v>99</v>
      </c>
      <c r="E39" s="37" t="s">
        <v>101</v>
      </c>
      <c r="F39" s="37" t="s">
        <v>105</v>
      </c>
      <c r="G39" s="37" t="s">
        <v>104</v>
      </c>
      <c r="H39" s="33">
        <v>4.0</v>
      </c>
    </row>
    <row r="40" ht="15.75" customHeight="1">
      <c r="B40" s="33">
        <v>32.0</v>
      </c>
      <c r="C40" s="35" t="s">
        <v>66</v>
      </c>
      <c r="D40" s="37" t="s">
        <v>99</v>
      </c>
      <c r="E40" s="37" t="s">
        <v>101</v>
      </c>
      <c r="F40" s="37" t="s">
        <v>108</v>
      </c>
      <c r="G40" s="37" t="s">
        <v>104</v>
      </c>
      <c r="H40" s="33">
        <v>4.0</v>
      </c>
    </row>
    <row r="41" ht="15.75" customHeight="1">
      <c r="B41" s="33">
        <v>33.0</v>
      </c>
      <c r="C41" s="35" t="s">
        <v>66</v>
      </c>
      <c r="D41" s="37" t="s">
        <v>99</v>
      </c>
      <c r="E41" s="37" t="s">
        <v>101</v>
      </c>
      <c r="F41" s="37" t="s">
        <v>111</v>
      </c>
      <c r="G41" s="37" t="s">
        <v>104</v>
      </c>
      <c r="H41" s="33">
        <v>5.0</v>
      </c>
    </row>
    <row r="42" ht="15.75" customHeight="1">
      <c r="B42" s="33">
        <v>34.0</v>
      </c>
      <c r="C42" s="35" t="s">
        <v>66</v>
      </c>
      <c r="D42" s="37" t="s">
        <v>99</v>
      </c>
      <c r="E42" s="37" t="s">
        <v>101</v>
      </c>
      <c r="F42" s="37" t="s">
        <v>114</v>
      </c>
      <c r="G42" s="37" t="s">
        <v>104</v>
      </c>
      <c r="H42" s="33">
        <v>5.0</v>
      </c>
    </row>
    <row r="43" ht="15.75" customHeight="1">
      <c r="B43" s="33">
        <v>35.0</v>
      </c>
      <c r="C43" s="35" t="s">
        <v>66</v>
      </c>
      <c r="D43" s="37" t="s">
        <v>99</v>
      </c>
      <c r="E43" s="37" t="s">
        <v>101</v>
      </c>
      <c r="F43" s="37" t="s">
        <v>116</v>
      </c>
      <c r="G43" s="37" t="s">
        <v>104</v>
      </c>
      <c r="H43" s="33">
        <v>5.0</v>
      </c>
    </row>
    <row r="44" ht="15.75" customHeight="1">
      <c r="B44" s="33">
        <v>36.0</v>
      </c>
      <c r="C44" s="35" t="s">
        <v>118</v>
      </c>
      <c r="D44" s="37" t="s">
        <v>99</v>
      </c>
      <c r="E44" s="37" t="s">
        <v>120</v>
      </c>
      <c r="F44" s="37" t="s">
        <v>122</v>
      </c>
      <c r="G44" s="37" t="s">
        <v>104</v>
      </c>
      <c r="H44" s="33">
        <v>5.0</v>
      </c>
    </row>
    <row r="45" ht="15.75" customHeight="1">
      <c r="B45" s="33">
        <v>37.0</v>
      </c>
      <c r="C45" s="35" t="s">
        <v>118</v>
      </c>
      <c r="D45" s="37" t="s">
        <v>99</v>
      </c>
      <c r="E45" s="37" t="s">
        <v>120</v>
      </c>
      <c r="F45" s="37" t="s">
        <v>124</v>
      </c>
      <c r="G45" s="37" t="s">
        <v>104</v>
      </c>
      <c r="H45" s="33">
        <v>5.0</v>
      </c>
    </row>
    <row r="46" ht="15.75" customHeight="1">
      <c r="B46" s="33">
        <v>38.0</v>
      </c>
      <c r="C46" s="35" t="s">
        <v>118</v>
      </c>
      <c r="D46" s="37" t="s">
        <v>99</v>
      </c>
      <c r="E46" s="37" t="s">
        <v>120</v>
      </c>
      <c r="F46" s="37" t="s">
        <v>126</v>
      </c>
      <c r="G46" s="37" t="s">
        <v>104</v>
      </c>
      <c r="H46" s="33">
        <v>5.0</v>
      </c>
    </row>
    <row r="47" ht="15.75" customHeight="1">
      <c r="B47" s="33">
        <v>39.0</v>
      </c>
      <c r="C47" s="35" t="s">
        <v>118</v>
      </c>
      <c r="D47" s="37" t="s">
        <v>99</v>
      </c>
      <c r="E47" s="37" t="s">
        <v>120</v>
      </c>
      <c r="F47" s="37" t="s">
        <v>128</v>
      </c>
      <c r="G47" s="37" t="s">
        <v>104</v>
      </c>
      <c r="H47" s="33">
        <v>5.0</v>
      </c>
    </row>
    <row r="48" ht="15.75" customHeight="1">
      <c r="B48" s="33">
        <v>40.0</v>
      </c>
      <c r="C48" s="35" t="s">
        <v>118</v>
      </c>
      <c r="D48" s="37" t="s">
        <v>99</v>
      </c>
      <c r="E48" s="37" t="s">
        <v>120</v>
      </c>
      <c r="F48" s="37" t="s">
        <v>130</v>
      </c>
      <c r="G48" s="37" t="s">
        <v>104</v>
      </c>
      <c r="H48" s="33">
        <v>5.0</v>
      </c>
    </row>
    <row r="49" ht="15.75" customHeight="1">
      <c r="B49" s="33">
        <v>41.0</v>
      </c>
      <c r="C49" s="35" t="s">
        <v>118</v>
      </c>
      <c r="D49" s="37" t="s">
        <v>99</v>
      </c>
      <c r="E49" s="37" t="s">
        <v>120</v>
      </c>
      <c r="F49" s="37" t="s">
        <v>131</v>
      </c>
      <c r="G49" s="37" t="s">
        <v>104</v>
      </c>
      <c r="H49" s="33">
        <v>6.0</v>
      </c>
    </row>
    <row r="50" ht="15.75" customHeight="1">
      <c r="B50" s="33">
        <v>42.0</v>
      </c>
      <c r="C50" s="35" t="s">
        <v>118</v>
      </c>
      <c r="D50" s="37" t="s">
        <v>99</v>
      </c>
      <c r="E50" s="37" t="s">
        <v>120</v>
      </c>
      <c r="F50" s="37" t="s">
        <v>133</v>
      </c>
      <c r="G50" s="37" t="s">
        <v>104</v>
      </c>
      <c r="H50" s="33">
        <v>6.0</v>
      </c>
    </row>
    <row r="51" ht="15.75" customHeight="1">
      <c r="B51" s="33">
        <v>43.0</v>
      </c>
      <c r="C51" s="35" t="s">
        <v>30</v>
      </c>
      <c r="D51" s="37" t="s">
        <v>99</v>
      </c>
      <c r="E51" s="37" t="s">
        <v>136</v>
      </c>
      <c r="F51" s="37" t="s">
        <v>137</v>
      </c>
      <c r="G51" s="37" t="s">
        <v>104</v>
      </c>
      <c r="H51" s="33">
        <v>6.0</v>
      </c>
    </row>
    <row r="52" ht="15.75" customHeight="1">
      <c r="B52" s="33">
        <v>44.0</v>
      </c>
      <c r="C52" s="35" t="s">
        <v>30</v>
      </c>
      <c r="D52" s="37" t="s">
        <v>99</v>
      </c>
      <c r="E52" s="37" t="s">
        <v>136</v>
      </c>
      <c r="F52" s="37" t="s">
        <v>140</v>
      </c>
      <c r="G52" s="37" t="s">
        <v>104</v>
      </c>
      <c r="H52" s="33">
        <v>6.0</v>
      </c>
    </row>
    <row r="53" ht="15.75" customHeight="1">
      <c r="B53" s="33">
        <v>45.0</v>
      </c>
      <c r="C53" s="35" t="s">
        <v>30</v>
      </c>
      <c r="D53" s="37" t="s">
        <v>99</v>
      </c>
      <c r="E53" s="37" t="s">
        <v>136</v>
      </c>
      <c r="F53" s="37" t="s">
        <v>141</v>
      </c>
      <c r="G53" s="37" t="s">
        <v>104</v>
      </c>
      <c r="H53" s="33">
        <v>6.0</v>
      </c>
    </row>
    <row r="54" ht="15.75" customHeight="1">
      <c r="B54" s="33">
        <v>46.0</v>
      </c>
      <c r="C54" s="35" t="s">
        <v>30</v>
      </c>
      <c r="D54" s="37" t="s">
        <v>99</v>
      </c>
      <c r="E54" s="37" t="s">
        <v>136</v>
      </c>
      <c r="F54" s="37" t="s">
        <v>142</v>
      </c>
      <c r="G54" s="37" t="s">
        <v>104</v>
      </c>
      <c r="H54" s="33">
        <v>6.0</v>
      </c>
    </row>
    <row r="55" ht="15.75" customHeight="1">
      <c r="B55" s="33">
        <v>47.0</v>
      </c>
      <c r="C55" s="35" t="s">
        <v>30</v>
      </c>
      <c r="D55" s="37" t="s">
        <v>99</v>
      </c>
      <c r="E55" s="37" t="s">
        <v>136</v>
      </c>
      <c r="F55" s="37" t="s">
        <v>144</v>
      </c>
      <c r="G55" s="37" t="s">
        <v>104</v>
      </c>
      <c r="H55" s="33">
        <v>6.0</v>
      </c>
    </row>
    <row r="56" ht="15.75" customHeight="1">
      <c r="B56" s="33">
        <v>48.0</v>
      </c>
      <c r="C56" s="35" t="s">
        <v>30</v>
      </c>
      <c r="D56" s="37" t="s">
        <v>99</v>
      </c>
      <c r="E56" s="37" t="s">
        <v>136</v>
      </c>
      <c r="F56" s="37" t="s">
        <v>146</v>
      </c>
      <c r="G56" s="37" t="s">
        <v>104</v>
      </c>
      <c r="H56" s="33">
        <v>6.0</v>
      </c>
    </row>
    <row r="57" ht="15.75" customHeight="1">
      <c r="B57" s="33">
        <v>49.0</v>
      </c>
      <c r="C57" s="35" t="s">
        <v>30</v>
      </c>
      <c r="D57" s="37" t="s">
        <v>99</v>
      </c>
      <c r="E57" s="37" t="s">
        <v>136</v>
      </c>
      <c r="F57" s="37" t="s">
        <v>147</v>
      </c>
      <c r="G57" s="37" t="s">
        <v>104</v>
      </c>
      <c r="H57" s="33">
        <v>6.0</v>
      </c>
    </row>
    <row r="58" ht="15.75" customHeight="1">
      <c r="B58" s="33">
        <v>50.0</v>
      </c>
      <c r="C58" s="35" t="s">
        <v>66</v>
      </c>
      <c r="D58" s="37" t="s">
        <v>99</v>
      </c>
      <c r="E58" s="37" t="s">
        <v>148</v>
      </c>
      <c r="F58" s="37" t="s">
        <v>149</v>
      </c>
      <c r="G58" s="37" t="s">
        <v>104</v>
      </c>
      <c r="H58" s="33">
        <v>7.0</v>
      </c>
    </row>
    <row r="59" ht="15.75" customHeight="1">
      <c r="B59" s="33">
        <v>51.0</v>
      </c>
      <c r="C59" s="35" t="s">
        <v>66</v>
      </c>
      <c r="D59" s="37" t="s">
        <v>99</v>
      </c>
      <c r="E59" s="37" t="s">
        <v>148</v>
      </c>
      <c r="F59" s="37" t="s">
        <v>150</v>
      </c>
      <c r="G59" s="37" t="s">
        <v>104</v>
      </c>
      <c r="H59" s="33">
        <v>7.0</v>
      </c>
    </row>
    <row r="60" ht="15.75" customHeight="1">
      <c r="B60" s="33">
        <v>52.0</v>
      </c>
      <c r="C60" s="35" t="s">
        <v>66</v>
      </c>
      <c r="D60" s="37" t="s">
        <v>99</v>
      </c>
      <c r="E60" s="37" t="s">
        <v>148</v>
      </c>
      <c r="F60" s="37" t="s">
        <v>152</v>
      </c>
      <c r="G60" s="37" t="s">
        <v>104</v>
      </c>
      <c r="H60" s="33">
        <v>7.0</v>
      </c>
    </row>
    <row r="61" ht="15.75" customHeight="1">
      <c r="B61" s="33">
        <v>53.0</v>
      </c>
      <c r="C61" s="35" t="s">
        <v>66</v>
      </c>
      <c r="D61" s="37" t="s">
        <v>99</v>
      </c>
      <c r="E61" s="37" t="s">
        <v>148</v>
      </c>
      <c r="F61" s="37" t="s">
        <v>156</v>
      </c>
      <c r="G61" s="37" t="s">
        <v>104</v>
      </c>
      <c r="H61" s="33">
        <v>7.0</v>
      </c>
    </row>
    <row r="62" ht="15.75" customHeight="1">
      <c r="B62" s="33">
        <v>54.0</v>
      </c>
      <c r="C62" s="35" t="s">
        <v>66</v>
      </c>
      <c r="D62" s="37" t="s">
        <v>99</v>
      </c>
      <c r="E62" s="37" t="s">
        <v>148</v>
      </c>
      <c r="F62" s="37" t="s">
        <v>158</v>
      </c>
      <c r="G62" s="37" t="s">
        <v>104</v>
      </c>
      <c r="H62" s="33">
        <v>7.0</v>
      </c>
    </row>
    <row r="63" ht="15.75" customHeight="1">
      <c r="B63" s="33">
        <v>55.0</v>
      </c>
      <c r="C63" s="35" t="s">
        <v>66</v>
      </c>
      <c r="D63" s="37" t="s">
        <v>99</v>
      </c>
      <c r="E63" s="37" t="s">
        <v>148</v>
      </c>
      <c r="F63" s="37" t="s">
        <v>160</v>
      </c>
      <c r="G63" s="37" t="s">
        <v>104</v>
      </c>
      <c r="H63" s="33">
        <v>7.0</v>
      </c>
    </row>
    <row r="64" ht="15.75" customHeight="1">
      <c r="B64" s="33">
        <v>56.0</v>
      </c>
      <c r="C64" s="35" t="s">
        <v>66</v>
      </c>
      <c r="D64" s="37" t="s">
        <v>99</v>
      </c>
      <c r="E64" s="37" t="s">
        <v>148</v>
      </c>
      <c r="F64" s="37" t="s">
        <v>162</v>
      </c>
      <c r="G64" s="37" t="s">
        <v>104</v>
      </c>
      <c r="H64" s="33">
        <v>7.0</v>
      </c>
    </row>
    <row r="65" ht="15.75" customHeight="1">
      <c r="B65" s="33">
        <v>57.0</v>
      </c>
      <c r="C65" s="35" t="s">
        <v>118</v>
      </c>
      <c r="D65" s="37" t="s">
        <v>163</v>
      </c>
      <c r="E65" s="37" t="s">
        <v>164</v>
      </c>
      <c r="F65" s="37" t="s">
        <v>165</v>
      </c>
      <c r="G65" s="37" t="s">
        <v>104</v>
      </c>
      <c r="H65" s="33">
        <v>8.0</v>
      </c>
    </row>
    <row r="66" ht="15.75" customHeight="1">
      <c r="B66" s="33">
        <v>58.0</v>
      </c>
      <c r="C66" s="35" t="s">
        <v>118</v>
      </c>
      <c r="D66" s="37" t="s">
        <v>163</v>
      </c>
      <c r="E66" s="37" t="s">
        <v>164</v>
      </c>
      <c r="F66" s="37" t="s">
        <v>167</v>
      </c>
      <c r="G66" s="37" t="s">
        <v>104</v>
      </c>
      <c r="H66" s="33">
        <v>8.0</v>
      </c>
    </row>
    <row r="67" ht="15.75" customHeight="1">
      <c r="B67" s="33">
        <v>59.0</v>
      </c>
      <c r="C67" s="35" t="s">
        <v>118</v>
      </c>
      <c r="D67" s="37" t="s">
        <v>163</v>
      </c>
      <c r="E67" s="37" t="s">
        <v>164</v>
      </c>
      <c r="F67" s="37" t="s">
        <v>168</v>
      </c>
      <c r="G67" s="37" t="s">
        <v>169</v>
      </c>
      <c r="H67" s="33">
        <v>8.0</v>
      </c>
    </row>
    <row r="68" ht="15.75" customHeight="1">
      <c r="B68" s="33">
        <v>60.0</v>
      </c>
      <c r="C68" s="35" t="s">
        <v>118</v>
      </c>
      <c r="D68" s="37" t="s">
        <v>163</v>
      </c>
      <c r="E68" s="37" t="s">
        <v>164</v>
      </c>
      <c r="F68" s="37" t="s">
        <v>171</v>
      </c>
      <c r="G68" s="37" t="s">
        <v>169</v>
      </c>
      <c r="H68" s="33">
        <v>8.0</v>
      </c>
    </row>
    <row r="69" ht="15.75" customHeight="1">
      <c r="B69" s="33">
        <v>61.0</v>
      </c>
      <c r="C69" s="35" t="s">
        <v>118</v>
      </c>
      <c r="D69" s="37" t="s">
        <v>163</v>
      </c>
      <c r="E69" s="37" t="s">
        <v>164</v>
      </c>
      <c r="F69" s="37" t="s">
        <v>172</v>
      </c>
      <c r="G69" s="37" t="s">
        <v>169</v>
      </c>
      <c r="H69" s="33">
        <v>8.0</v>
      </c>
    </row>
    <row r="70" ht="15.75" customHeight="1">
      <c r="B70" s="33">
        <v>62.0</v>
      </c>
      <c r="C70" s="35" t="s">
        <v>118</v>
      </c>
      <c r="D70" s="37" t="s">
        <v>163</v>
      </c>
      <c r="E70" s="37" t="s">
        <v>164</v>
      </c>
      <c r="F70" s="37" t="s">
        <v>173</v>
      </c>
      <c r="G70" s="37" t="s">
        <v>169</v>
      </c>
      <c r="H70" s="33">
        <v>8.0</v>
      </c>
    </row>
    <row r="71" ht="15.75" customHeight="1">
      <c r="B71" s="33">
        <v>63.0</v>
      </c>
      <c r="C71" s="35" t="s">
        <v>118</v>
      </c>
      <c r="D71" s="37" t="s">
        <v>163</v>
      </c>
      <c r="E71" s="37" t="s">
        <v>164</v>
      </c>
      <c r="F71" s="37" t="s">
        <v>175</v>
      </c>
      <c r="G71" s="37" t="s">
        <v>169</v>
      </c>
      <c r="H71" s="33">
        <v>8.0</v>
      </c>
    </row>
    <row r="72" ht="15.75" customHeight="1">
      <c r="B72" s="33">
        <v>64.0</v>
      </c>
      <c r="C72" s="35" t="s">
        <v>118</v>
      </c>
      <c r="D72" s="37" t="s">
        <v>163</v>
      </c>
      <c r="E72" s="37" t="s">
        <v>176</v>
      </c>
      <c r="F72" s="37" t="s">
        <v>177</v>
      </c>
      <c r="G72" s="37" t="s">
        <v>169</v>
      </c>
      <c r="H72" s="33">
        <v>8.0</v>
      </c>
    </row>
    <row r="73" ht="15.75" customHeight="1">
      <c r="B73" s="33">
        <v>65.0</v>
      </c>
      <c r="C73" s="35" t="s">
        <v>118</v>
      </c>
      <c r="D73" s="37" t="s">
        <v>163</v>
      </c>
      <c r="E73" s="37" t="s">
        <v>176</v>
      </c>
      <c r="F73" s="37" t="s">
        <v>178</v>
      </c>
      <c r="G73" s="37" t="s">
        <v>169</v>
      </c>
      <c r="H73" s="33">
        <v>9.0</v>
      </c>
    </row>
    <row r="74" ht="15.75" customHeight="1">
      <c r="B74" s="33">
        <v>66.0</v>
      </c>
      <c r="C74" s="35" t="s">
        <v>118</v>
      </c>
      <c r="D74" s="37" t="s">
        <v>163</v>
      </c>
      <c r="E74" s="37" t="s">
        <v>176</v>
      </c>
      <c r="F74" s="37" t="s">
        <v>182</v>
      </c>
      <c r="G74" s="37" t="s">
        <v>169</v>
      </c>
      <c r="H74" s="33">
        <v>9.0</v>
      </c>
    </row>
    <row r="75" ht="15.75" customHeight="1">
      <c r="B75" s="33">
        <v>67.0</v>
      </c>
      <c r="C75" s="35" t="s">
        <v>118</v>
      </c>
      <c r="D75" s="37" t="s">
        <v>163</v>
      </c>
      <c r="E75" s="37" t="s">
        <v>176</v>
      </c>
      <c r="F75" s="37" t="s">
        <v>185</v>
      </c>
      <c r="G75" s="37" t="s">
        <v>169</v>
      </c>
      <c r="H75" s="33">
        <v>9.0</v>
      </c>
    </row>
    <row r="76" ht="15.75" customHeight="1">
      <c r="B76" s="33">
        <v>68.0</v>
      </c>
      <c r="C76" s="35" t="s">
        <v>118</v>
      </c>
      <c r="D76" s="37" t="s">
        <v>163</v>
      </c>
      <c r="E76" s="37" t="s">
        <v>176</v>
      </c>
      <c r="F76" s="37" t="s">
        <v>186</v>
      </c>
      <c r="G76" s="37" t="s">
        <v>169</v>
      </c>
      <c r="H76" s="33">
        <v>9.0</v>
      </c>
    </row>
    <row r="77" ht="15.75" customHeight="1">
      <c r="B77" s="33">
        <v>69.0</v>
      </c>
      <c r="C77" s="35" t="s">
        <v>118</v>
      </c>
      <c r="D77" s="37" t="s">
        <v>163</v>
      </c>
      <c r="E77" s="37" t="s">
        <v>176</v>
      </c>
      <c r="F77" s="37" t="s">
        <v>187</v>
      </c>
      <c r="G77" s="37" t="s">
        <v>169</v>
      </c>
      <c r="H77" s="33">
        <v>9.0</v>
      </c>
    </row>
    <row r="78" ht="15.75" customHeight="1">
      <c r="B78" s="33">
        <v>70.0</v>
      </c>
      <c r="C78" s="35" t="s">
        <v>118</v>
      </c>
      <c r="D78" s="37" t="s">
        <v>163</v>
      </c>
      <c r="E78" s="37" t="s">
        <v>176</v>
      </c>
      <c r="F78" s="37" t="s">
        <v>188</v>
      </c>
      <c r="G78" s="37" t="s">
        <v>169</v>
      </c>
      <c r="H78" s="33">
        <v>9.0</v>
      </c>
    </row>
    <row r="79" ht="15.75" customHeight="1">
      <c r="B79" s="33">
        <v>71.0</v>
      </c>
      <c r="C79" s="35" t="s">
        <v>118</v>
      </c>
      <c r="D79" s="37" t="s">
        <v>163</v>
      </c>
      <c r="E79" s="37" t="s">
        <v>192</v>
      </c>
      <c r="F79" s="37" t="s">
        <v>193</v>
      </c>
      <c r="G79" s="37" t="s">
        <v>169</v>
      </c>
      <c r="H79" s="33">
        <v>9.0</v>
      </c>
    </row>
    <row r="80" ht="15.75" customHeight="1">
      <c r="B80" s="33">
        <v>72.0</v>
      </c>
      <c r="C80" s="35" t="s">
        <v>194</v>
      </c>
      <c r="D80" s="37" t="s">
        <v>163</v>
      </c>
      <c r="E80" s="37" t="s">
        <v>192</v>
      </c>
      <c r="F80" s="37" t="s">
        <v>195</v>
      </c>
      <c r="G80" s="37" t="s">
        <v>169</v>
      </c>
      <c r="H80" s="33">
        <v>9.0</v>
      </c>
    </row>
    <row r="81" ht="15.75" customHeight="1">
      <c r="B81" s="33">
        <v>73.0</v>
      </c>
      <c r="C81" s="35" t="s">
        <v>194</v>
      </c>
      <c r="D81" s="37" t="s">
        <v>163</v>
      </c>
      <c r="E81" s="37" t="s">
        <v>192</v>
      </c>
      <c r="F81" s="37" t="s">
        <v>196</v>
      </c>
      <c r="G81" s="37" t="s">
        <v>169</v>
      </c>
      <c r="H81" s="33">
        <v>10.0</v>
      </c>
    </row>
    <row r="82" ht="15.75" customHeight="1">
      <c r="B82" s="33">
        <v>74.0</v>
      </c>
      <c r="C82" s="35" t="s">
        <v>194</v>
      </c>
      <c r="D82" s="37" t="s">
        <v>163</v>
      </c>
      <c r="E82" s="37" t="s">
        <v>192</v>
      </c>
      <c r="F82" s="37" t="s">
        <v>197</v>
      </c>
      <c r="G82" s="37" t="s">
        <v>169</v>
      </c>
      <c r="H82" s="33">
        <v>10.0</v>
      </c>
    </row>
    <row r="83" ht="15.75" customHeight="1">
      <c r="B83" s="33">
        <v>75.0</v>
      </c>
      <c r="C83" s="35" t="s">
        <v>194</v>
      </c>
      <c r="D83" s="37" t="s">
        <v>163</v>
      </c>
      <c r="E83" s="37" t="s">
        <v>192</v>
      </c>
      <c r="F83" s="37" t="s">
        <v>198</v>
      </c>
      <c r="G83" s="37" t="s">
        <v>169</v>
      </c>
      <c r="H83" s="33">
        <v>10.0</v>
      </c>
    </row>
    <row r="84" ht="15.75" customHeight="1">
      <c r="B84" s="33">
        <v>76.0</v>
      </c>
      <c r="C84" s="35" t="s">
        <v>194</v>
      </c>
      <c r="D84" s="37" t="s">
        <v>163</v>
      </c>
      <c r="E84" s="37" t="s">
        <v>192</v>
      </c>
      <c r="F84" s="37" t="s">
        <v>199</v>
      </c>
      <c r="G84" s="37" t="s">
        <v>169</v>
      </c>
      <c r="H84" s="33">
        <v>10.0</v>
      </c>
    </row>
    <row r="85" ht="15.75" customHeight="1">
      <c r="B85" s="33">
        <v>77.0</v>
      </c>
      <c r="C85" s="35" t="s">
        <v>194</v>
      </c>
      <c r="D85" s="37" t="s">
        <v>163</v>
      </c>
      <c r="E85" s="37" t="s">
        <v>192</v>
      </c>
      <c r="F85" s="37" t="s">
        <v>200</v>
      </c>
      <c r="G85" s="37" t="s">
        <v>169</v>
      </c>
      <c r="H85" s="33">
        <v>10.0</v>
      </c>
    </row>
    <row r="86" ht="15.75" customHeight="1">
      <c r="B86" s="33">
        <v>78.0</v>
      </c>
      <c r="C86" s="35" t="s">
        <v>118</v>
      </c>
      <c r="D86" s="37" t="s">
        <v>201</v>
      </c>
      <c r="E86" s="37" t="s">
        <v>202</v>
      </c>
      <c r="F86" s="37" t="s">
        <v>203</v>
      </c>
      <c r="G86" s="37" t="s">
        <v>169</v>
      </c>
      <c r="H86" s="33">
        <v>10.0</v>
      </c>
    </row>
    <row r="87" ht="15.75" customHeight="1">
      <c r="B87" s="33">
        <v>79.0</v>
      </c>
      <c r="C87" s="35" t="s">
        <v>118</v>
      </c>
      <c r="D87" s="37" t="s">
        <v>201</v>
      </c>
      <c r="E87" s="37" t="s">
        <v>202</v>
      </c>
      <c r="F87" s="37" t="s">
        <v>206</v>
      </c>
      <c r="G87" s="37" t="s">
        <v>169</v>
      </c>
      <c r="H87" s="33">
        <v>10.0</v>
      </c>
    </row>
    <row r="88" ht="15.75" customHeight="1">
      <c r="B88" s="33">
        <v>80.0</v>
      </c>
      <c r="C88" s="35" t="s">
        <v>118</v>
      </c>
      <c r="D88" s="37" t="s">
        <v>201</v>
      </c>
      <c r="E88" s="37" t="s">
        <v>202</v>
      </c>
      <c r="F88" s="37" t="s">
        <v>210</v>
      </c>
      <c r="G88" s="37" t="s">
        <v>169</v>
      </c>
      <c r="H88" s="33">
        <v>10.0</v>
      </c>
    </row>
    <row r="89" ht="15.75" customHeight="1">
      <c r="B89" s="33">
        <v>81.0</v>
      </c>
      <c r="C89" s="35" t="s">
        <v>118</v>
      </c>
      <c r="D89" s="37" t="s">
        <v>201</v>
      </c>
      <c r="E89" s="37" t="s">
        <v>202</v>
      </c>
      <c r="F89" s="37" t="s">
        <v>211</v>
      </c>
      <c r="G89" s="37" t="s">
        <v>169</v>
      </c>
      <c r="H89" s="33">
        <v>11.0</v>
      </c>
    </row>
    <row r="90" ht="15.75" customHeight="1">
      <c r="B90" s="33">
        <v>82.0</v>
      </c>
      <c r="C90" s="35" t="s">
        <v>118</v>
      </c>
      <c r="D90" s="37" t="s">
        <v>201</v>
      </c>
      <c r="E90" s="37" t="s">
        <v>202</v>
      </c>
      <c r="F90" s="37" t="s">
        <v>212</v>
      </c>
      <c r="G90" s="37" t="s">
        <v>169</v>
      </c>
      <c r="H90" s="33">
        <v>11.0</v>
      </c>
    </row>
    <row r="91" ht="15.75" customHeight="1">
      <c r="B91" s="33">
        <v>83.0</v>
      </c>
      <c r="C91" s="35" t="s">
        <v>118</v>
      </c>
      <c r="D91" s="37" t="s">
        <v>201</v>
      </c>
      <c r="E91" s="37" t="s">
        <v>202</v>
      </c>
      <c r="F91" s="37" t="s">
        <v>213</v>
      </c>
      <c r="G91" s="37" t="s">
        <v>214</v>
      </c>
      <c r="H91" s="33">
        <v>11.0</v>
      </c>
    </row>
    <row r="92" ht="15.75" customHeight="1">
      <c r="B92" s="33">
        <v>84.0</v>
      </c>
      <c r="C92" s="35" t="s">
        <v>194</v>
      </c>
      <c r="D92" s="37" t="s">
        <v>201</v>
      </c>
      <c r="E92" s="37" t="s">
        <v>215</v>
      </c>
      <c r="F92" s="37" t="s">
        <v>216</v>
      </c>
      <c r="G92" s="37" t="s">
        <v>214</v>
      </c>
      <c r="H92" s="33">
        <v>11.0</v>
      </c>
    </row>
    <row r="93" ht="15.75" customHeight="1">
      <c r="B93" s="33">
        <v>85.0</v>
      </c>
      <c r="C93" s="35" t="s">
        <v>194</v>
      </c>
      <c r="D93" s="37" t="s">
        <v>201</v>
      </c>
      <c r="E93" s="37" t="s">
        <v>215</v>
      </c>
      <c r="F93" s="37" t="s">
        <v>217</v>
      </c>
      <c r="G93" s="37" t="s">
        <v>214</v>
      </c>
      <c r="H93" s="33">
        <v>11.0</v>
      </c>
    </row>
    <row r="94" ht="15.75" customHeight="1">
      <c r="B94" s="33">
        <v>86.0</v>
      </c>
      <c r="C94" s="35" t="s">
        <v>194</v>
      </c>
      <c r="D94" s="37" t="s">
        <v>201</v>
      </c>
      <c r="E94" s="37" t="s">
        <v>215</v>
      </c>
      <c r="F94" s="37" t="s">
        <v>223</v>
      </c>
      <c r="G94" s="37" t="s">
        <v>214</v>
      </c>
      <c r="H94" s="33">
        <v>11.0</v>
      </c>
    </row>
    <row r="95" ht="15.75" customHeight="1">
      <c r="B95" s="33">
        <v>87.0</v>
      </c>
      <c r="C95" s="35" t="s">
        <v>194</v>
      </c>
      <c r="D95" s="37" t="s">
        <v>201</v>
      </c>
      <c r="E95" s="37" t="s">
        <v>215</v>
      </c>
      <c r="F95" s="37" t="s">
        <v>224</v>
      </c>
      <c r="G95" s="37" t="s">
        <v>214</v>
      </c>
      <c r="H95" s="33">
        <v>11.0</v>
      </c>
    </row>
    <row r="96" ht="15.75" customHeight="1">
      <c r="B96" s="33">
        <v>88.0</v>
      </c>
      <c r="C96" s="35" t="s">
        <v>194</v>
      </c>
      <c r="D96" s="37" t="s">
        <v>201</v>
      </c>
      <c r="E96" s="37" t="s">
        <v>215</v>
      </c>
      <c r="F96" s="37" t="s">
        <v>225</v>
      </c>
      <c r="G96" s="37" t="s">
        <v>214</v>
      </c>
      <c r="H96" s="33">
        <v>11.0</v>
      </c>
    </row>
    <row r="97" ht="15.75" customHeight="1">
      <c r="B97" s="33">
        <v>89.0</v>
      </c>
      <c r="C97" s="35" t="s">
        <v>194</v>
      </c>
      <c r="D97" s="37" t="s">
        <v>201</v>
      </c>
      <c r="E97" s="37" t="s">
        <v>215</v>
      </c>
      <c r="F97" s="37" t="s">
        <v>226</v>
      </c>
      <c r="G97" s="37" t="s">
        <v>214</v>
      </c>
      <c r="H97" s="33">
        <v>11.0</v>
      </c>
    </row>
    <row r="98" ht="15.75" customHeight="1">
      <c r="B98" s="10">
        <v>90.0</v>
      </c>
      <c r="C98" s="2"/>
      <c r="H98" s="10"/>
    </row>
    <row r="99" ht="15.75" customHeight="1">
      <c r="B99" s="10">
        <v>91.0</v>
      </c>
      <c r="C99" s="2"/>
      <c r="H99" s="10"/>
    </row>
    <row r="100" ht="15.75" customHeight="1">
      <c r="B100" s="10">
        <v>92.0</v>
      </c>
      <c r="C100" s="2"/>
      <c r="H100" s="10"/>
    </row>
    <row r="101" ht="15.75" customHeight="1">
      <c r="B101" s="10">
        <v>93.0</v>
      </c>
      <c r="C101" s="2"/>
      <c r="H101" s="10"/>
    </row>
    <row r="102" ht="15.75" customHeight="1">
      <c r="B102" s="10">
        <v>94.0</v>
      </c>
      <c r="C102" s="2"/>
      <c r="H102" s="10"/>
    </row>
    <row r="103" ht="15.75" customHeight="1">
      <c r="B103" s="10">
        <v>95.0</v>
      </c>
      <c r="C103" s="2"/>
    </row>
    <row r="104" ht="15.75" customHeight="1">
      <c r="B104" s="10">
        <v>96.0</v>
      </c>
      <c r="C104" s="2"/>
    </row>
    <row r="105" ht="15.75" customHeight="1">
      <c r="B105" s="10">
        <v>97.0</v>
      </c>
      <c r="C105" s="2"/>
    </row>
    <row r="106" ht="15.75" customHeight="1">
      <c r="B106" s="10">
        <v>98.0</v>
      </c>
      <c r="C106" s="2"/>
    </row>
    <row r="107" ht="15.75" customHeight="1">
      <c r="B107" s="10">
        <v>99.0</v>
      </c>
      <c r="C107" s="2"/>
    </row>
    <row r="108" ht="15.75" customHeight="1">
      <c r="B108" s="10">
        <v>100.0</v>
      </c>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8" t="s">
        <v>3</v>
      </c>
    </row>
    <row r="3" ht="15.75" customHeight="1"/>
    <row r="4" ht="15.75" customHeight="1">
      <c r="B4" s="12" t="s">
        <v>2</v>
      </c>
      <c r="C4" s="17" t="s">
        <v>4</v>
      </c>
      <c r="D4" s="16"/>
      <c r="E4" s="16"/>
      <c r="F4" s="16"/>
      <c r="G4" s="18"/>
    </row>
    <row r="5" ht="15.75" customHeight="1">
      <c r="B5" s="22" t="s">
        <v>17</v>
      </c>
      <c r="C5" s="25">
        <v>1.0</v>
      </c>
      <c r="D5" s="16"/>
      <c r="E5" s="16"/>
      <c r="F5" s="16"/>
      <c r="G5" s="18"/>
    </row>
    <row r="6" ht="15.75" customHeight="1">
      <c r="B6" s="22" t="s">
        <v>21</v>
      </c>
      <c r="C6" s="29">
        <v>135.0</v>
      </c>
      <c r="D6" s="16"/>
      <c r="E6" s="16"/>
      <c r="F6" s="16"/>
      <c r="G6" s="18"/>
    </row>
    <row r="7" ht="15.75" customHeight="1"/>
    <row r="8" ht="15.75" customHeight="1">
      <c r="K8" s="32" t="s">
        <v>28</v>
      </c>
    </row>
    <row r="9" ht="15.75" customHeight="1">
      <c r="A9" s="34" t="s">
        <v>29</v>
      </c>
      <c r="G9" s="36" t="s">
        <v>31</v>
      </c>
      <c r="H9" s="38">
        <v>15.0</v>
      </c>
    </row>
    <row r="10" ht="15.75" customHeight="1">
      <c r="G10" s="39" t="s">
        <v>37</v>
      </c>
    </row>
    <row r="11" ht="31.5" customHeight="1">
      <c r="A11" s="40" t="s">
        <v>39</v>
      </c>
      <c r="B11" s="17" t="s">
        <v>41</v>
      </c>
      <c r="C11" s="16"/>
      <c r="D11" s="16"/>
      <c r="E11" s="16"/>
      <c r="F11" s="16"/>
      <c r="G11" s="16"/>
      <c r="H11" s="18"/>
    </row>
    <row r="12">
      <c r="A12" s="40" t="s">
        <v>43</v>
      </c>
      <c r="B12" s="17" t="s">
        <v>45</v>
      </c>
      <c r="C12" s="16"/>
      <c r="D12" s="16"/>
      <c r="E12" s="16"/>
      <c r="F12" s="16"/>
      <c r="G12" s="16"/>
      <c r="H12" s="18"/>
    </row>
    <row r="13">
      <c r="A13" s="42" t="s">
        <v>48</v>
      </c>
      <c r="B13" s="17" t="s">
        <v>50</v>
      </c>
      <c r="C13" s="16"/>
      <c r="D13" s="16"/>
      <c r="E13" s="16"/>
      <c r="F13" s="16"/>
      <c r="G13" s="16"/>
      <c r="H13" s="18"/>
    </row>
    <row r="14">
      <c r="A14" s="42" t="s">
        <v>55</v>
      </c>
      <c r="B14" s="17" t="s">
        <v>57</v>
      </c>
      <c r="C14" s="16"/>
      <c r="D14" s="16"/>
      <c r="E14" s="16"/>
      <c r="F14" s="16"/>
      <c r="G14" s="16"/>
      <c r="H14" s="18"/>
    </row>
    <row r="15" ht="15.75" customHeight="1">
      <c r="A15" s="45" t="s">
        <v>59</v>
      </c>
      <c r="B15" s="46">
        <v>15.0</v>
      </c>
      <c r="C15" s="16"/>
      <c r="D15" s="16"/>
      <c r="E15" s="16"/>
      <c r="F15" s="16"/>
      <c r="G15" s="16"/>
      <c r="H15" s="18"/>
    </row>
    <row r="16" ht="15.75" customHeight="1"/>
    <row r="17" ht="15.75" customHeight="1"/>
    <row r="18" ht="15.75" customHeight="1">
      <c r="A18" s="47" t="s">
        <v>65</v>
      </c>
      <c r="G18" s="36" t="s">
        <v>31</v>
      </c>
      <c r="H18" s="38">
        <v>30.0</v>
      </c>
    </row>
    <row r="19" ht="15.75" customHeight="1">
      <c r="G19" s="39" t="s">
        <v>70</v>
      </c>
      <c r="K19" s="32" t="s">
        <v>72</v>
      </c>
    </row>
    <row r="20">
      <c r="A20" s="40" t="s">
        <v>74</v>
      </c>
      <c r="B20" s="17" t="s">
        <v>76</v>
      </c>
      <c r="C20" s="16"/>
      <c r="D20" s="16"/>
      <c r="E20" s="16"/>
      <c r="F20" s="16"/>
      <c r="G20" s="16"/>
      <c r="H20" s="18"/>
    </row>
    <row r="21">
      <c r="A21" s="40" t="s">
        <v>78</v>
      </c>
      <c r="B21" s="17" t="s">
        <v>79</v>
      </c>
      <c r="C21" s="16"/>
      <c r="D21" s="16"/>
      <c r="E21" s="16"/>
      <c r="F21" s="16"/>
      <c r="G21" s="16"/>
      <c r="H21" s="18"/>
    </row>
    <row r="22">
      <c r="A22" s="45" t="s">
        <v>59</v>
      </c>
      <c r="B22" s="53">
        <v>30.0</v>
      </c>
      <c r="C22" s="16"/>
      <c r="D22" s="16"/>
      <c r="E22" s="16"/>
      <c r="F22" s="16"/>
      <c r="G22" s="16"/>
      <c r="H22" s="18"/>
    </row>
    <row r="23" ht="15.75" customHeight="1"/>
    <row r="24" ht="15.75" customHeight="1"/>
    <row r="25" ht="15.75" customHeight="1">
      <c r="A25" s="47" t="s">
        <v>92</v>
      </c>
      <c r="G25" s="55" t="s">
        <v>31</v>
      </c>
      <c r="H25" s="58">
        <f>B29</f>
        <v>30</v>
      </c>
    </row>
    <row r="26" ht="15.75" customHeight="1">
      <c r="G26" s="39" t="s">
        <v>106</v>
      </c>
      <c r="H26" s="39"/>
      <c r="I26" s="39"/>
      <c r="J26" s="39"/>
    </row>
    <row r="27" ht="39.75" customHeight="1">
      <c r="A27" s="40" t="s">
        <v>109</v>
      </c>
      <c r="B27" s="17" t="s">
        <v>110</v>
      </c>
      <c r="C27" s="16"/>
      <c r="D27" s="16"/>
      <c r="E27" s="16"/>
      <c r="F27" s="16"/>
      <c r="G27" s="16"/>
      <c r="H27" s="18"/>
      <c r="K27" s="32" t="s">
        <v>117</v>
      </c>
    </row>
    <row r="28" ht="69.75" customHeight="1">
      <c r="A28" s="40" t="s">
        <v>119</v>
      </c>
      <c r="B28" s="17" t="s">
        <v>121</v>
      </c>
      <c r="C28" s="16"/>
      <c r="D28" s="16"/>
      <c r="E28" s="16"/>
      <c r="F28" s="16"/>
      <c r="G28" s="16"/>
      <c r="H28" s="18"/>
    </row>
    <row r="29" ht="15.75" customHeight="1">
      <c r="A29" s="45" t="s">
        <v>59</v>
      </c>
      <c r="B29" s="46">
        <v>30.0</v>
      </c>
      <c r="C29" s="16"/>
      <c r="D29" s="16"/>
      <c r="E29" s="16"/>
      <c r="F29" s="16"/>
      <c r="G29" s="16"/>
      <c r="H29" s="18"/>
    </row>
    <row r="30" ht="15.75" customHeight="1"/>
    <row r="31" ht="15.75" customHeight="1"/>
    <row r="32" ht="15.75" customHeight="1">
      <c r="A32" s="47" t="s">
        <v>132</v>
      </c>
      <c r="G32" s="55" t="s">
        <v>31</v>
      </c>
      <c r="H32" s="38">
        <v>0.0</v>
      </c>
    </row>
    <row r="33" ht="15.75" customHeight="1">
      <c r="A33" s="21" t="s">
        <v>134</v>
      </c>
      <c r="G33" s="21" t="s">
        <v>138</v>
      </c>
    </row>
    <row r="34">
      <c r="A34" s="40" t="s">
        <v>139</v>
      </c>
      <c r="B34" s="17"/>
      <c r="C34" s="16"/>
      <c r="D34" s="16"/>
      <c r="E34" s="16"/>
      <c r="F34" s="16"/>
      <c r="G34" s="16"/>
      <c r="H34" s="18"/>
      <c r="K34" s="32" t="s">
        <v>143</v>
      </c>
    </row>
    <row r="35">
      <c r="A35" s="40" t="s">
        <v>145</v>
      </c>
      <c r="B35" s="17"/>
      <c r="C35" s="16"/>
      <c r="D35" s="16"/>
      <c r="E35" s="16"/>
      <c r="F35" s="16"/>
      <c r="G35" s="16"/>
      <c r="H35" s="18"/>
    </row>
    <row r="36" ht="15.75" customHeight="1">
      <c r="A36" s="45" t="s">
        <v>59</v>
      </c>
      <c r="B36" s="25"/>
      <c r="C36" s="16"/>
      <c r="D36" s="16"/>
      <c r="E36" s="16"/>
      <c r="F36" s="16"/>
      <c r="G36" s="16"/>
      <c r="H36" s="18"/>
    </row>
    <row r="37" ht="15.75" customHeight="1"/>
    <row r="38" ht="15.75" customHeight="1"/>
    <row r="39" ht="15.75" customHeight="1">
      <c r="A39" s="47" t="s">
        <v>151</v>
      </c>
      <c r="G39" s="55" t="s">
        <v>31</v>
      </c>
      <c r="H39" s="58">
        <f>B41</f>
        <v>30</v>
      </c>
    </row>
    <row r="40" ht="15.75" customHeight="1">
      <c r="G40" s="39" t="s">
        <v>157</v>
      </c>
    </row>
    <row r="41" ht="15.75" customHeight="1">
      <c r="A41" s="45" t="s">
        <v>59</v>
      </c>
      <c r="B41" s="46">
        <v>30.0</v>
      </c>
      <c r="C41" s="16"/>
      <c r="D41" s="16"/>
      <c r="E41" s="16"/>
      <c r="F41" s="16"/>
      <c r="G41" s="16"/>
      <c r="H41" s="18"/>
    </row>
    <row r="42" ht="15.75" customHeight="1"/>
    <row r="43" ht="15.75" customHeight="1"/>
    <row r="44" ht="15.75" customHeight="1">
      <c r="A44" s="47" t="s">
        <v>166</v>
      </c>
      <c r="G44" s="55" t="s">
        <v>31</v>
      </c>
      <c r="H44" s="38">
        <v>10.0</v>
      </c>
    </row>
    <row r="45" ht="15.75" customHeight="1">
      <c r="G45" s="39" t="s">
        <v>37</v>
      </c>
    </row>
    <row r="46">
      <c r="A46" s="40" t="s">
        <v>170</v>
      </c>
      <c r="B46" s="86" t="s">
        <v>174</v>
      </c>
      <c r="C46" s="16"/>
      <c r="D46" s="16"/>
      <c r="E46" s="16"/>
      <c r="F46" s="16"/>
      <c r="G46" s="16"/>
      <c r="H46" s="18"/>
    </row>
    <row r="47" ht="15.75" customHeight="1">
      <c r="A47" s="45" t="s">
        <v>59</v>
      </c>
      <c r="B47" s="53">
        <v>10.0</v>
      </c>
      <c r="C47" s="16"/>
      <c r="D47" s="16"/>
      <c r="E47" s="16"/>
      <c r="F47" s="16"/>
      <c r="G47" s="16"/>
      <c r="H47" s="18"/>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251</v>
      </c>
    </row>
    <row r="3" ht="15.75" customHeight="1"/>
    <row r="4" ht="15.75" customHeight="1">
      <c r="B4" s="12" t="s">
        <v>2</v>
      </c>
      <c r="C4" s="101" t="s">
        <v>4</v>
      </c>
      <c r="D4" s="16"/>
      <c r="E4" s="16"/>
      <c r="F4" s="16"/>
      <c r="G4" s="18"/>
    </row>
    <row r="5" ht="15.75" customHeight="1">
      <c r="B5" s="22" t="s">
        <v>17</v>
      </c>
      <c r="C5" s="46">
        <v>2.0</v>
      </c>
      <c r="D5" s="16"/>
      <c r="E5" s="16"/>
      <c r="F5" s="16"/>
      <c r="G5" s="18"/>
    </row>
    <row r="6" ht="15.75" customHeight="1">
      <c r="B6" s="102" t="s">
        <v>21</v>
      </c>
      <c r="C6" s="46">
        <v>130.0</v>
      </c>
      <c r="D6" s="16"/>
      <c r="E6" s="16"/>
      <c r="F6" s="16"/>
      <c r="G6" s="18"/>
      <c r="I6" s="10"/>
    </row>
    <row r="7" ht="15.75" customHeight="1">
      <c r="B7" s="102" t="s">
        <v>252</v>
      </c>
      <c r="C7" s="46">
        <v>12.0</v>
      </c>
      <c r="D7" s="16"/>
      <c r="E7" s="16"/>
      <c r="F7" s="16"/>
      <c r="G7" s="18"/>
    </row>
    <row r="8">
      <c r="B8" s="102" t="s">
        <v>253</v>
      </c>
      <c r="C8" s="103" t="s">
        <v>254</v>
      </c>
      <c r="D8" s="16"/>
      <c r="E8" s="16"/>
      <c r="F8" s="16"/>
      <c r="G8" s="18"/>
      <c r="I8" s="10"/>
      <c r="J8" s="10"/>
      <c r="K8" s="10"/>
    </row>
    <row r="9" ht="15.75" customHeight="1"/>
    <row r="10" ht="15.75" customHeight="1">
      <c r="A10" s="105" t="s">
        <v>255</v>
      </c>
      <c r="G10" s="55" t="s">
        <v>31</v>
      </c>
      <c r="H10" s="106">
        <f>B13</f>
        <v>5</v>
      </c>
    </row>
    <row r="11" ht="15.75" customHeight="1">
      <c r="G11" s="39" t="s">
        <v>256</v>
      </c>
    </row>
    <row r="12" ht="15.75" customHeight="1">
      <c r="A12" s="42" t="s">
        <v>257</v>
      </c>
      <c r="B12" s="29" t="s">
        <v>258</v>
      </c>
      <c r="C12" s="16"/>
      <c r="D12" s="16"/>
      <c r="E12" s="16"/>
      <c r="F12" s="16"/>
      <c r="G12" s="16"/>
      <c r="H12" s="18"/>
    </row>
    <row r="13" ht="15.75" customHeight="1">
      <c r="A13" s="45" t="s">
        <v>31</v>
      </c>
      <c r="B13" s="29">
        <v>5.0</v>
      </c>
      <c r="C13" s="16"/>
      <c r="D13" s="16"/>
      <c r="E13" s="16"/>
      <c r="F13" s="16"/>
      <c r="G13" s="16"/>
      <c r="H13" s="18"/>
    </row>
    <row r="14" ht="15.75" customHeight="1">
      <c r="A14" s="108" t="s">
        <v>259</v>
      </c>
      <c r="B14" s="16"/>
      <c r="C14" s="16"/>
      <c r="D14" s="16"/>
      <c r="E14" s="16"/>
      <c r="F14" s="16"/>
      <c r="G14" s="16"/>
      <c r="H14" s="18"/>
    </row>
    <row r="15" ht="15.75" customHeight="1">
      <c r="A15" s="95" t="s">
        <v>260</v>
      </c>
      <c r="B15" s="96"/>
      <c r="C15" s="96"/>
      <c r="D15" s="96"/>
      <c r="E15" s="96"/>
      <c r="F15" s="96"/>
      <c r="G15" s="96"/>
      <c r="H15" s="97"/>
    </row>
    <row r="16" ht="30.75" customHeight="1">
      <c r="A16" s="98"/>
      <c r="B16" s="99"/>
      <c r="C16" s="99"/>
      <c r="D16" s="99"/>
      <c r="E16" s="99"/>
      <c r="F16" s="99"/>
      <c r="G16" s="99"/>
      <c r="H16" s="100"/>
    </row>
    <row r="17" ht="30.75" customHeight="1">
      <c r="A17" s="108" t="s">
        <v>261</v>
      </c>
      <c r="B17" s="16"/>
      <c r="C17" s="16"/>
      <c r="D17" s="16"/>
      <c r="E17" s="16"/>
      <c r="F17" s="16"/>
      <c r="G17" s="16"/>
      <c r="H17" s="18"/>
    </row>
    <row r="18" ht="15.75" customHeight="1">
      <c r="A18" s="95" t="s">
        <v>262</v>
      </c>
      <c r="B18" s="96"/>
      <c r="C18" s="96"/>
      <c r="D18" s="96"/>
      <c r="E18" s="96"/>
      <c r="F18" s="96"/>
      <c r="G18" s="96"/>
      <c r="H18" s="97"/>
    </row>
    <row r="19" ht="48.75" customHeight="1">
      <c r="A19" s="98"/>
      <c r="B19" s="99"/>
      <c r="C19" s="99"/>
      <c r="D19" s="99"/>
      <c r="E19" s="99"/>
      <c r="F19" s="99"/>
      <c r="G19" s="99"/>
      <c r="H19" s="100"/>
    </row>
    <row r="20" ht="15.75" customHeight="1"/>
    <row r="21" ht="15.75" customHeight="1">
      <c r="A21" s="105" t="s">
        <v>264</v>
      </c>
      <c r="G21" s="55" t="s">
        <v>31</v>
      </c>
      <c r="H21" s="109">
        <v>60.0</v>
      </c>
      <c r="I21" s="10"/>
    </row>
    <row r="22" ht="15.75" customHeight="1">
      <c r="G22" s="39" t="s">
        <v>265</v>
      </c>
    </row>
    <row r="23" ht="15.75" customHeight="1">
      <c r="A23" s="42" t="s">
        <v>266</v>
      </c>
      <c r="B23" s="29" t="s">
        <v>267</v>
      </c>
      <c r="C23" s="16"/>
      <c r="D23" s="16"/>
      <c r="E23" s="16"/>
      <c r="F23" s="16"/>
      <c r="G23" s="16"/>
      <c r="H23" s="18"/>
    </row>
    <row r="24" ht="15.75" customHeight="1">
      <c r="A24" s="42" t="s">
        <v>266</v>
      </c>
      <c r="B24" s="29" t="s">
        <v>267</v>
      </c>
      <c r="C24" s="16"/>
      <c r="D24" s="16"/>
      <c r="E24" s="16"/>
      <c r="F24" s="16"/>
      <c r="G24" s="16"/>
      <c r="H24" s="18"/>
    </row>
    <row r="25" ht="15.75" customHeight="1"/>
    <row r="26" ht="15.75" customHeight="1">
      <c r="A26" s="110" t="s">
        <v>268</v>
      </c>
      <c r="B26" s="10"/>
      <c r="C26" s="10"/>
      <c r="D26" s="10"/>
    </row>
    <row r="27" ht="15.75" customHeight="1">
      <c r="A27" s="111" t="s">
        <v>20</v>
      </c>
      <c r="B27" s="112" t="s">
        <v>270</v>
      </c>
      <c r="C27" s="18"/>
      <c r="D27" s="112" t="s">
        <v>271</v>
      </c>
      <c r="E27" s="18"/>
      <c r="F27" s="112" t="s">
        <v>272</v>
      </c>
      <c r="G27" s="16"/>
      <c r="H27" s="18"/>
    </row>
    <row r="28" ht="15.75" customHeight="1">
      <c r="A28" s="22">
        <v>1.0</v>
      </c>
      <c r="B28" s="25" t="str">
        <f>IFERROR(__xludf.DUMMYFUNCTION("FILTER('Diseño'!D:D,'Diseño'!H:H=$C$5)"),"Unidad 2: Los sistemas abstractos diseñados")</f>
        <v>Unidad 2: Los sistemas abstractos diseñados</v>
      </c>
      <c r="C28" s="18"/>
      <c r="D28" s="25" t="str">
        <f>IFERROR(__xludf.DUMMYFUNCTION("FILTER('Diseño'!E:E,'Diseño'!H:H=$C$5)"),"Operaciones mentales sistémicas")</f>
        <v>Operaciones mentales sistémicas</v>
      </c>
      <c r="E28" s="18"/>
      <c r="F28" s="25" t="str">
        <f>IFERROR(__xludf.DUMMYFUNCTION("FILTER('Diseño'!F:F,'Diseño'!H:H=$C$5)"),"El pensamiento sistémico como emergente")</f>
        <v>El pensamiento sistémico como emergente</v>
      </c>
      <c r="G28" s="16"/>
      <c r="H28" s="18"/>
    </row>
    <row r="29" ht="15.75" customHeight="1">
      <c r="A29" s="22">
        <v>2.0</v>
      </c>
      <c r="B29" s="25" t="str">
        <f>IFERROR(__xludf.DUMMYFUNCTION("""COMPUTED_VALUE"""),"Unidad 2: Los sistemas abstractos diseñados")</f>
        <v>Unidad 2: Los sistemas abstractos diseñados</v>
      </c>
      <c r="C29" s="18"/>
      <c r="D29" s="25" t="str">
        <f>IFERROR(__xludf.DUMMYFUNCTION("""COMPUTED_VALUE"""),"Operaciones mentales sistémicas")</f>
        <v>Operaciones mentales sistémicas</v>
      </c>
      <c r="E29" s="18"/>
      <c r="F29" s="25" t="str">
        <f>IFERROR(__xludf.DUMMYFUNCTION("""COMPUTED_VALUE"""),"Hábitos relacionados con los sistemas abstractos")</f>
        <v>Hábitos relacionados con los sistemas abstractos</v>
      </c>
      <c r="G29" s="16"/>
      <c r="H29" s="18"/>
    </row>
    <row r="30" ht="15.75" customHeight="1">
      <c r="A30" s="22">
        <v>3.0</v>
      </c>
      <c r="B30" s="25" t="str">
        <f>IFERROR(__xludf.DUMMYFUNCTION("""COMPUTED_VALUE"""),"Unidad 2: Los sistemas abstractos diseñados")</f>
        <v>Unidad 2: Los sistemas abstractos diseñados</v>
      </c>
      <c r="C30" s="18"/>
      <c r="D30" s="25" t="str">
        <f>IFERROR(__xludf.DUMMYFUNCTION("""COMPUTED_VALUE"""),"Operaciones mentales sistémicas")</f>
        <v>Operaciones mentales sistémicas</v>
      </c>
      <c r="E30" s="18"/>
      <c r="F30" s="25" t="str">
        <f>IFERROR(__xludf.DUMMYFUNCTION("""COMPUTED_VALUE"""),"El pensamiento adaptativo complejo")</f>
        <v>El pensamiento adaptativo complejo</v>
      </c>
      <c r="G30" s="16"/>
      <c r="H30" s="18"/>
    </row>
    <row r="31" ht="15.75" customHeight="1">
      <c r="A31" s="22">
        <v>4.0</v>
      </c>
      <c r="B31" s="25" t="str">
        <f>IFERROR(__xludf.DUMMYFUNCTION("""COMPUTED_VALUE"""),"Unidad 2: Los sistemas abstractos diseñados")</f>
        <v>Unidad 2: Los sistemas abstractos diseñados</v>
      </c>
      <c r="C31" s="18"/>
      <c r="D31" s="25" t="str">
        <f>IFERROR(__xludf.DUMMYFUNCTION("""COMPUTED_VALUE"""),"Operaciones mentales sistémicas")</f>
        <v>Operaciones mentales sistémicas</v>
      </c>
      <c r="E31" s="18"/>
      <c r="F31" s="25" t="str">
        <f>IFERROR(__xludf.DUMMYFUNCTION("""COMPUTED_VALUE"""),"La perspectiva en sistemas abstractos")</f>
        <v>La perspectiva en sistemas abstractos</v>
      </c>
      <c r="G31" s="16"/>
      <c r="H31" s="18"/>
    </row>
    <row r="32" ht="15.75" customHeight="1">
      <c r="A32" s="22">
        <v>5.0</v>
      </c>
      <c r="B32" s="25" t="str">
        <f>IFERROR(__xludf.DUMMYFUNCTION("""COMPUTED_VALUE"""),"Unidad 2: Los sistemas abstractos diseñados")</f>
        <v>Unidad 2: Los sistemas abstractos diseñados</v>
      </c>
      <c r="C32" s="18"/>
      <c r="D32" s="25" t="str">
        <f>IFERROR(__xludf.DUMMYFUNCTION("""COMPUTED_VALUE"""),"Operaciones mentales sistémicas")</f>
        <v>Operaciones mentales sistémicas</v>
      </c>
      <c r="E32" s="18"/>
      <c r="F32" s="25" t="str">
        <f>IFERROR(__xludf.DUMMYFUNCTION("""COMPUTED_VALUE"""),"Comparación entre sistemas diseñados")</f>
        <v>Comparación entre sistemas diseñados</v>
      </c>
      <c r="G32" s="16"/>
      <c r="H32" s="18"/>
    </row>
    <row r="33" ht="15.75" customHeight="1">
      <c r="A33" s="22">
        <v>6.0</v>
      </c>
      <c r="B33" s="25" t="str">
        <f>IFERROR(__xludf.DUMMYFUNCTION("""COMPUTED_VALUE"""),"Unidad 2: Los sistemas abstractos diseñados")</f>
        <v>Unidad 2: Los sistemas abstractos diseñados</v>
      </c>
      <c r="C33" s="18"/>
      <c r="D33" s="25" t="str">
        <f>IFERROR(__xludf.DUMMYFUNCTION("""COMPUTED_VALUE"""),"Operaciones mentales sistémicas")</f>
        <v>Operaciones mentales sistémicas</v>
      </c>
      <c r="E33" s="18"/>
      <c r="F33" s="25" t="str">
        <f>IFERROR(__xludf.DUMMYFUNCTION("""COMPUTED_VALUE"""),"Ejemplos de sistemas mentales")</f>
        <v>Ejemplos de sistemas mentales</v>
      </c>
      <c r="G33" s="16"/>
      <c r="H33" s="18"/>
    </row>
    <row r="34" ht="15.75" customHeight="1">
      <c r="A34" s="22">
        <v>7.0</v>
      </c>
      <c r="B34" s="25" t="str">
        <f>IFERROR(__xludf.DUMMYFUNCTION("""COMPUTED_VALUE"""),"Unidad 2: Los sistemas abstractos diseñados")</f>
        <v>Unidad 2: Los sistemas abstractos diseñados</v>
      </c>
      <c r="C34" s="18"/>
      <c r="D34" s="25" t="str">
        <f>IFERROR(__xludf.DUMMYFUNCTION("""COMPUTED_VALUE"""),"Compartir modelos mentales")</f>
        <v>Compartir modelos mentales</v>
      </c>
      <c r="E34" s="18"/>
      <c r="F34" s="25" t="str">
        <f>IFERROR(__xludf.DUMMYFUNCTION("""COMPUTED_VALUE"""),"Sistemas abstractos diseñados compartidos (paradigmas)")</f>
        <v>Sistemas abstractos diseñados compartidos (paradigmas)</v>
      </c>
      <c r="G34" s="16"/>
      <c r="H34" s="18"/>
    </row>
    <row r="35" ht="15.75" customHeight="1">
      <c r="A35" s="22"/>
      <c r="B35" s="25" t="str">
        <f>IFERROR(__xludf.DUMMYFUNCTION("""COMPUTED_VALUE"""),"Unidad 2: Los sistemas abstractos diseñados")</f>
        <v>Unidad 2: Los sistemas abstractos diseñados</v>
      </c>
      <c r="C35" s="18"/>
      <c r="D35" s="25" t="str">
        <f>IFERROR(__xludf.DUMMYFUNCTION("""COMPUTED_VALUE"""),"Compartir modelos mentales")</f>
        <v>Compartir modelos mentales</v>
      </c>
      <c r="E35" s="18"/>
      <c r="F35" s="25" t="str">
        <f>IFERROR(__xludf.DUMMYFUNCTION("""COMPUTED_VALUE"""),"Paradigmas en contextos específicos")</f>
        <v>Paradigmas en contextos específicos</v>
      </c>
      <c r="G35" s="16"/>
      <c r="H35" s="18"/>
    </row>
    <row r="36" ht="15.75" customHeight="1">
      <c r="A36" s="110" t="s">
        <v>284</v>
      </c>
    </row>
    <row r="37" ht="15.75" customHeight="1">
      <c r="A37" s="10"/>
      <c r="B37" s="10"/>
      <c r="C37" s="10"/>
      <c r="D37" s="10"/>
      <c r="E37" s="10"/>
      <c r="F37" s="10"/>
      <c r="G37" s="10"/>
      <c r="H37" s="10"/>
    </row>
    <row r="38">
      <c r="A38" s="111" t="s">
        <v>285</v>
      </c>
      <c r="B38" s="111" t="s">
        <v>86</v>
      </c>
      <c r="C38" s="119" t="s">
        <v>286</v>
      </c>
      <c r="D38" s="120" t="s">
        <v>287</v>
      </c>
      <c r="E38" s="16"/>
      <c r="F38" s="16"/>
      <c r="G38" s="16"/>
      <c r="H38" s="18"/>
      <c r="I38" s="121" t="s">
        <v>135</v>
      </c>
    </row>
    <row r="39" ht="15.75" customHeight="1">
      <c r="A39" s="123" t="s">
        <v>288</v>
      </c>
      <c r="B39" s="123" t="s">
        <v>289</v>
      </c>
      <c r="C39" s="123"/>
      <c r="D39" s="53">
        <v>40.0</v>
      </c>
      <c r="E39" s="16"/>
      <c r="F39" s="16"/>
      <c r="G39" s="16"/>
      <c r="H39" s="18"/>
      <c r="I39" s="22" t="str">
        <f t="shared" ref="I39:I42" si="1">IF(D39&lt;=C39,"Correcto", "Corregir")</f>
        <v>Corregir</v>
      </c>
    </row>
    <row r="40" ht="15.75" customHeight="1">
      <c r="A40" s="123" t="s">
        <v>290</v>
      </c>
      <c r="B40" s="123" t="s">
        <v>289</v>
      </c>
      <c r="C40" s="123" t="s">
        <v>291</v>
      </c>
      <c r="D40" s="46">
        <v>5.0</v>
      </c>
      <c r="E40" s="16"/>
      <c r="F40" s="16"/>
      <c r="G40" s="16"/>
      <c r="H40" s="18"/>
      <c r="I40" s="22" t="str">
        <f t="shared" si="1"/>
        <v>Correcto</v>
      </c>
    </row>
    <row r="41" ht="15.75" customHeight="1">
      <c r="A41" s="123" t="s">
        <v>292</v>
      </c>
      <c r="B41" s="123" t="s">
        <v>293</v>
      </c>
      <c r="C41" s="123"/>
      <c r="D41" s="46">
        <v>15.0</v>
      </c>
      <c r="E41" s="16"/>
      <c r="F41" s="16"/>
      <c r="G41" s="16"/>
      <c r="H41" s="18"/>
      <c r="I41" s="22" t="str">
        <f t="shared" si="1"/>
        <v>Corregir</v>
      </c>
    </row>
    <row r="42" ht="15.75" customHeight="1">
      <c r="A42" s="123" t="s">
        <v>294</v>
      </c>
      <c r="B42" s="123" t="s">
        <v>289</v>
      </c>
      <c r="C42" s="123"/>
      <c r="D42" s="46">
        <v>25.0</v>
      </c>
      <c r="E42" s="16"/>
      <c r="F42" s="16"/>
      <c r="G42" s="16"/>
      <c r="H42" s="18"/>
      <c r="I42" s="22" t="str">
        <f t="shared" si="1"/>
        <v>Corregir</v>
      </c>
    </row>
    <row r="43" ht="15.75" customHeight="1"/>
    <row r="44" ht="15.75" customHeight="1">
      <c r="A44" s="105" t="s">
        <v>296</v>
      </c>
      <c r="G44" s="55" t="s">
        <v>31</v>
      </c>
      <c r="H44" s="109">
        <v>50.0</v>
      </c>
    </row>
    <row r="45" ht="15.75" customHeight="1">
      <c r="G45" s="39" t="s">
        <v>297</v>
      </c>
    </row>
    <row r="46" ht="15.75" customHeight="1">
      <c r="A46" s="39" t="s">
        <v>298</v>
      </c>
    </row>
    <row r="47">
      <c r="A47" s="40" t="s">
        <v>299</v>
      </c>
      <c r="B47" s="17" t="s">
        <v>267</v>
      </c>
      <c r="C47" s="16"/>
      <c r="D47" s="16"/>
      <c r="E47" s="16"/>
      <c r="F47" s="16"/>
      <c r="G47" s="16"/>
      <c r="H47" s="18"/>
    </row>
    <row r="48" ht="15.75" customHeight="1">
      <c r="A48" s="40" t="s">
        <v>10</v>
      </c>
      <c r="B48" s="17" t="s">
        <v>301</v>
      </c>
      <c r="C48" s="16"/>
      <c r="D48" s="16"/>
      <c r="E48" s="16"/>
      <c r="F48" s="16"/>
      <c r="G48" s="16"/>
      <c r="H48" s="18"/>
    </row>
    <row r="49" ht="15.75" customHeight="1">
      <c r="A49" s="40" t="s">
        <v>252</v>
      </c>
      <c r="B49" s="126">
        <v>5.0</v>
      </c>
      <c r="C49" s="16"/>
      <c r="D49" s="16"/>
      <c r="E49" s="16"/>
      <c r="F49" s="16"/>
      <c r="G49" s="16"/>
      <c r="H49" s="18"/>
    </row>
    <row r="50" ht="15.75" customHeight="1">
      <c r="A50" s="40" t="s">
        <v>31</v>
      </c>
      <c r="B50" s="53">
        <v>50.0</v>
      </c>
      <c r="C50" s="16"/>
      <c r="D50" s="16"/>
      <c r="E50" s="16"/>
      <c r="F50" s="16"/>
      <c r="G50" s="16"/>
      <c r="H50" s="18"/>
    </row>
    <row r="51" ht="15.75" customHeight="1">
      <c r="A51" s="128" t="s">
        <v>303</v>
      </c>
      <c r="B51" s="10"/>
      <c r="C51" s="10"/>
      <c r="D51" s="10"/>
      <c r="E51" s="10"/>
      <c r="F51" s="10"/>
      <c r="G51" s="10"/>
      <c r="H51" s="10"/>
    </row>
    <row r="52" ht="15.75" customHeight="1">
      <c r="A52" s="108" t="s">
        <v>304</v>
      </c>
      <c r="B52" s="16"/>
      <c r="C52" s="16"/>
      <c r="D52" s="16"/>
      <c r="E52" s="16"/>
      <c r="F52" s="16"/>
      <c r="G52" s="16"/>
      <c r="H52" s="18"/>
    </row>
    <row r="53" ht="15.75" customHeight="1">
      <c r="A53" s="125" t="s">
        <v>305</v>
      </c>
      <c r="B53" s="96"/>
      <c r="C53" s="96"/>
      <c r="D53" s="96"/>
      <c r="E53" s="96"/>
      <c r="F53" s="96"/>
      <c r="G53" s="96"/>
      <c r="H53" s="97"/>
    </row>
    <row r="54" ht="15.75" customHeight="1">
      <c r="A54" s="129"/>
      <c r="H54" s="130"/>
    </row>
    <row r="55" ht="15.75" customHeight="1">
      <c r="A55" s="98"/>
      <c r="B55" s="99"/>
      <c r="C55" s="99"/>
      <c r="D55" s="99"/>
      <c r="E55" s="99"/>
      <c r="F55" s="99"/>
      <c r="G55" s="99"/>
      <c r="H55" s="100"/>
    </row>
    <row r="56" ht="15.75" customHeight="1"/>
    <row r="57" ht="15.75" customHeight="1">
      <c r="A57" s="39" t="s">
        <v>307</v>
      </c>
    </row>
    <row r="58">
      <c r="A58" s="40" t="s">
        <v>299</v>
      </c>
      <c r="B58" s="17" t="s">
        <v>267</v>
      </c>
      <c r="C58" s="16"/>
      <c r="D58" s="16"/>
      <c r="E58" s="16"/>
      <c r="F58" s="16"/>
      <c r="G58" s="16"/>
      <c r="H58" s="18"/>
    </row>
    <row r="59" ht="15.75" customHeight="1">
      <c r="A59" s="40" t="s">
        <v>10</v>
      </c>
      <c r="B59" s="17" t="s">
        <v>308</v>
      </c>
      <c r="C59" s="16"/>
      <c r="D59" s="16"/>
      <c r="E59" s="16"/>
      <c r="F59" s="16"/>
      <c r="G59" s="16"/>
      <c r="H59" s="18"/>
    </row>
    <row r="60" ht="15.75" customHeight="1">
      <c r="A60" s="40" t="s">
        <v>252</v>
      </c>
      <c r="B60" s="131">
        <v>5.0</v>
      </c>
      <c r="C60" s="16"/>
      <c r="D60" s="16"/>
      <c r="E60" s="16"/>
      <c r="F60" s="16"/>
      <c r="G60" s="16"/>
      <c r="H60" s="18"/>
    </row>
    <row r="61" ht="15.75" customHeight="1">
      <c r="A61" s="40" t="s">
        <v>31</v>
      </c>
      <c r="B61" s="131">
        <v>30.0</v>
      </c>
      <c r="C61" s="16"/>
      <c r="D61" s="16"/>
      <c r="E61" s="16"/>
      <c r="F61" s="16"/>
      <c r="G61" s="16"/>
      <c r="H61" s="18"/>
    </row>
    <row r="62" ht="15.75" customHeight="1">
      <c r="A62" s="132" t="s">
        <v>310</v>
      </c>
      <c r="B62" s="10"/>
      <c r="C62" s="10"/>
      <c r="D62" s="10"/>
      <c r="E62" s="10"/>
      <c r="F62" s="10"/>
      <c r="G62" s="10"/>
      <c r="H62" s="10"/>
    </row>
    <row r="63" ht="15.75" customHeight="1">
      <c r="A63" s="108" t="s">
        <v>304</v>
      </c>
      <c r="B63" s="16"/>
      <c r="C63" s="16"/>
      <c r="D63" s="16"/>
      <c r="E63" s="16"/>
      <c r="F63" s="16"/>
      <c r="G63" s="16"/>
      <c r="H63" s="18"/>
    </row>
    <row r="64" ht="15.75" customHeight="1">
      <c r="A64" s="125" t="s">
        <v>312</v>
      </c>
      <c r="B64" s="96"/>
      <c r="C64" s="96"/>
      <c r="D64" s="96"/>
      <c r="E64" s="96"/>
      <c r="F64" s="96"/>
      <c r="G64" s="96"/>
      <c r="H64" s="97"/>
    </row>
    <row r="65" ht="15.75" customHeight="1">
      <c r="A65" s="129"/>
      <c r="H65" s="130"/>
    </row>
    <row r="66" ht="15.75" customHeight="1">
      <c r="A66" s="98"/>
      <c r="B66" s="99"/>
      <c r="C66" s="99"/>
      <c r="D66" s="99"/>
      <c r="E66" s="99"/>
      <c r="F66" s="99"/>
      <c r="G66" s="99"/>
      <c r="H66" s="100"/>
    </row>
    <row r="67" ht="15.75" customHeight="1"/>
    <row r="68" ht="15.75" customHeight="1">
      <c r="A68" s="105" t="s">
        <v>313</v>
      </c>
      <c r="G68" s="55" t="s">
        <v>31</v>
      </c>
      <c r="H68" s="109">
        <v>15.0</v>
      </c>
    </row>
    <row r="69" ht="15.75" customHeight="1">
      <c r="G69" s="39" t="s">
        <v>314</v>
      </c>
    </row>
    <row r="70" ht="15.75" customHeight="1">
      <c r="A70" s="42" t="s">
        <v>31</v>
      </c>
      <c r="B70" s="127">
        <v>10.0</v>
      </c>
      <c r="C70" s="16"/>
      <c r="D70" s="16"/>
      <c r="E70" s="16"/>
      <c r="F70" s="16"/>
      <c r="G70" s="16"/>
      <c r="H70" s="18"/>
    </row>
    <row r="71" ht="15.75" customHeight="1">
      <c r="A71" s="120" t="s">
        <v>315</v>
      </c>
      <c r="B71" s="16"/>
      <c r="C71" s="16"/>
      <c r="D71" s="16"/>
      <c r="E71" s="16"/>
      <c r="F71" s="16"/>
      <c r="G71" s="16"/>
      <c r="H71" s="18"/>
    </row>
    <row r="72" ht="15.75" customHeight="1">
      <c r="A72" s="95" t="s">
        <v>316</v>
      </c>
      <c r="B72" s="96"/>
      <c r="C72" s="96"/>
      <c r="D72" s="96"/>
      <c r="E72" s="96"/>
      <c r="F72" s="96"/>
      <c r="G72" s="96"/>
      <c r="H72" s="97"/>
    </row>
    <row r="73" ht="15.75" customHeight="1">
      <c r="A73" s="98"/>
      <c r="B73" s="99"/>
      <c r="C73" s="99"/>
      <c r="D73" s="99"/>
      <c r="E73" s="99"/>
      <c r="F73" s="99"/>
      <c r="G73" s="99"/>
      <c r="H73" s="100"/>
    </row>
    <row r="74" ht="15.75" customHeight="1">
      <c r="A74" s="39"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4">
    <mergeCell ref="D31:E31"/>
    <mergeCell ref="F31:H31"/>
    <mergeCell ref="D34:E34"/>
    <mergeCell ref="F34:H34"/>
    <mergeCell ref="D38:H38"/>
    <mergeCell ref="D39:H39"/>
    <mergeCell ref="D40:H40"/>
    <mergeCell ref="D41:H41"/>
    <mergeCell ref="D42:H42"/>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B29:C29"/>
    <mergeCell ref="D29:E29"/>
    <mergeCell ref="F29:H29"/>
    <mergeCell ref="B30:C30"/>
    <mergeCell ref="D30:E30"/>
    <mergeCell ref="F30:H30"/>
    <mergeCell ref="B31:C31"/>
    <mergeCell ref="B35:C35"/>
    <mergeCell ref="D35:E35"/>
    <mergeCell ref="F35:H35"/>
    <mergeCell ref="B32:C32"/>
    <mergeCell ref="D32:E32"/>
    <mergeCell ref="F32:H32"/>
    <mergeCell ref="B33:C33"/>
    <mergeCell ref="D33:E33"/>
    <mergeCell ref="F33:H33"/>
    <mergeCell ref="B34:C34"/>
    <mergeCell ref="A44:F44"/>
    <mergeCell ref="B47:H47"/>
    <mergeCell ref="B48:H48"/>
    <mergeCell ref="B49:H49"/>
    <mergeCell ref="B50:H50"/>
    <mergeCell ref="A52:H52"/>
    <mergeCell ref="A53:H55"/>
  </mergeCells>
  <conditionalFormatting sqref="D39:H42">
    <cfRule type="cellIs" dxfId="0" priority="1" operator="between">
      <formula>0</formula>
      <formula>45</formula>
    </cfRule>
  </conditionalFormatting>
  <dataValidations>
    <dataValidation type="list" allowBlank="1" showErrorMessage="1" sqref="B47 B58">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8.5"/>
  </cols>
  <sheetData>
    <row r="1" ht="15.75" customHeight="1"/>
    <row r="2" ht="15.75" customHeight="1">
      <c r="B2" s="4" t="s">
        <v>251</v>
      </c>
    </row>
    <row r="3" ht="15.75" customHeight="1"/>
    <row r="4" ht="15.75" customHeight="1">
      <c r="B4" s="12" t="s">
        <v>2</v>
      </c>
      <c r="C4" s="104" t="s">
        <v>4</v>
      </c>
      <c r="D4" s="16"/>
      <c r="E4" s="16"/>
      <c r="F4" s="16"/>
      <c r="G4" s="18"/>
    </row>
    <row r="5" ht="15.75" customHeight="1">
      <c r="B5" s="22" t="s">
        <v>17</v>
      </c>
      <c r="C5" s="25">
        <v>3.0</v>
      </c>
      <c r="D5" s="16"/>
      <c r="E5" s="16"/>
      <c r="F5" s="16"/>
      <c r="G5" s="18"/>
    </row>
    <row r="6" ht="15.75" customHeight="1">
      <c r="B6" s="102" t="s">
        <v>21</v>
      </c>
      <c r="C6" s="29">
        <v>125.0</v>
      </c>
      <c r="D6" s="16"/>
      <c r="E6" s="16"/>
      <c r="F6" s="16"/>
      <c r="G6" s="18"/>
      <c r="I6" s="10"/>
    </row>
    <row r="7" ht="15.75" customHeight="1">
      <c r="B7" s="102" t="s">
        <v>252</v>
      </c>
      <c r="C7" s="29">
        <v>5.0</v>
      </c>
      <c r="D7" s="16"/>
      <c r="E7" s="16"/>
      <c r="F7" s="16"/>
      <c r="G7" s="18"/>
    </row>
    <row r="8" ht="27.0" customHeight="1">
      <c r="B8" s="102" t="s">
        <v>253</v>
      </c>
      <c r="C8" s="107" t="s">
        <v>254</v>
      </c>
      <c r="D8" s="16"/>
      <c r="E8" s="16"/>
      <c r="F8" s="16"/>
      <c r="G8" s="18"/>
      <c r="I8" s="10"/>
      <c r="J8" s="10"/>
      <c r="K8" s="10"/>
    </row>
    <row r="9" ht="15.75" customHeight="1"/>
    <row r="10" ht="15.75" customHeight="1">
      <c r="A10" s="105" t="s">
        <v>255</v>
      </c>
      <c r="G10" s="55" t="s">
        <v>31</v>
      </c>
      <c r="H10" s="106">
        <f>B13</f>
        <v>5</v>
      </c>
    </row>
    <row r="11" ht="15.75" customHeight="1">
      <c r="G11" s="39" t="s">
        <v>256</v>
      </c>
    </row>
    <row r="12" ht="15.75" customHeight="1">
      <c r="A12" s="42" t="s">
        <v>257</v>
      </c>
      <c r="B12" s="17" t="s">
        <v>263</v>
      </c>
      <c r="C12" s="16"/>
      <c r="D12" s="16"/>
      <c r="E12" s="16"/>
      <c r="F12" s="16"/>
      <c r="G12" s="16"/>
      <c r="H12" s="18"/>
    </row>
    <row r="13" ht="15.75" customHeight="1">
      <c r="A13" s="45" t="s">
        <v>31</v>
      </c>
      <c r="B13" s="46">
        <v>5.0</v>
      </c>
      <c r="C13" s="16"/>
      <c r="D13" s="16"/>
      <c r="E13" s="16"/>
      <c r="F13" s="16"/>
      <c r="G13" s="16"/>
      <c r="H13" s="18"/>
    </row>
    <row r="14" ht="15.75" customHeight="1">
      <c r="A14" s="108" t="s">
        <v>259</v>
      </c>
      <c r="B14" s="16"/>
      <c r="C14" s="16"/>
      <c r="D14" s="16"/>
      <c r="E14" s="16"/>
      <c r="F14" s="16"/>
      <c r="G14" s="16"/>
      <c r="H14" s="18"/>
    </row>
    <row r="15" ht="15.75" customHeight="1">
      <c r="A15" s="95" t="s">
        <v>263</v>
      </c>
      <c r="B15" s="96"/>
      <c r="C15" s="96"/>
      <c r="D15" s="96"/>
      <c r="E15" s="96"/>
      <c r="F15" s="96"/>
      <c r="G15" s="96"/>
      <c r="H15" s="97"/>
    </row>
    <row r="16" ht="15.75" customHeight="1">
      <c r="A16" s="98"/>
      <c r="B16" s="99"/>
      <c r="C16" s="99"/>
      <c r="D16" s="99"/>
      <c r="E16" s="99"/>
      <c r="F16" s="99"/>
      <c r="G16" s="99"/>
      <c r="H16" s="100"/>
    </row>
    <row r="17" ht="15.75" customHeight="1">
      <c r="A17" s="108" t="s">
        <v>261</v>
      </c>
      <c r="B17" s="16"/>
      <c r="C17" s="16"/>
      <c r="D17" s="16"/>
      <c r="E17" s="16"/>
      <c r="F17" s="16"/>
      <c r="G17" s="16"/>
      <c r="H17" s="18"/>
    </row>
    <row r="18" ht="15.75" customHeight="1">
      <c r="A18" s="95" t="s">
        <v>269</v>
      </c>
      <c r="B18" s="96"/>
      <c r="C18" s="96"/>
      <c r="D18" s="96"/>
      <c r="E18" s="96"/>
      <c r="F18" s="96"/>
      <c r="G18" s="96"/>
      <c r="H18" s="97"/>
    </row>
    <row r="19" ht="38.25" customHeight="1">
      <c r="A19" s="98"/>
      <c r="B19" s="99"/>
      <c r="C19" s="99"/>
      <c r="D19" s="99"/>
      <c r="E19" s="99"/>
      <c r="F19" s="99"/>
      <c r="G19" s="99"/>
      <c r="H19" s="100"/>
    </row>
    <row r="20" ht="15.75" customHeight="1"/>
    <row r="21" ht="15.75" customHeight="1">
      <c r="A21" s="105" t="s">
        <v>264</v>
      </c>
      <c r="G21" s="55" t="s">
        <v>31</v>
      </c>
      <c r="H21" s="106">
        <f>SUM(D41:H44)</f>
        <v>60</v>
      </c>
      <c r="I21" s="10"/>
    </row>
    <row r="22" ht="15.75" customHeight="1">
      <c r="G22" s="39" t="s">
        <v>265</v>
      </c>
    </row>
    <row r="23" ht="15.75" customHeight="1">
      <c r="A23" s="42" t="s">
        <v>266</v>
      </c>
      <c r="B23" s="29" t="s">
        <v>267</v>
      </c>
      <c r="C23" s="16"/>
      <c r="D23" s="16"/>
      <c r="E23" s="16"/>
      <c r="F23" s="16"/>
      <c r="G23" s="16"/>
      <c r="H23" s="18"/>
    </row>
    <row r="24" ht="15.75" customHeight="1">
      <c r="A24" s="42" t="s">
        <v>266</v>
      </c>
      <c r="B24" s="29" t="s">
        <v>267</v>
      </c>
      <c r="C24" s="16"/>
      <c r="D24" s="16"/>
      <c r="E24" s="16"/>
      <c r="F24" s="16"/>
      <c r="G24" s="16"/>
      <c r="H24" s="18"/>
    </row>
    <row r="25" ht="15.75" customHeight="1"/>
    <row r="26" ht="15.75" customHeight="1">
      <c r="A26" s="110" t="s">
        <v>268</v>
      </c>
      <c r="B26" s="10"/>
      <c r="C26" s="10"/>
      <c r="D26" s="10"/>
    </row>
    <row r="27" ht="15.75" customHeight="1">
      <c r="A27" s="111" t="s">
        <v>20</v>
      </c>
      <c r="B27" s="112" t="s">
        <v>270</v>
      </c>
      <c r="C27" s="18"/>
      <c r="D27" s="112" t="s">
        <v>271</v>
      </c>
      <c r="E27" s="18"/>
      <c r="F27" s="112" t="s">
        <v>272</v>
      </c>
      <c r="G27" s="16"/>
      <c r="H27" s="18"/>
    </row>
    <row r="28" ht="15.75" customHeight="1">
      <c r="A28" s="87">
        <v>1.0</v>
      </c>
      <c r="B28" s="53">
        <v>1.0</v>
      </c>
      <c r="C28" s="114"/>
      <c r="D28" s="86" t="s">
        <v>273</v>
      </c>
      <c r="E28" s="115"/>
      <c r="F28" s="86" t="s">
        <v>274</v>
      </c>
      <c r="G28" s="116"/>
      <c r="H28" s="115"/>
    </row>
    <row r="29" ht="15.75" customHeight="1">
      <c r="A29" s="87">
        <v>2.0</v>
      </c>
      <c r="B29" s="53">
        <v>1.0</v>
      </c>
      <c r="C29" s="114"/>
      <c r="D29" s="86" t="s">
        <v>273</v>
      </c>
      <c r="E29" s="115"/>
      <c r="F29" s="86" t="s">
        <v>275</v>
      </c>
      <c r="G29" s="116"/>
      <c r="H29" s="115"/>
    </row>
    <row r="30" ht="15.75" customHeight="1">
      <c r="A30" s="87">
        <v>3.0</v>
      </c>
      <c r="B30" s="53">
        <v>1.0</v>
      </c>
      <c r="C30" s="114"/>
      <c r="D30" s="86" t="s">
        <v>273</v>
      </c>
      <c r="E30" s="115"/>
      <c r="F30" s="86" t="s">
        <v>276</v>
      </c>
      <c r="G30" s="116"/>
      <c r="H30" s="115"/>
    </row>
    <row r="31" ht="15.75" customHeight="1">
      <c r="A31" s="87">
        <v>4.0</v>
      </c>
      <c r="B31" s="53">
        <v>1.0</v>
      </c>
      <c r="C31" s="114"/>
      <c r="D31" s="86" t="s">
        <v>273</v>
      </c>
      <c r="E31" s="115"/>
      <c r="F31" s="86" t="s">
        <v>277</v>
      </c>
      <c r="G31" s="116"/>
      <c r="H31" s="115"/>
    </row>
    <row r="32" ht="15.75" customHeight="1">
      <c r="A32" s="87">
        <v>5.0</v>
      </c>
      <c r="B32" s="53">
        <v>2.0</v>
      </c>
      <c r="C32" s="114"/>
      <c r="D32" s="86" t="s">
        <v>278</v>
      </c>
      <c r="E32" s="115"/>
      <c r="F32" s="86" t="s">
        <v>279</v>
      </c>
      <c r="G32" s="116"/>
      <c r="H32" s="115"/>
    </row>
    <row r="33" ht="15.75" customHeight="1">
      <c r="A33" s="87">
        <v>6.0</v>
      </c>
      <c r="B33" s="53">
        <v>2.0</v>
      </c>
      <c r="C33" s="114"/>
      <c r="D33" s="86" t="s">
        <v>278</v>
      </c>
      <c r="E33" s="115"/>
      <c r="F33" s="86" t="s">
        <v>280</v>
      </c>
      <c r="G33" s="116"/>
      <c r="H33" s="115"/>
    </row>
    <row r="34" ht="15.75" customHeight="1">
      <c r="A34" s="87">
        <v>7.0</v>
      </c>
      <c r="B34" s="53">
        <v>2.0</v>
      </c>
      <c r="C34" s="114"/>
      <c r="D34" s="86" t="s">
        <v>278</v>
      </c>
      <c r="E34" s="115"/>
      <c r="F34" s="86" t="s">
        <v>281</v>
      </c>
      <c r="G34" s="116"/>
      <c r="H34" s="115"/>
    </row>
    <row r="35" ht="15.75" customHeight="1">
      <c r="A35" s="87">
        <v>8.0</v>
      </c>
      <c r="B35" s="53">
        <v>2.0</v>
      </c>
      <c r="C35" s="114"/>
      <c r="D35" s="86" t="s">
        <v>278</v>
      </c>
      <c r="E35" s="115"/>
      <c r="F35" s="86" t="s">
        <v>282</v>
      </c>
      <c r="G35" s="116"/>
      <c r="H35" s="115"/>
    </row>
    <row r="36" ht="15.75" customHeight="1">
      <c r="A36" s="87">
        <v>9.0</v>
      </c>
      <c r="B36" s="53">
        <v>2.0</v>
      </c>
      <c r="C36" s="114"/>
      <c r="D36" s="86" t="s">
        <v>278</v>
      </c>
      <c r="E36" s="115"/>
      <c r="F36" s="86" t="s">
        <v>283</v>
      </c>
      <c r="G36" s="116"/>
      <c r="H36" s="115"/>
    </row>
    <row r="37" ht="15.75" customHeight="1">
      <c r="A37" s="117"/>
      <c r="B37" s="118"/>
      <c r="C37" s="117"/>
      <c r="D37" s="117"/>
      <c r="E37" s="117"/>
      <c r="F37" s="117"/>
      <c r="G37" s="117"/>
      <c r="H37" s="117"/>
    </row>
    <row r="38" ht="15.75" customHeight="1">
      <c r="A38" s="110" t="s">
        <v>284</v>
      </c>
    </row>
    <row r="39" ht="15.75" customHeight="1">
      <c r="A39" s="10"/>
      <c r="B39" s="10"/>
      <c r="C39" s="10"/>
      <c r="D39" s="10"/>
      <c r="E39" s="10"/>
      <c r="F39" s="10"/>
      <c r="G39" s="10"/>
      <c r="H39" s="10"/>
    </row>
    <row r="40">
      <c r="A40" s="111" t="s">
        <v>285</v>
      </c>
      <c r="B40" s="111" t="s">
        <v>86</v>
      </c>
      <c r="C40" s="119" t="s">
        <v>286</v>
      </c>
      <c r="D40" s="120" t="s">
        <v>287</v>
      </c>
      <c r="E40" s="16"/>
      <c r="F40" s="16"/>
      <c r="G40" s="16"/>
      <c r="H40" s="18"/>
      <c r="I40" s="121" t="s">
        <v>135</v>
      </c>
    </row>
    <row r="41" ht="15.75" customHeight="1">
      <c r="A41" s="122" t="s">
        <v>288</v>
      </c>
      <c r="B41" s="122" t="s">
        <v>289</v>
      </c>
      <c r="C41" s="22"/>
      <c r="D41" s="29">
        <v>15.0</v>
      </c>
      <c r="E41" s="16"/>
      <c r="F41" s="16"/>
      <c r="G41" s="16"/>
      <c r="H41" s="18"/>
      <c r="I41" s="22" t="str">
        <f t="shared" ref="I41:I44" si="1">IF(D41&lt;=C41,"Correcto", "Corregir")</f>
        <v>Corregir</v>
      </c>
    </row>
    <row r="42" ht="15.75" customHeight="1">
      <c r="A42" s="122" t="s">
        <v>290</v>
      </c>
      <c r="B42" s="122" t="s">
        <v>289</v>
      </c>
      <c r="C42" s="122" t="s">
        <v>291</v>
      </c>
      <c r="D42" s="29">
        <v>5.0</v>
      </c>
      <c r="E42" s="16"/>
      <c r="F42" s="16"/>
      <c r="G42" s="16"/>
      <c r="H42" s="18"/>
      <c r="I42" s="22" t="str">
        <f t="shared" si="1"/>
        <v>Correcto</v>
      </c>
    </row>
    <row r="43" ht="15.75" customHeight="1">
      <c r="A43" s="122" t="s">
        <v>292</v>
      </c>
      <c r="B43" s="122" t="s">
        <v>293</v>
      </c>
      <c r="C43" s="22"/>
      <c r="D43" s="29">
        <v>15.0</v>
      </c>
      <c r="E43" s="16"/>
      <c r="F43" s="16"/>
      <c r="G43" s="16"/>
      <c r="H43" s="18"/>
      <c r="I43" s="22" t="str">
        <f t="shared" si="1"/>
        <v>Corregir</v>
      </c>
    </row>
    <row r="44" ht="15.75" customHeight="1">
      <c r="A44" s="122" t="s">
        <v>294</v>
      </c>
      <c r="B44" s="122" t="s">
        <v>289</v>
      </c>
      <c r="C44" s="22"/>
      <c r="D44" s="29">
        <v>25.0</v>
      </c>
      <c r="E44" s="16"/>
      <c r="F44" s="16"/>
      <c r="G44" s="16"/>
      <c r="H44" s="18"/>
      <c r="I44" s="22" t="str">
        <f t="shared" si="1"/>
        <v>Corregir</v>
      </c>
    </row>
    <row r="45" ht="15.75" customHeight="1"/>
    <row r="46" ht="15.75" customHeight="1">
      <c r="A46" s="105" t="s">
        <v>296</v>
      </c>
      <c r="G46" s="55" t="s">
        <v>31</v>
      </c>
      <c r="H46" s="106">
        <f>B52</f>
        <v>30</v>
      </c>
    </row>
    <row r="47" ht="15.75" customHeight="1">
      <c r="G47" s="39" t="s">
        <v>297</v>
      </c>
    </row>
    <row r="48" ht="15.75" customHeight="1">
      <c r="A48" s="39" t="s">
        <v>298</v>
      </c>
    </row>
    <row r="49">
      <c r="A49" s="42" t="s">
        <v>299</v>
      </c>
      <c r="B49" s="29" t="s">
        <v>267</v>
      </c>
      <c r="C49" s="16"/>
      <c r="D49" s="16"/>
      <c r="E49" s="16"/>
      <c r="F49" s="16"/>
      <c r="G49" s="16"/>
      <c r="H49" s="18"/>
    </row>
    <row r="50" ht="15.75" customHeight="1">
      <c r="A50" s="42" t="s">
        <v>10</v>
      </c>
      <c r="B50" s="25" t="s">
        <v>301</v>
      </c>
      <c r="C50" s="16"/>
      <c r="D50" s="16"/>
      <c r="E50" s="16"/>
      <c r="F50" s="16"/>
      <c r="G50" s="16"/>
      <c r="H50" s="18"/>
    </row>
    <row r="51" ht="15.75" customHeight="1">
      <c r="A51" s="42" t="s">
        <v>252</v>
      </c>
      <c r="B51" s="127">
        <v>5.0</v>
      </c>
      <c r="C51" s="16"/>
      <c r="D51" s="16"/>
      <c r="E51" s="16"/>
      <c r="F51" s="16"/>
      <c r="G51" s="16"/>
      <c r="H51" s="18"/>
    </row>
    <row r="52" ht="15.75" customHeight="1">
      <c r="A52" s="42" t="s">
        <v>31</v>
      </c>
      <c r="B52" s="29">
        <v>30.0</v>
      </c>
      <c r="C52" s="16"/>
      <c r="D52" s="16"/>
      <c r="E52" s="16"/>
      <c r="F52" s="16"/>
      <c r="G52" s="16"/>
      <c r="H52" s="18"/>
    </row>
    <row r="53" ht="15.75" customHeight="1">
      <c r="A53" s="128" t="s">
        <v>303</v>
      </c>
      <c r="B53" s="10"/>
      <c r="C53" s="10"/>
      <c r="D53" s="10"/>
      <c r="E53" s="10"/>
      <c r="F53" s="10"/>
      <c r="G53" s="10"/>
      <c r="H53" s="10"/>
    </row>
    <row r="54" ht="15.75" customHeight="1">
      <c r="A54" s="108" t="s">
        <v>304</v>
      </c>
      <c r="B54" s="16"/>
      <c r="C54" s="16"/>
      <c r="D54" s="16"/>
      <c r="E54" s="16"/>
      <c r="F54" s="16"/>
      <c r="G54" s="16"/>
      <c r="H54" s="18"/>
    </row>
    <row r="55" ht="15.75" customHeight="1">
      <c r="A55" s="95" t="s">
        <v>306</v>
      </c>
      <c r="B55" s="96"/>
      <c r="C55" s="96"/>
      <c r="D55" s="96"/>
      <c r="E55" s="96"/>
      <c r="F55" s="96"/>
      <c r="G55" s="96"/>
      <c r="H55" s="97"/>
    </row>
    <row r="56" ht="15.75" customHeight="1">
      <c r="A56" s="129"/>
      <c r="H56" s="130"/>
    </row>
    <row r="57" ht="15.75" customHeight="1">
      <c r="A57" s="98"/>
      <c r="B57" s="99"/>
      <c r="C57" s="99"/>
      <c r="D57" s="99"/>
      <c r="E57" s="99"/>
      <c r="F57" s="99"/>
      <c r="G57" s="99"/>
      <c r="H57" s="100"/>
    </row>
    <row r="58" ht="15.75" customHeight="1"/>
    <row r="59" ht="15.75" customHeight="1">
      <c r="A59" s="39" t="s">
        <v>307</v>
      </c>
    </row>
    <row r="60">
      <c r="A60" s="42" t="s">
        <v>299</v>
      </c>
      <c r="B60" s="25"/>
      <c r="C60" s="16"/>
      <c r="D60" s="16"/>
      <c r="E60" s="16"/>
      <c r="F60" s="16"/>
      <c r="G60" s="16"/>
      <c r="H60" s="18"/>
    </row>
    <row r="61" ht="15.75" customHeight="1">
      <c r="A61" s="42" t="s">
        <v>10</v>
      </c>
      <c r="B61" s="25"/>
      <c r="C61" s="16"/>
      <c r="D61" s="16"/>
      <c r="E61" s="16"/>
      <c r="F61" s="16"/>
      <c r="G61" s="16"/>
      <c r="H61" s="18"/>
    </row>
    <row r="62" ht="15.75" customHeight="1">
      <c r="A62" s="42" t="s">
        <v>252</v>
      </c>
      <c r="B62" s="133"/>
      <c r="C62" s="16"/>
      <c r="D62" s="16"/>
      <c r="E62" s="16"/>
      <c r="F62" s="16"/>
      <c r="G62" s="16"/>
      <c r="H62" s="18"/>
    </row>
    <row r="63" ht="15.75" customHeight="1">
      <c r="A63" s="42" t="s">
        <v>31</v>
      </c>
      <c r="B63" s="133"/>
      <c r="C63" s="16"/>
      <c r="D63" s="16"/>
      <c r="E63" s="16"/>
      <c r="F63" s="16"/>
      <c r="G63" s="16"/>
      <c r="H63" s="18"/>
    </row>
    <row r="64" ht="15.75" customHeight="1">
      <c r="A64" s="132" t="s">
        <v>310</v>
      </c>
      <c r="B64" s="10"/>
      <c r="C64" s="10"/>
      <c r="D64" s="10"/>
      <c r="E64" s="10"/>
      <c r="F64" s="10"/>
      <c r="G64" s="10"/>
      <c r="H64" s="10"/>
    </row>
    <row r="65" ht="15.75" customHeight="1">
      <c r="A65" s="108" t="s">
        <v>304</v>
      </c>
      <c r="B65" s="16"/>
      <c r="C65" s="16"/>
      <c r="D65" s="16"/>
      <c r="E65" s="16"/>
      <c r="F65" s="16"/>
      <c r="G65" s="16"/>
      <c r="H65" s="18"/>
    </row>
    <row r="66" ht="15.75" customHeight="1">
      <c r="A66" s="134"/>
      <c r="B66" s="96"/>
      <c r="C66" s="96"/>
      <c r="D66" s="96"/>
      <c r="E66" s="96"/>
      <c r="F66" s="96"/>
      <c r="G66" s="96"/>
      <c r="H66" s="97"/>
    </row>
    <row r="67" ht="15.75" customHeight="1">
      <c r="A67" s="129"/>
      <c r="H67" s="130"/>
    </row>
    <row r="68" ht="15.75" customHeight="1">
      <c r="A68" s="98"/>
      <c r="B68" s="99"/>
      <c r="C68" s="99"/>
      <c r="D68" s="99"/>
      <c r="E68" s="99"/>
      <c r="F68" s="99"/>
      <c r="G68" s="99"/>
      <c r="H68" s="100"/>
    </row>
    <row r="69" ht="15.75" customHeight="1"/>
    <row r="70" ht="15.75" customHeight="1">
      <c r="A70" s="105" t="s">
        <v>313</v>
      </c>
      <c r="G70" s="55" t="s">
        <v>31</v>
      </c>
      <c r="H70" s="109">
        <v>10.0</v>
      </c>
    </row>
    <row r="71" ht="15.75" customHeight="1">
      <c r="G71" s="39" t="s">
        <v>314</v>
      </c>
    </row>
    <row r="72" ht="15.75" customHeight="1">
      <c r="A72" s="42" t="s">
        <v>31</v>
      </c>
      <c r="B72" s="127">
        <v>10.0</v>
      </c>
      <c r="C72" s="16"/>
      <c r="D72" s="16"/>
      <c r="E72" s="16"/>
      <c r="F72" s="16"/>
      <c r="G72" s="16"/>
      <c r="H72" s="18"/>
    </row>
    <row r="73" ht="15.75" customHeight="1">
      <c r="A73" s="120" t="s">
        <v>315</v>
      </c>
      <c r="B73" s="16"/>
      <c r="C73" s="16"/>
      <c r="D73" s="16"/>
      <c r="E73" s="16"/>
      <c r="F73" s="16"/>
      <c r="G73" s="16"/>
      <c r="H73" s="18"/>
    </row>
    <row r="74" ht="15.75" customHeight="1">
      <c r="A74" s="125" t="s">
        <v>318</v>
      </c>
      <c r="B74" s="96"/>
      <c r="C74" s="96"/>
      <c r="D74" s="96"/>
      <c r="E74" s="96"/>
      <c r="F74" s="96"/>
      <c r="G74" s="96"/>
      <c r="H74" s="97"/>
    </row>
    <row r="75" ht="15.75" customHeight="1">
      <c r="A75" s="98"/>
      <c r="B75" s="99"/>
      <c r="C75" s="99"/>
      <c r="D75" s="99"/>
      <c r="E75" s="99"/>
      <c r="F75" s="99"/>
      <c r="G75" s="99"/>
      <c r="H75" s="100"/>
    </row>
    <row r="76" ht="15.75" customHeight="1">
      <c r="A76" s="39" t="s">
        <v>317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40">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D40:H40"/>
    <mergeCell ref="D41:H41"/>
    <mergeCell ref="D42:H42"/>
    <mergeCell ref="D43:H43"/>
    <mergeCell ref="D44:H44"/>
    <mergeCell ref="A46:F46"/>
    <mergeCell ref="B49:H49"/>
    <mergeCell ref="B50:H50"/>
    <mergeCell ref="B51:H51"/>
    <mergeCell ref="B52:H52"/>
    <mergeCell ref="A66:H68"/>
    <mergeCell ref="A70:F70"/>
    <mergeCell ref="B72:H72"/>
    <mergeCell ref="A73:H73"/>
    <mergeCell ref="A74:H75"/>
    <mergeCell ref="A54:H54"/>
    <mergeCell ref="A55:H57"/>
    <mergeCell ref="B60:H60"/>
    <mergeCell ref="B61:H61"/>
    <mergeCell ref="B62:H62"/>
    <mergeCell ref="B63:H63"/>
    <mergeCell ref="A65:H65"/>
  </mergeCells>
  <conditionalFormatting sqref="D41:H44">
    <cfRule type="cellIs" dxfId="0" priority="1" operator="between">
      <formula>0</formula>
      <formula>45</formula>
    </cfRule>
  </conditionalFormatting>
  <dataValidations>
    <dataValidation type="list" allowBlank="1" showErrorMessage="1" sqref="B50">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9 B60">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251</v>
      </c>
    </row>
    <row r="3" ht="15.75" customHeight="1"/>
    <row r="4" ht="15.75" customHeight="1">
      <c r="B4" s="12" t="s">
        <v>2</v>
      </c>
      <c r="C4" s="113" t="str">
        <f>'Diseño'!C4</f>
        <v/>
      </c>
      <c r="D4" s="16"/>
      <c r="E4" s="16"/>
      <c r="F4" s="16"/>
      <c r="G4" s="18"/>
    </row>
    <row r="5" ht="15.75" customHeight="1">
      <c r="B5" s="22" t="s">
        <v>17</v>
      </c>
      <c r="C5" s="25">
        <v>4.0</v>
      </c>
      <c r="D5" s="16"/>
      <c r="E5" s="16"/>
      <c r="F5" s="16"/>
      <c r="G5" s="18"/>
    </row>
    <row r="6" ht="15.75" customHeight="1">
      <c r="B6" s="102" t="s">
        <v>21</v>
      </c>
      <c r="C6" s="25">
        <f>H10+H21+H44+H68</f>
        <v>105</v>
      </c>
      <c r="D6" s="16"/>
      <c r="E6" s="16"/>
      <c r="F6" s="16"/>
      <c r="G6" s="18"/>
      <c r="I6" s="10"/>
    </row>
    <row r="7" ht="15.75" customHeight="1">
      <c r="B7" s="102" t="s">
        <v>252</v>
      </c>
      <c r="C7" s="25">
        <f>B49+B60</f>
        <v>5</v>
      </c>
      <c r="D7" s="16"/>
      <c r="E7" s="16"/>
      <c r="F7" s="16"/>
      <c r="G7" s="18"/>
    </row>
    <row r="8" ht="15.75" customHeight="1">
      <c r="B8" s="102" t="s">
        <v>253</v>
      </c>
      <c r="C8" s="124"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6"/>
      <c r="E8" s="16"/>
      <c r="F8" s="16"/>
      <c r="G8" s="18"/>
      <c r="I8" s="10"/>
      <c r="J8" s="10"/>
      <c r="K8" s="10"/>
    </row>
    <row r="9" ht="15.75" customHeight="1"/>
    <row r="10" ht="15.75" customHeight="1">
      <c r="A10" s="105" t="s">
        <v>255</v>
      </c>
      <c r="G10" s="55" t="s">
        <v>31</v>
      </c>
      <c r="H10" s="109">
        <v>5.0</v>
      </c>
    </row>
    <row r="11" ht="15.75" customHeight="1">
      <c r="G11" s="39" t="s">
        <v>256</v>
      </c>
    </row>
    <row r="12" ht="15.75" customHeight="1">
      <c r="A12" s="42" t="s">
        <v>257</v>
      </c>
      <c r="B12" s="29" t="s">
        <v>295</v>
      </c>
      <c r="C12" s="16"/>
      <c r="D12" s="16"/>
      <c r="E12" s="16"/>
      <c r="F12" s="16"/>
      <c r="G12" s="16"/>
      <c r="H12" s="18"/>
    </row>
    <row r="13" ht="15.75" customHeight="1">
      <c r="A13" s="45" t="s">
        <v>31</v>
      </c>
      <c r="B13" s="29">
        <v>5.0</v>
      </c>
      <c r="C13" s="16"/>
      <c r="D13" s="16"/>
      <c r="E13" s="16"/>
      <c r="F13" s="16"/>
      <c r="G13" s="16"/>
      <c r="H13" s="18"/>
    </row>
    <row r="14" ht="15.75" customHeight="1">
      <c r="A14" s="108" t="s">
        <v>259</v>
      </c>
      <c r="B14" s="16"/>
      <c r="C14" s="16"/>
      <c r="D14" s="16"/>
      <c r="E14" s="16"/>
      <c r="F14" s="16"/>
      <c r="G14" s="16"/>
      <c r="H14" s="18"/>
    </row>
    <row r="15" ht="15.75" customHeight="1">
      <c r="A15" s="125" t="s">
        <v>300</v>
      </c>
      <c r="B15" s="96"/>
      <c r="C15" s="96"/>
      <c r="D15" s="96"/>
      <c r="E15" s="96"/>
      <c r="F15" s="96"/>
      <c r="G15" s="96"/>
      <c r="H15" s="97"/>
    </row>
    <row r="16" ht="15.75" customHeight="1">
      <c r="A16" s="98"/>
      <c r="B16" s="99"/>
      <c r="C16" s="99"/>
      <c r="D16" s="99"/>
      <c r="E16" s="99"/>
      <c r="F16" s="99"/>
      <c r="G16" s="99"/>
      <c r="H16" s="100"/>
    </row>
    <row r="17" ht="15.75" customHeight="1">
      <c r="A17" s="108" t="s">
        <v>261</v>
      </c>
      <c r="B17" s="16"/>
      <c r="C17" s="16"/>
      <c r="D17" s="16"/>
      <c r="E17" s="16"/>
      <c r="F17" s="16"/>
      <c r="G17" s="16"/>
      <c r="H17" s="18"/>
    </row>
    <row r="18" ht="15.75" customHeight="1">
      <c r="A18" s="125" t="s">
        <v>302</v>
      </c>
      <c r="B18" s="96"/>
      <c r="C18" s="96"/>
      <c r="D18" s="96"/>
      <c r="E18" s="96"/>
      <c r="F18" s="96"/>
      <c r="G18" s="96"/>
      <c r="H18" s="97"/>
    </row>
    <row r="19" ht="15.75" customHeight="1">
      <c r="A19" s="98"/>
      <c r="B19" s="99"/>
      <c r="C19" s="99"/>
      <c r="D19" s="99"/>
      <c r="E19" s="99"/>
      <c r="F19" s="99"/>
      <c r="G19" s="99"/>
      <c r="H19" s="100"/>
    </row>
    <row r="20" ht="15.75" customHeight="1"/>
    <row r="21" ht="15.75" customHeight="1">
      <c r="A21" s="105" t="s">
        <v>264</v>
      </c>
      <c r="G21" s="55" t="s">
        <v>31</v>
      </c>
      <c r="H21" s="106">
        <f>SUM(D39:H42)</f>
        <v>60</v>
      </c>
      <c r="I21" s="10"/>
    </row>
    <row r="22" ht="15.75" customHeight="1">
      <c r="G22" s="39" t="s">
        <v>265</v>
      </c>
    </row>
    <row r="23" ht="15.75" customHeight="1">
      <c r="A23" s="42" t="s">
        <v>266</v>
      </c>
      <c r="B23" s="29" t="s">
        <v>309</v>
      </c>
      <c r="C23" s="16"/>
      <c r="D23" s="16"/>
      <c r="E23" s="16"/>
      <c r="F23" s="16"/>
      <c r="G23" s="16"/>
      <c r="H23" s="18"/>
    </row>
    <row r="24" ht="15.75" customHeight="1">
      <c r="A24" s="42" t="s">
        <v>266</v>
      </c>
      <c r="B24" s="29" t="s">
        <v>311</v>
      </c>
      <c r="C24" s="16"/>
      <c r="D24" s="16"/>
      <c r="E24" s="16"/>
      <c r="F24" s="16"/>
      <c r="G24" s="16"/>
      <c r="H24" s="18"/>
    </row>
    <row r="25" ht="15.75" customHeight="1"/>
    <row r="26" ht="15.75" customHeight="1">
      <c r="A26" s="110" t="s">
        <v>268</v>
      </c>
      <c r="B26" s="10"/>
      <c r="C26" s="10"/>
      <c r="D26" s="10"/>
    </row>
    <row r="27" ht="15.75" customHeight="1">
      <c r="A27" s="111" t="s">
        <v>20</v>
      </c>
      <c r="B27" s="112" t="s">
        <v>270</v>
      </c>
      <c r="C27" s="18"/>
      <c r="D27" s="112" t="s">
        <v>271</v>
      </c>
      <c r="E27" s="18"/>
      <c r="F27" s="112" t="s">
        <v>272</v>
      </c>
      <c r="G27" s="16"/>
      <c r="H27" s="18"/>
    </row>
    <row r="28" ht="15.75" customHeight="1">
      <c r="A28" s="22">
        <v>1.0</v>
      </c>
      <c r="B28" s="25" t="str">
        <f>IFERROR(__xludf.DUMMYFUNCTION("FILTER('Diseño'!D:D,'Diseño'!H:H=$C$5)"),"Unidad 2: Los sistemas abstractos diseñados")</f>
        <v>Unidad 2: Los sistemas abstractos diseñados</v>
      </c>
      <c r="C28" s="18"/>
      <c r="D28" s="25" t="str">
        <f>IFERROR(__xludf.DUMMYFUNCTION("FILTER('Diseño'!E:E,'Diseño'!H:H=$C$5)"),"Perspectiva de sistemas abstractos diseñados")</f>
        <v>Perspectiva de sistemas abstractos diseñados</v>
      </c>
      <c r="E28" s="18"/>
      <c r="F28" s="25" t="str">
        <f>IFERROR(__xludf.DUMMYFUNCTION("FILTER('Diseño'!F:F,'Diseño'!H:H=$C$5)"),"Interrelaciones entre modelos mentales")</f>
        <v>Interrelaciones entre modelos mentales</v>
      </c>
      <c r="G28" s="16"/>
      <c r="H28" s="18"/>
    </row>
    <row r="29" ht="15.75" customHeight="1">
      <c r="A29" s="22">
        <v>2.0</v>
      </c>
      <c r="B29" s="25" t="str">
        <f>IFERROR(__xludf.DUMMYFUNCTION("""COMPUTED_VALUE"""),"Unidad 2: Los sistemas abstractos diseñados")</f>
        <v>Unidad 2: Los sistemas abstractos diseñados</v>
      </c>
      <c r="C29" s="18"/>
      <c r="D29" s="25" t="str">
        <f>IFERROR(__xludf.DUMMYFUNCTION("""COMPUTED_VALUE"""),"Perspectiva de sistemas abstractos diseñados")</f>
        <v>Perspectiva de sistemas abstractos diseñados</v>
      </c>
      <c r="E29" s="18"/>
      <c r="F29" s="25" t="str">
        <f>IFERROR(__xludf.DUMMYFUNCTION("""COMPUTED_VALUE"""),"Ejemplos de pensamiento circular")</f>
        <v>Ejemplos de pensamiento circular</v>
      </c>
      <c r="G29" s="16"/>
      <c r="H29" s="18"/>
    </row>
    <row r="30" ht="15.75" customHeight="1">
      <c r="A30" s="22">
        <v>3.0</v>
      </c>
      <c r="B30" s="25" t="str">
        <f>IFERROR(__xludf.DUMMYFUNCTION("""COMPUTED_VALUE"""),"Unidad 2: Los sistemas abstractos diseñados")</f>
        <v>Unidad 2: Los sistemas abstractos diseñados</v>
      </c>
      <c r="C30" s="18"/>
      <c r="D30" s="25" t="str">
        <f>IFERROR(__xludf.DUMMYFUNCTION("""COMPUTED_VALUE"""),"Perspectiva de sistemas abstractos diseñados")</f>
        <v>Perspectiva de sistemas abstractos diseñados</v>
      </c>
      <c r="E30" s="18"/>
      <c r="F30" s="25" t="str">
        <f>IFERROR(__xludf.DUMMYFUNCTION("""COMPUTED_VALUE"""),"Ejemplos de retroalimentación")</f>
        <v>Ejemplos de retroalimentación</v>
      </c>
      <c r="G30" s="16"/>
      <c r="H30" s="18"/>
    </row>
    <row r="31" ht="15.75" customHeight="1">
      <c r="A31" s="22">
        <v>4.0</v>
      </c>
      <c r="B31" s="25" t="str">
        <f>IFERROR(__xludf.DUMMYFUNCTION("""COMPUTED_VALUE"""),"Unidad 2: Los sistemas abstractos diseñados")</f>
        <v>Unidad 2: Los sistemas abstractos diseñados</v>
      </c>
      <c r="C31" s="18"/>
      <c r="D31" s="25" t="str">
        <f>IFERROR(__xludf.DUMMYFUNCTION("""COMPUTED_VALUE"""),"Perspectiva de sistemas abstractos diseñados")</f>
        <v>Perspectiva de sistemas abstractos diseñados</v>
      </c>
      <c r="E31" s="18"/>
      <c r="F31" s="25" t="str">
        <f>IFERROR(__xludf.DUMMYFUNCTION("""COMPUTED_VALUE"""),"Conclusión de los modelos mentales diseñados")</f>
        <v>Conclusión de los modelos mentales diseñados</v>
      </c>
      <c r="G31" s="16"/>
      <c r="H31" s="18"/>
    </row>
    <row r="32" ht="15.75" customHeight="1">
      <c r="A32" s="22">
        <v>5.0</v>
      </c>
      <c r="B32" s="25" t="str">
        <f>IFERROR(__xludf.DUMMYFUNCTION("""COMPUTED_VALUE"""),"Unidad 3: Desarrollando el pensamiento sistémico complejo")</f>
        <v>Unidad 3: Desarrollando el pensamiento sistémico complejo</v>
      </c>
      <c r="C32" s="18"/>
      <c r="D32" s="25" t="str">
        <f>IFERROR(__xludf.DUMMYFUNCTION("""COMPUTED_VALUE"""),"Fundamentos del pensamiento sistémico")</f>
        <v>Fundamentos del pensamiento sistémico</v>
      </c>
      <c r="E32" s="18"/>
      <c r="F32" s="25" t="str">
        <f>IFERROR(__xludf.DUMMYFUNCTION("""COMPUTED_VALUE"""),"Concepto de sistema")</f>
        <v>Concepto de sistema</v>
      </c>
      <c r="G32" s="16"/>
      <c r="H32" s="18"/>
    </row>
    <row r="33" ht="15.75" customHeight="1">
      <c r="A33" s="22">
        <v>6.0</v>
      </c>
      <c r="B33" s="25" t="str">
        <f>IFERROR(__xludf.DUMMYFUNCTION("""COMPUTED_VALUE"""),"Unidad 3: Desarrollando el pensamiento sistémico complejo")</f>
        <v>Unidad 3: Desarrollando el pensamiento sistémico complejo</v>
      </c>
      <c r="C33" s="18"/>
      <c r="D33" s="25" t="str">
        <f>IFERROR(__xludf.DUMMYFUNCTION("""COMPUTED_VALUE"""),"Fundamentos del pensamiento sistémico")</f>
        <v>Fundamentos del pensamiento sistémico</v>
      </c>
      <c r="E33" s="18"/>
      <c r="F33" s="25" t="str">
        <f>IFERROR(__xludf.DUMMYFUNCTION("""COMPUTED_VALUE"""),"Estructura de los sistemas")</f>
        <v>Estructura de los sistemas</v>
      </c>
      <c r="G33" s="16"/>
      <c r="H33" s="18"/>
    </row>
    <row r="34" ht="15.75" customHeight="1">
      <c r="A34" s="22">
        <v>7.0</v>
      </c>
      <c r="B34" s="25" t="str">
        <f>IFERROR(__xludf.DUMMYFUNCTION("""COMPUTED_VALUE"""),"Unidad 3: Desarrollando el pensamiento sistémico complejo")</f>
        <v>Unidad 3: Desarrollando el pensamiento sistémico complejo</v>
      </c>
      <c r="C34" s="18"/>
      <c r="D34" s="25" t="str">
        <f>IFERROR(__xludf.DUMMYFUNCTION("""COMPUTED_VALUE"""),"Fundamentos del pensamiento sistémico")</f>
        <v>Fundamentos del pensamiento sistémico</v>
      </c>
      <c r="E34" s="18"/>
      <c r="F34" s="25" t="str">
        <f>IFERROR(__xludf.DUMMYFUNCTION("""COMPUTED_VALUE"""),"Subsistemas y suprasistemas")</f>
        <v>Subsistemas y suprasistemas</v>
      </c>
      <c r="G34" s="16"/>
      <c r="H34" s="18"/>
    </row>
    <row r="35" ht="15.75" customHeight="1">
      <c r="B35" s="135" t="str">
        <f>IFERROR(__xludf.DUMMYFUNCTION("""COMPUTED_VALUE"""),"Unidad 3: Desarrollando el pensamiento sistémico complejo")</f>
        <v>Unidad 3: Desarrollando el pensamiento sistémico complejo</v>
      </c>
      <c r="D35" s="135" t="str">
        <f>IFERROR(__xludf.DUMMYFUNCTION("""COMPUTED_VALUE"""),"Fundamentos del pensamiento sistémico")</f>
        <v>Fundamentos del pensamiento sistémico</v>
      </c>
      <c r="F35" s="135" t="str">
        <f>IFERROR(__xludf.DUMMYFUNCTION("""COMPUTED_VALUE"""),"Sinergia y emergencia en sistemas")</f>
        <v>Sinergia y emergencia en sistemas</v>
      </c>
    </row>
    <row r="36" ht="15.75" customHeight="1">
      <c r="A36" s="110" t="s">
        <v>284</v>
      </c>
    </row>
    <row r="37" ht="15.75" customHeight="1">
      <c r="A37" s="10"/>
      <c r="B37" s="10"/>
      <c r="C37" s="10"/>
      <c r="D37" s="10"/>
      <c r="E37" s="10"/>
      <c r="F37" s="10"/>
      <c r="G37" s="10"/>
      <c r="H37" s="10"/>
    </row>
    <row r="38">
      <c r="A38" s="111" t="s">
        <v>285</v>
      </c>
      <c r="B38" s="111" t="s">
        <v>86</v>
      </c>
      <c r="C38" s="119" t="s">
        <v>286</v>
      </c>
      <c r="D38" s="120" t="s">
        <v>287</v>
      </c>
      <c r="E38" s="16"/>
      <c r="F38" s="16"/>
      <c r="G38" s="16"/>
      <c r="H38" s="18"/>
      <c r="I38" s="121" t="s">
        <v>135</v>
      </c>
    </row>
    <row r="39" ht="15.75" customHeight="1">
      <c r="A39" s="22" t="s">
        <v>288</v>
      </c>
      <c r="B39" s="22" t="s">
        <v>289</v>
      </c>
      <c r="C39" s="22">
        <v>30.0</v>
      </c>
      <c r="D39" s="29">
        <v>15.0</v>
      </c>
      <c r="E39" s="16"/>
      <c r="F39" s="16"/>
      <c r="G39" s="16"/>
      <c r="H39" s="18"/>
      <c r="I39" s="22" t="str">
        <f t="shared" ref="I39:I42" si="1">IF(D39&lt;=C39,"Correcto", "Corregir")</f>
        <v>Correcto</v>
      </c>
    </row>
    <row r="40" ht="15.75" customHeight="1">
      <c r="A40" s="22" t="s">
        <v>290</v>
      </c>
      <c r="B40" s="22" t="s">
        <v>289</v>
      </c>
      <c r="C40" s="22">
        <v>6.0</v>
      </c>
      <c r="D40" s="29">
        <v>5.0</v>
      </c>
      <c r="E40" s="16"/>
      <c r="F40" s="16"/>
      <c r="G40" s="16"/>
      <c r="H40" s="18"/>
      <c r="I40" s="22" t="str">
        <f t="shared" si="1"/>
        <v>Correcto</v>
      </c>
    </row>
    <row r="41" ht="15.75" customHeight="1">
      <c r="A41" s="22" t="s">
        <v>292</v>
      </c>
      <c r="B41" s="22" t="s">
        <v>293</v>
      </c>
      <c r="C41" s="22">
        <v>10.0</v>
      </c>
      <c r="D41" s="29">
        <v>15.0</v>
      </c>
      <c r="E41" s="16"/>
      <c r="F41" s="16"/>
      <c r="G41" s="16"/>
      <c r="H41" s="18"/>
      <c r="I41" s="22" t="str">
        <f t="shared" si="1"/>
        <v>Corregir</v>
      </c>
    </row>
    <row r="42" ht="15.75" customHeight="1">
      <c r="A42" s="22" t="s">
        <v>294</v>
      </c>
      <c r="B42" s="22" t="s">
        <v>289</v>
      </c>
      <c r="C42" s="22">
        <v>30.0</v>
      </c>
      <c r="D42" s="29">
        <v>25.0</v>
      </c>
      <c r="E42" s="16"/>
      <c r="F42" s="16"/>
      <c r="G42" s="16"/>
      <c r="H42" s="18"/>
      <c r="I42" s="22" t="str">
        <f t="shared" si="1"/>
        <v>Correcto</v>
      </c>
    </row>
    <row r="43" ht="15.75" customHeight="1"/>
    <row r="44" ht="15.75" customHeight="1">
      <c r="A44" s="105" t="s">
        <v>296</v>
      </c>
      <c r="G44" s="55" t="s">
        <v>31</v>
      </c>
      <c r="H44" s="106">
        <f>B50</f>
        <v>30</v>
      </c>
    </row>
    <row r="45" ht="15.75" customHeight="1">
      <c r="G45" s="39" t="s">
        <v>297</v>
      </c>
    </row>
    <row r="46" ht="15.75" customHeight="1">
      <c r="A46" s="39" t="s">
        <v>298</v>
      </c>
    </row>
    <row r="47">
      <c r="A47" s="42" t="s">
        <v>299</v>
      </c>
      <c r="B47" s="29" t="s">
        <v>309</v>
      </c>
      <c r="C47" s="16"/>
      <c r="D47" s="16"/>
      <c r="E47" s="16"/>
      <c r="F47" s="16"/>
      <c r="G47" s="16"/>
      <c r="H47" s="18"/>
    </row>
    <row r="48" ht="15.75" customHeight="1">
      <c r="A48" s="42" t="s">
        <v>10</v>
      </c>
      <c r="B48" s="25" t="s">
        <v>301</v>
      </c>
      <c r="C48" s="16"/>
      <c r="D48" s="16"/>
      <c r="E48" s="16"/>
      <c r="F48" s="16"/>
      <c r="G48" s="16"/>
      <c r="H48" s="18"/>
    </row>
    <row r="49" ht="15.75" customHeight="1">
      <c r="A49" s="42" t="s">
        <v>252</v>
      </c>
      <c r="B49" s="127">
        <v>5.0</v>
      </c>
      <c r="C49" s="16"/>
      <c r="D49" s="16"/>
      <c r="E49" s="16"/>
      <c r="F49" s="16"/>
      <c r="G49" s="16"/>
      <c r="H49" s="18"/>
    </row>
    <row r="50" ht="15.75" customHeight="1">
      <c r="A50" s="42" t="s">
        <v>31</v>
      </c>
      <c r="B50" s="29">
        <v>30.0</v>
      </c>
      <c r="C50" s="16"/>
      <c r="D50" s="16"/>
      <c r="E50" s="16"/>
      <c r="F50" s="16"/>
      <c r="G50" s="16"/>
      <c r="H50" s="18"/>
    </row>
    <row r="51" ht="15.75" customHeight="1">
      <c r="A51" s="128" t="s">
        <v>303</v>
      </c>
      <c r="B51" s="10"/>
      <c r="C51" s="10"/>
      <c r="D51" s="10"/>
      <c r="E51" s="10"/>
      <c r="F51" s="10"/>
      <c r="G51" s="10"/>
      <c r="H51" s="10"/>
    </row>
    <row r="52" ht="15.75" customHeight="1">
      <c r="A52" s="108" t="s">
        <v>304</v>
      </c>
      <c r="B52" s="16"/>
      <c r="C52" s="16"/>
      <c r="D52" s="16"/>
      <c r="E52" s="16"/>
      <c r="F52" s="16"/>
      <c r="G52" s="16"/>
      <c r="H52" s="18"/>
    </row>
    <row r="53" ht="15.75" customHeight="1">
      <c r="A53" s="125" t="s">
        <v>319</v>
      </c>
      <c r="B53" s="96"/>
      <c r="C53" s="96"/>
      <c r="D53" s="96"/>
      <c r="E53" s="96"/>
      <c r="F53" s="96"/>
      <c r="G53" s="96"/>
      <c r="H53" s="97"/>
    </row>
    <row r="54" ht="15.75" customHeight="1">
      <c r="A54" s="129"/>
      <c r="H54" s="130"/>
    </row>
    <row r="55" ht="15.75" customHeight="1">
      <c r="A55" s="98"/>
      <c r="B55" s="99"/>
      <c r="C55" s="99"/>
      <c r="D55" s="99"/>
      <c r="E55" s="99"/>
      <c r="F55" s="99"/>
      <c r="G55" s="99"/>
      <c r="H55" s="100"/>
    </row>
    <row r="56" ht="15.75" customHeight="1"/>
    <row r="57" ht="15.75" customHeight="1">
      <c r="A57" s="39" t="s">
        <v>307</v>
      </c>
    </row>
    <row r="58">
      <c r="A58" s="42" t="s">
        <v>299</v>
      </c>
      <c r="B58" s="25"/>
      <c r="C58" s="16"/>
      <c r="D58" s="16"/>
      <c r="E58" s="16"/>
      <c r="F58" s="16"/>
      <c r="G58" s="16"/>
      <c r="H58" s="18"/>
    </row>
    <row r="59" ht="15.75" customHeight="1">
      <c r="A59" s="42" t="s">
        <v>10</v>
      </c>
      <c r="B59" s="25"/>
      <c r="C59" s="16"/>
      <c r="D59" s="16"/>
      <c r="E59" s="16"/>
      <c r="F59" s="16"/>
      <c r="G59" s="16"/>
      <c r="H59" s="18"/>
    </row>
    <row r="60" ht="15.75" customHeight="1">
      <c r="A60" s="42" t="s">
        <v>252</v>
      </c>
      <c r="B60" s="133"/>
      <c r="C60" s="16"/>
      <c r="D60" s="16"/>
      <c r="E60" s="16"/>
      <c r="F60" s="16"/>
      <c r="G60" s="16"/>
      <c r="H60" s="18"/>
    </row>
    <row r="61" ht="15.75" customHeight="1">
      <c r="A61" s="42" t="s">
        <v>31</v>
      </c>
      <c r="B61" s="133"/>
      <c r="C61" s="16"/>
      <c r="D61" s="16"/>
      <c r="E61" s="16"/>
      <c r="F61" s="16"/>
      <c r="G61" s="16"/>
      <c r="H61" s="18"/>
    </row>
    <row r="62" ht="15.75" customHeight="1">
      <c r="A62" s="132" t="s">
        <v>310</v>
      </c>
      <c r="B62" s="10"/>
      <c r="C62" s="10"/>
      <c r="D62" s="10"/>
      <c r="E62" s="10"/>
      <c r="F62" s="10"/>
      <c r="G62" s="10"/>
      <c r="H62" s="10"/>
    </row>
    <row r="63" ht="15.75" customHeight="1">
      <c r="A63" s="108" t="s">
        <v>304</v>
      </c>
      <c r="B63" s="16"/>
      <c r="C63" s="16"/>
      <c r="D63" s="16"/>
      <c r="E63" s="16"/>
      <c r="F63" s="16"/>
      <c r="G63" s="16"/>
      <c r="H63" s="18"/>
    </row>
    <row r="64" ht="15.75" customHeight="1">
      <c r="A64" s="134"/>
      <c r="B64" s="96"/>
      <c r="C64" s="96"/>
      <c r="D64" s="96"/>
      <c r="E64" s="96"/>
      <c r="F64" s="96"/>
      <c r="G64" s="96"/>
      <c r="H64" s="97"/>
    </row>
    <row r="65" ht="15.75" customHeight="1">
      <c r="A65" s="129"/>
      <c r="H65" s="130"/>
    </row>
    <row r="66" ht="15.75" customHeight="1">
      <c r="A66" s="98"/>
      <c r="B66" s="99"/>
      <c r="C66" s="99"/>
      <c r="D66" s="99"/>
      <c r="E66" s="99"/>
      <c r="F66" s="99"/>
      <c r="G66" s="99"/>
      <c r="H66" s="100"/>
    </row>
    <row r="67" ht="15.75" customHeight="1"/>
    <row r="68" ht="15.75" customHeight="1">
      <c r="A68" s="105" t="s">
        <v>313</v>
      </c>
      <c r="G68" s="55" t="s">
        <v>31</v>
      </c>
      <c r="H68" s="106">
        <f>B70</f>
        <v>10</v>
      </c>
    </row>
    <row r="69" ht="15.75" customHeight="1">
      <c r="G69" s="39" t="s">
        <v>314</v>
      </c>
    </row>
    <row r="70" ht="15.75" customHeight="1">
      <c r="A70" s="42" t="s">
        <v>31</v>
      </c>
      <c r="B70" s="127">
        <v>10.0</v>
      </c>
      <c r="C70" s="16"/>
      <c r="D70" s="16"/>
      <c r="E70" s="16"/>
      <c r="F70" s="16"/>
      <c r="G70" s="16"/>
      <c r="H70" s="18"/>
    </row>
    <row r="71" ht="15.75" customHeight="1">
      <c r="A71" s="120" t="s">
        <v>315</v>
      </c>
      <c r="B71" s="16"/>
      <c r="C71" s="16"/>
      <c r="D71" s="16"/>
      <c r="E71" s="16"/>
      <c r="F71" s="16"/>
      <c r="G71" s="16"/>
      <c r="H71" s="18"/>
    </row>
    <row r="72" ht="15.75" customHeight="1">
      <c r="A72" s="125" t="s">
        <v>320</v>
      </c>
      <c r="B72" s="96"/>
      <c r="C72" s="96"/>
      <c r="D72" s="96"/>
      <c r="E72" s="96"/>
      <c r="F72" s="96"/>
      <c r="G72" s="96"/>
      <c r="H72" s="97"/>
    </row>
    <row r="73" ht="15.75" customHeight="1">
      <c r="A73" s="98"/>
      <c r="B73" s="99"/>
      <c r="C73" s="99"/>
      <c r="D73" s="99"/>
      <c r="E73" s="99"/>
      <c r="F73" s="99"/>
      <c r="G73" s="99"/>
      <c r="H73" s="100"/>
    </row>
    <row r="74" ht="15.75" customHeight="1">
      <c r="A74" s="39"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
      <formula1>Metadata!$B$2:$B$40</formula1>
    </dataValidation>
    <dataValidation type="list" allowBlank="1" showErrorMessage="1" sqref="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251</v>
      </c>
    </row>
    <row r="3" ht="15.75" customHeight="1"/>
    <row r="4" ht="15.75" customHeight="1">
      <c r="B4" s="12" t="s">
        <v>2</v>
      </c>
      <c r="C4" s="113" t="str">
        <f>'Diseño'!C4</f>
        <v/>
      </c>
      <c r="D4" s="16"/>
      <c r="E4" s="16"/>
      <c r="F4" s="16"/>
      <c r="G4" s="18"/>
    </row>
    <row r="5" ht="15.75" customHeight="1">
      <c r="B5" s="22" t="s">
        <v>17</v>
      </c>
      <c r="C5" s="25">
        <v>5.0</v>
      </c>
      <c r="D5" s="16"/>
      <c r="E5" s="16"/>
      <c r="F5" s="16"/>
      <c r="G5" s="18"/>
    </row>
    <row r="6" ht="15.75" customHeight="1">
      <c r="B6" s="102" t="s">
        <v>21</v>
      </c>
      <c r="C6" s="25">
        <f>H10+H21+H44+H68</f>
        <v>105</v>
      </c>
      <c r="D6" s="16"/>
      <c r="E6" s="16"/>
      <c r="F6" s="16"/>
      <c r="G6" s="18"/>
      <c r="I6" s="10"/>
    </row>
    <row r="7" ht="15.75" customHeight="1">
      <c r="B7" s="102" t="s">
        <v>252</v>
      </c>
      <c r="C7" s="25">
        <f>B49+B60</f>
        <v>5</v>
      </c>
      <c r="D7" s="16"/>
      <c r="E7" s="16"/>
      <c r="F7" s="16"/>
      <c r="G7" s="18"/>
    </row>
    <row r="8" ht="15.75" customHeight="1">
      <c r="B8" s="102" t="s">
        <v>253</v>
      </c>
      <c r="C8" s="124"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6"/>
      <c r="E8" s="16"/>
      <c r="F8" s="16"/>
      <c r="G8" s="18"/>
      <c r="I8" s="10"/>
      <c r="J8" s="10"/>
      <c r="K8" s="10"/>
    </row>
    <row r="9" ht="15.75" customHeight="1"/>
    <row r="10" ht="15.75" customHeight="1">
      <c r="A10" s="105" t="s">
        <v>255</v>
      </c>
      <c r="G10" s="55" t="s">
        <v>31</v>
      </c>
      <c r="H10" s="106">
        <f>B13</f>
        <v>5</v>
      </c>
    </row>
    <row r="11" ht="15.75" customHeight="1">
      <c r="G11" s="39" t="s">
        <v>256</v>
      </c>
    </row>
    <row r="12" ht="15.75" customHeight="1">
      <c r="A12" s="42" t="s">
        <v>257</v>
      </c>
      <c r="B12" s="29" t="s">
        <v>321</v>
      </c>
      <c r="C12" s="16"/>
      <c r="D12" s="16"/>
      <c r="E12" s="16"/>
      <c r="F12" s="16"/>
      <c r="G12" s="16"/>
      <c r="H12" s="18"/>
    </row>
    <row r="13" ht="15.75" customHeight="1">
      <c r="A13" s="45" t="s">
        <v>31</v>
      </c>
      <c r="B13" s="29">
        <v>5.0</v>
      </c>
      <c r="C13" s="16"/>
      <c r="D13" s="16"/>
      <c r="E13" s="16"/>
      <c r="F13" s="16"/>
      <c r="G13" s="16"/>
      <c r="H13" s="18"/>
    </row>
    <row r="14" ht="15.75" customHeight="1">
      <c r="A14" s="108" t="s">
        <v>259</v>
      </c>
      <c r="B14" s="16"/>
      <c r="C14" s="16"/>
      <c r="D14" s="16"/>
      <c r="E14" s="16"/>
      <c r="F14" s="16"/>
      <c r="G14" s="16"/>
      <c r="H14" s="18"/>
    </row>
    <row r="15" ht="15.75" customHeight="1">
      <c r="A15" s="125" t="s">
        <v>322</v>
      </c>
      <c r="B15" s="96"/>
      <c r="C15" s="96"/>
      <c r="D15" s="96"/>
      <c r="E15" s="96"/>
      <c r="F15" s="96"/>
      <c r="G15" s="96"/>
      <c r="H15" s="97"/>
    </row>
    <row r="16" ht="15.75" customHeight="1">
      <c r="A16" s="98"/>
      <c r="B16" s="99"/>
      <c r="C16" s="99"/>
      <c r="D16" s="99"/>
      <c r="E16" s="99"/>
      <c r="F16" s="99"/>
      <c r="G16" s="99"/>
      <c r="H16" s="100"/>
    </row>
    <row r="17" ht="15.75" customHeight="1">
      <c r="A17" s="108" t="s">
        <v>261</v>
      </c>
      <c r="B17" s="16"/>
      <c r="C17" s="16"/>
      <c r="D17" s="16"/>
      <c r="E17" s="16"/>
      <c r="F17" s="16"/>
      <c r="G17" s="16"/>
      <c r="H17" s="18"/>
    </row>
    <row r="18" ht="15.75" customHeight="1">
      <c r="A18" s="125" t="s">
        <v>323</v>
      </c>
      <c r="B18" s="96"/>
      <c r="C18" s="96"/>
      <c r="D18" s="96"/>
      <c r="E18" s="96"/>
      <c r="F18" s="96"/>
      <c r="G18" s="96"/>
      <c r="H18" s="97"/>
    </row>
    <row r="19" ht="15.75" customHeight="1">
      <c r="A19" s="98"/>
      <c r="B19" s="99"/>
      <c r="C19" s="99"/>
      <c r="D19" s="99"/>
      <c r="E19" s="99"/>
      <c r="F19" s="99"/>
      <c r="G19" s="99"/>
      <c r="H19" s="100"/>
    </row>
    <row r="20" ht="15.75" customHeight="1"/>
    <row r="21" ht="15.75" customHeight="1">
      <c r="A21" s="105" t="s">
        <v>264</v>
      </c>
      <c r="G21" s="55" t="s">
        <v>31</v>
      </c>
      <c r="H21" s="106">
        <f>SUM(D39:H42)</f>
        <v>60</v>
      </c>
      <c r="I21" s="10"/>
    </row>
    <row r="22" ht="15.75" customHeight="1">
      <c r="G22" s="39" t="s">
        <v>265</v>
      </c>
    </row>
    <row r="23" ht="15.75" customHeight="1">
      <c r="A23" s="42" t="s">
        <v>266</v>
      </c>
      <c r="B23" s="29" t="s">
        <v>324</v>
      </c>
      <c r="C23" s="16"/>
      <c r="D23" s="16"/>
      <c r="E23" s="16"/>
      <c r="F23" s="16"/>
      <c r="G23" s="16"/>
      <c r="H23" s="18"/>
    </row>
    <row r="24" ht="15.75" customHeight="1">
      <c r="A24" s="42" t="s">
        <v>266</v>
      </c>
      <c r="B24" s="29" t="s">
        <v>325</v>
      </c>
      <c r="C24" s="16"/>
      <c r="D24" s="16"/>
      <c r="E24" s="16"/>
      <c r="F24" s="16"/>
      <c r="G24" s="16"/>
      <c r="H24" s="18"/>
    </row>
    <row r="25" ht="15.75" customHeight="1"/>
    <row r="26" ht="15.75" customHeight="1">
      <c r="A26" s="110" t="s">
        <v>268</v>
      </c>
      <c r="B26" s="10"/>
      <c r="C26" s="10"/>
      <c r="D26" s="10"/>
    </row>
    <row r="27" ht="15.75" customHeight="1">
      <c r="A27" s="111" t="s">
        <v>20</v>
      </c>
      <c r="B27" s="112" t="s">
        <v>270</v>
      </c>
      <c r="C27" s="18"/>
      <c r="D27" s="112" t="s">
        <v>271</v>
      </c>
      <c r="E27" s="18"/>
      <c r="F27" s="112" t="s">
        <v>272</v>
      </c>
      <c r="G27" s="16"/>
      <c r="H27" s="18"/>
    </row>
    <row r="28" ht="15.75" customHeight="1">
      <c r="A28" s="22">
        <v>1.0</v>
      </c>
      <c r="B28" s="25" t="str">
        <f>IFERROR(__xludf.DUMMYFUNCTION("FILTER('Diseño'!D:D,'Diseño'!H:H=$C$5)"),"Unidad 3: Desarrollando el pensamiento sistémico complejo")</f>
        <v>Unidad 3: Desarrollando el pensamiento sistémico complejo</v>
      </c>
      <c r="C28" s="18"/>
      <c r="D28" s="25" t="str">
        <f>IFERROR(__xludf.DUMMYFUNCTION("FILTER('Diseño'!E:E,'Diseño'!H:H=$C$5)"),"Fundamentos del pensamiento sistémico")</f>
        <v>Fundamentos del pensamiento sistémico</v>
      </c>
      <c r="E28" s="18"/>
      <c r="F28" s="25" t="str">
        <f>IFERROR(__xludf.DUMMYFUNCTION("FILTER('Diseño'!F:F,'Diseño'!H:H=$C$5)"),"Complejidad sistémica")</f>
        <v>Complejidad sistémica</v>
      </c>
      <c r="G28" s="16"/>
      <c r="H28" s="18"/>
    </row>
    <row r="29" ht="15.75" customHeight="1">
      <c r="A29" s="22">
        <v>2.0</v>
      </c>
      <c r="B29" s="25" t="str">
        <f>IFERROR(__xludf.DUMMYFUNCTION("""COMPUTED_VALUE"""),"Unidad 3: Desarrollando el pensamiento sistémico complejo")</f>
        <v>Unidad 3: Desarrollando el pensamiento sistémico complejo</v>
      </c>
      <c r="C29" s="18"/>
      <c r="D29" s="25" t="str">
        <f>IFERROR(__xludf.DUMMYFUNCTION("""COMPUTED_VALUE"""),"Fundamentos del pensamiento sistémico")</f>
        <v>Fundamentos del pensamiento sistémico</v>
      </c>
      <c r="E29" s="18"/>
      <c r="F29" s="25" t="str">
        <f>IFERROR(__xludf.DUMMYFUNCTION("""COMPUTED_VALUE"""),"El universo como conjunto de sistemas")</f>
        <v>El universo como conjunto de sistemas</v>
      </c>
      <c r="G29" s="16"/>
      <c r="H29" s="18"/>
    </row>
    <row r="30" ht="15.75" customHeight="1">
      <c r="A30" s="22">
        <v>3.0</v>
      </c>
      <c r="B30" s="25" t="str">
        <f>IFERROR(__xludf.DUMMYFUNCTION("""COMPUTED_VALUE"""),"Unidad 3: Desarrollando el pensamiento sistémico complejo")</f>
        <v>Unidad 3: Desarrollando el pensamiento sistémico complejo</v>
      </c>
      <c r="C30" s="18"/>
      <c r="D30" s="25" t="str">
        <f>IFERROR(__xludf.DUMMYFUNCTION("""COMPUTED_VALUE"""),"Fundamentos del pensamiento sistémico")</f>
        <v>Fundamentos del pensamiento sistémico</v>
      </c>
      <c r="E30" s="18"/>
      <c r="F30" s="25" t="str">
        <f>IFERROR(__xludf.DUMMYFUNCTION("""COMPUTED_VALUE"""),"Ejemplos de sistemas naturales")</f>
        <v>Ejemplos de sistemas naturales</v>
      </c>
      <c r="G30" s="16"/>
      <c r="H30" s="18"/>
    </row>
    <row r="31" ht="15.75" customHeight="1">
      <c r="A31" s="22">
        <v>4.0</v>
      </c>
      <c r="B31" s="25" t="str">
        <f>IFERROR(__xludf.DUMMYFUNCTION("""COMPUTED_VALUE"""),"Unidad 3: Desarrollando el pensamiento sistémico complejo")</f>
        <v>Unidad 3: Desarrollando el pensamiento sistémico complejo</v>
      </c>
      <c r="C31" s="18"/>
      <c r="D31" s="25" t="str">
        <f>IFERROR(__xludf.DUMMYFUNCTION("""COMPUTED_VALUE"""),"Clasificación de sistemas")</f>
        <v>Clasificación de sistemas</v>
      </c>
      <c r="E31" s="18"/>
      <c r="F31" s="25" t="str">
        <f>IFERROR(__xludf.DUMMYFUNCTION("""COMPUTED_VALUE"""),"Sistemas físicos diseñados")</f>
        <v>Sistemas físicos diseñados</v>
      </c>
      <c r="G31" s="16"/>
      <c r="H31" s="18"/>
    </row>
    <row r="32" ht="15.75" customHeight="1">
      <c r="A32" s="22">
        <v>5.0</v>
      </c>
      <c r="B32" s="25" t="str">
        <f>IFERROR(__xludf.DUMMYFUNCTION("""COMPUTED_VALUE"""),"Unidad 3: Desarrollando el pensamiento sistémico complejo")</f>
        <v>Unidad 3: Desarrollando el pensamiento sistémico complejo</v>
      </c>
      <c r="C32" s="18"/>
      <c r="D32" s="25" t="str">
        <f>IFERROR(__xludf.DUMMYFUNCTION("""COMPUTED_VALUE"""),"Clasificación de sistemas")</f>
        <v>Clasificación de sistemas</v>
      </c>
      <c r="E32" s="18"/>
      <c r="F32" s="25" t="str">
        <f>IFERROR(__xludf.DUMMYFUNCTION("""COMPUTED_VALUE"""),"Sistemas abstractos diseñados")</f>
        <v>Sistemas abstractos diseñados</v>
      </c>
      <c r="G32" s="16"/>
      <c r="H32" s="18"/>
    </row>
    <row r="33" ht="15.75" customHeight="1">
      <c r="A33" s="22">
        <v>6.0</v>
      </c>
      <c r="B33" s="25" t="str">
        <f>IFERROR(__xludf.DUMMYFUNCTION("""COMPUTED_VALUE"""),"Unidad 3: Desarrollando el pensamiento sistémico complejo")</f>
        <v>Unidad 3: Desarrollando el pensamiento sistémico complejo</v>
      </c>
      <c r="C33" s="18"/>
      <c r="D33" s="25" t="str">
        <f>IFERROR(__xludf.DUMMYFUNCTION("""COMPUTED_VALUE"""),"Clasificación de sistemas")</f>
        <v>Clasificación de sistemas</v>
      </c>
      <c r="E33" s="18"/>
      <c r="F33" s="25" t="str">
        <f>IFERROR(__xludf.DUMMYFUNCTION("""COMPUTED_VALUE"""),"Sistemas de actividad humana")</f>
        <v>Sistemas de actividad humana</v>
      </c>
      <c r="G33" s="16"/>
      <c r="H33" s="18"/>
    </row>
    <row r="34" ht="15.75" customHeight="1">
      <c r="A34" s="22">
        <v>7.0</v>
      </c>
      <c r="B34" s="25" t="str">
        <f>IFERROR(__xludf.DUMMYFUNCTION("""COMPUTED_VALUE"""),"Unidad 3: Desarrollando el pensamiento sistémico complejo")</f>
        <v>Unidad 3: Desarrollando el pensamiento sistémico complejo</v>
      </c>
      <c r="C34" s="18"/>
      <c r="D34" s="25" t="str">
        <f>IFERROR(__xludf.DUMMYFUNCTION("""COMPUTED_VALUE"""),"Clasificación de sistemas")</f>
        <v>Clasificación de sistemas</v>
      </c>
      <c r="E34" s="18"/>
      <c r="F34" s="25" t="str">
        <f>IFERROR(__xludf.DUMMYFUNCTION("""COMPUTED_VALUE"""),"Diferencias entre sistemas naturales y diseñados")</f>
        <v>Diferencias entre sistemas naturales y diseñados</v>
      </c>
      <c r="G34" s="16"/>
      <c r="H34" s="18"/>
    </row>
    <row r="35" ht="15.75" customHeight="1">
      <c r="B35" s="135" t="str">
        <f>IFERROR(__xludf.DUMMYFUNCTION("""COMPUTED_VALUE"""),"Unidad 3: Desarrollando el pensamiento sistémico complejo")</f>
        <v>Unidad 3: Desarrollando el pensamiento sistémico complejo</v>
      </c>
      <c r="D35" s="135" t="str">
        <f>IFERROR(__xludf.DUMMYFUNCTION("""COMPUTED_VALUE"""),"Clasificación de sistemas")</f>
        <v>Clasificación de sistemas</v>
      </c>
      <c r="F35" s="135" t="str">
        <f>IFERROR(__xludf.DUMMYFUNCTION("""COMPUTED_VALUE"""),"Sistemas complejos adaptativos")</f>
        <v>Sistemas complejos adaptativos</v>
      </c>
    </row>
    <row r="36" ht="15.75" customHeight="1">
      <c r="A36" s="110" t="s">
        <v>284</v>
      </c>
    </row>
    <row r="37" ht="15.75" customHeight="1">
      <c r="A37" s="10"/>
      <c r="B37" s="10"/>
      <c r="C37" s="10"/>
      <c r="D37" s="10"/>
      <c r="E37" s="10"/>
      <c r="F37" s="10"/>
      <c r="G37" s="10"/>
      <c r="H37" s="10"/>
    </row>
    <row r="38">
      <c r="A38" s="111" t="s">
        <v>285</v>
      </c>
      <c r="B38" s="111" t="s">
        <v>86</v>
      </c>
      <c r="C38" s="119" t="s">
        <v>286</v>
      </c>
      <c r="D38" s="120" t="s">
        <v>287</v>
      </c>
      <c r="E38" s="16"/>
      <c r="F38" s="16"/>
      <c r="G38" s="16"/>
      <c r="H38" s="18"/>
      <c r="I38" s="121" t="s">
        <v>135</v>
      </c>
    </row>
    <row r="39" ht="15.75" customHeight="1">
      <c r="A39" s="22" t="s">
        <v>288</v>
      </c>
      <c r="B39" s="22" t="s">
        <v>289</v>
      </c>
      <c r="C39" s="22">
        <v>30.0</v>
      </c>
      <c r="D39" s="29">
        <v>15.0</v>
      </c>
      <c r="E39" s="16"/>
      <c r="F39" s="16"/>
      <c r="G39" s="16"/>
      <c r="H39" s="18"/>
      <c r="I39" s="22" t="str">
        <f t="shared" ref="I39:I42" si="1">IF(D39&lt;=C39,"Correcto", "Corregir")</f>
        <v>Correcto</v>
      </c>
    </row>
    <row r="40" ht="15.75" customHeight="1">
      <c r="A40" s="22" t="s">
        <v>290</v>
      </c>
      <c r="B40" s="22" t="s">
        <v>289</v>
      </c>
      <c r="C40" s="22">
        <v>6.0</v>
      </c>
      <c r="D40" s="29">
        <v>5.0</v>
      </c>
      <c r="E40" s="16"/>
      <c r="F40" s="16"/>
      <c r="G40" s="16"/>
      <c r="H40" s="18"/>
      <c r="I40" s="22" t="str">
        <f t="shared" si="1"/>
        <v>Correcto</v>
      </c>
    </row>
    <row r="41" ht="15.75" customHeight="1">
      <c r="A41" s="22" t="s">
        <v>292</v>
      </c>
      <c r="B41" s="22" t="s">
        <v>293</v>
      </c>
      <c r="C41" s="22">
        <v>10.0</v>
      </c>
      <c r="D41" s="29">
        <v>15.0</v>
      </c>
      <c r="E41" s="16"/>
      <c r="F41" s="16"/>
      <c r="G41" s="16"/>
      <c r="H41" s="18"/>
      <c r="I41" s="22" t="str">
        <f t="shared" si="1"/>
        <v>Corregir</v>
      </c>
    </row>
    <row r="42" ht="15.75" customHeight="1">
      <c r="A42" s="22" t="s">
        <v>294</v>
      </c>
      <c r="B42" s="22" t="s">
        <v>289</v>
      </c>
      <c r="C42" s="22">
        <v>30.0</v>
      </c>
      <c r="D42" s="29">
        <v>25.0</v>
      </c>
      <c r="E42" s="16"/>
      <c r="F42" s="16"/>
      <c r="G42" s="16"/>
      <c r="H42" s="18"/>
      <c r="I42" s="22" t="str">
        <f t="shared" si="1"/>
        <v>Correcto</v>
      </c>
    </row>
    <row r="43" ht="15.75" customHeight="1"/>
    <row r="44" ht="15.75" customHeight="1">
      <c r="A44" s="105" t="s">
        <v>296</v>
      </c>
      <c r="G44" s="55" t="s">
        <v>31</v>
      </c>
      <c r="H44" s="106">
        <f>B50</f>
        <v>30</v>
      </c>
    </row>
    <row r="45" ht="15.75" customHeight="1">
      <c r="G45" s="39" t="s">
        <v>297</v>
      </c>
    </row>
    <row r="46" ht="15.75" customHeight="1">
      <c r="A46" s="39" t="s">
        <v>298</v>
      </c>
    </row>
    <row r="47">
      <c r="A47" s="42" t="s">
        <v>299</v>
      </c>
      <c r="B47" s="29" t="s">
        <v>324</v>
      </c>
      <c r="C47" s="16"/>
      <c r="D47" s="16"/>
      <c r="E47" s="16"/>
      <c r="F47" s="16"/>
      <c r="G47" s="16"/>
      <c r="H47" s="18"/>
    </row>
    <row r="48" ht="15.75" customHeight="1">
      <c r="A48" s="42" t="s">
        <v>10</v>
      </c>
      <c r="B48" s="25" t="s">
        <v>301</v>
      </c>
      <c r="C48" s="16"/>
      <c r="D48" s="16"/>
      <c r="E48" s="16"/>
      <c r="F48" s="16"/>
      <c r="G48" s="16"/>
      <c r="H48" s="18"/>
    </row>
    <row r="49" ht="15.75" customHeight="1">
      <c r="A49" s="42" t="s">
        <v>252</v>
      </c>
      <c r="B49" s="127">
        <v>5.0</v>
      </c>
      <c r="C49" s="16"/>
      <c r="D49" s="16"/>
      <c r="E49" s="16"/>
      <c r="F49" s="16"/>
      <c r="G49" s="16"/>
      <c r="H49" s="18"/>
    </row>
    <row r="50" ht="15.75" customHeight="1">
      <c r="A50" s="42" t="s">
        <v>31</v>
      </c>
      <c r="B50" s="29">
        <v>30.0</v>
      </c>
      <c r="C50" s="16"/>
      <c r="D50" s="16"/>
      <c r="E50" s="16"/>
      <c r="F50" s="16"/>
      <c r="G50" s="16"/>
      <c r="H50" s="18"/>
    </row>
    <row r="51" ht="15.75" customHeight="1">
      <c r="A51" s="128" t="s">
        <v>303</v>
      </c>
      <c r="B51" s="10"/>
      <c r="C51" s="10"/>
      <c r="D51" s="10"/>
      <c r="E51" s="10"/>
      <c r="F51" s="10"/>
      <c r="G51" s="10"/>
      <c r="H51" s="10"/>
    </row>
    <row r="52" ht="15.75" customHeight="1">
      <c r="A52" s="108" t="s">
        <v>304</v>
      </c>
      <c r="B52" s="16"/>
      <c r="C52" s="16"/>
      <c r="D52" s="16"/>
      <c r="E52" s="16"/>
      <c r="F52" s="16"/>
      <c r="G52" s="16"/>
      <c r="H52" s="18"/>
    </row>
    <row r="53" ht="15.75" customHeight="1">
      <c r="A53" s="125" t="s">
        <v>331</v>
      </c>
      <c r="B53" s="96"/>
      <c r="C53" s="96"/>
      <c r="D53" s="96"/>
      <c r="E53" s="96"/>
      <c r="F53" s="96"/>
      <c r="G53" s="96"/>
      <c r="H53" s="97"/>
    </row>
    <row r="54" ht="15.75" customHeight="1">
      <c r="A54" s="129"/>
      <c r="H54" s="130"/>
    </row>
    <row r="55" ht="15.75" customHeight="1">
      <c r="A55" s="98"/>
      <c r="B55" s="99"/>
      <c r="C55" s="99"/>
      <c r="D55" s="99"/>
      <c r="E55" s="99"/>
      <c r="F55" s="99"/>
      <c r="G55" s="99"/>
      <c r="H55" s="100"/>
    </row>
    <row r="56" ht="15.75" customHeight="1"/>
    <row r="57" ht="15.75" customHeight="1">
      <c r="A57" s="39" t="s">
        <v>307</v>
      </c>
    </row>
    <row r="58">
      <c r="A58" s="42" t="s">
        <v>299</v>
      </c>
      <c r="B58" s="25"/>
      <c r="C58" s="16"/>
      <c r="D58" s="16"/>
      <c r="E58" s="16"/>
      <c r="F58" s="16"/>
      <c r="G58" s="16"/>
      <c r="H58" s="18"/>
    </row>
    <row r="59" ht="15.75" customHeight="1">
      <c r="A59" s="42" t="s">
        <v>10</v>
      </c>
      <c r="B59" s="25"/>
      <c r="C59" s="16"/>
      <c r="D59" s="16"/>
      <c r="E59" s="16"/>
      <c r="F59" s="16"/>
      <c r="G59" s="16"/>
      <c r="H59" s="18"/>
    </row>
    <row r="60" ht="15.75" customHeight="1">
      <c r="A60" s="42" t="s">
        <v>252</v>
      </c>
      <c r="B60" s="133"/>
      <c r="C60" s="16"/>
      <c r="D60" s="16"/>
      <c r="E60" s="16"/>
      <c r="F60" s="16"/>
      <c r="G60" s="16"/>
      <c r="H60" s="18"/>
    </row>
    <row r="61" ht="15.75" customHeight="1">
      <c r="A61" s="42" t="s">
        <v>31</v>
      </c>
      <c r="B61" s="133"/>
      <c r="C61" s="16"/>
      <c r="D61" s="16"/>
      <c r="E61" s="16"/>
      <c r="F61" s="16"/>
      <c r="G61" s="16"/>
      <c r="H61" s="18"/>
    </row>
    <row r="62" ht="15.75" customHeight="1">
      <c r="A62" s="132" t="s">
        <v>310</v>
      </c>
      <c r="B62" s="10"/>
      <c r="C62" s="10"/>
      <c r="D62" s="10"/>
      <c r="E62" s="10"/>
      <c r="F62" s="10"/>
      <c r="G62" s="10"/>
      <c r="H62" s="10"/>
    </row>
    <row r="63" ht="15.75" customHeight="1">
      <c r="A63" s="108" t="s">
        <v>304</v>
      </c>
      <c r="B63" s="16"/>
      <c r="C63" s="16"/>
      <c r="D63" s="16"/>
      <c r="E63" s="16"/>
      <c r="F63" s="16"/>
      <c r="G63" s="16"/>
      <c r="H63" s="18"/>
    </row>
    <row r="64" ht="15.75" customHeight="1">
      <c r="A64" s="134"/>
      <c r="B64" s="96"/>
      <c r="C64" s="96"/>
      <c r="D64" s="96"/>
      <c r="E64" s="96"/>
      <c r="F64" s="96"/>
      <c r="G64" s="96"/>
      <c r="H64" s="97"/>
    </row>
    <row r="65" ht="15.75" customHeight="1">
      <c r="A65" s="129"/>
      <c r="H65" s="130"/>
    </row>
    <row r="66" ht="15.75" customHeight="1">
      <c r="A66" s="98"/>
      <c r="B66" s="99"/>
      <c r="C66" s="99"/>
      <c r="D66" s="99"/>
      <c r="E66" s="99"/>
      <c r="F66" s="99"/>
      <c r="G66" s="99"/>
      <c r="H66" s="100"/>
    </row>
    <row r="67" ht="15.75" customHeight="1"/>
    <row r="68" ht="15.75" customHeight="1">
      <c r="A68" s="105" t="s">
        <v>313</v>
      </c>
      <c r="G68" s="55" t="s">
        <v>31</v>
      </c>
      <c r="H68" s="106">
        <f>B70</f>
        <v>10</v>
      </c>
    </row>
    <row r="69" ht="15.75" customHeight="1">
      <c r="G69" s="39" t="s">
        <v>314</v>
      </c>
    </row>
    <row r="70" ht="15.75" customHeight="1">
      <c r="A70" s="42" t="s">
        <v>31</v>
      </c>
      <c r="B70" s="127">
        <v>10.0</v>
      </c>
      <c r="C70" s="16"/>
      <c r="D70" s="16"/>
      <c r="E70" s="16"/>
      <c r="F70" s="16"/>
      <c r="G70" s="16"/>
      <c r="H70" s="18"/>
    </row>
    <row r="71" ht="15.75" customHeight="1">
      <c r="A71" s="120" t="s">
        <v>315</v>
      </c>
      <c r="B71" s="16"/>
      <c r="C71" s="16"/>
      <c r="D71" s="16"/>
      <c r="E71" s="16"/>
      <c r="F71" s="16"/>
      <c r="G71" s="16"/>
      <c r="H71" s="18"/>
    </row>
    <row r="72" ht="15.75" customHeight="1">
      <c r="A72" s="125" t="s">
        <v>320</v>
      </c>
      <c r="B72" s="96"/>
      <c r="C72" s="96"/>
      <c r="D72" s="96"/>
      <c r="E72" s="96"/>
      <c r="F72" s="96"/>
      <c r="G72" s="96"/>
      <c r="H72" s="97"/>
    </row>
    <row r="73" ht="15.75" customHeight="1">
      <c r="A73" s="98"/>
      <c r="B73" s="99"/>
      <c r="C73" s="99"/>
      <c r="D73" s="99"/>
      <c r="E73" s="99"/>
      <c r="F73" s="99"/>
      <c r="G73" s="99"/>
      <c r="H73" s="100"/>
    </row>
    <row r="74" ht="15.75" customHeight="1">
      <c r="A74" s="39"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251</v>
      </c>
    </row>
    <row r="3" ht="15.75" customHeight="1"/>
    <row r="4" ht="15.75" customHeight="1">
      <c r="B4" s="12" t="s">
        <v>2</v>
      </c>
      <c r="C4" s="113" t="str">
        <f>'Diseño'!C4</f>
        <v/>
      </c>
      <c r="D4" s="16"/>
      <c r="E4" s="16"/>
      <c r="F4" s="16"/>
      <c r="G4" s="18"/>
    </row>
    <row r="5" ht="15.75" customHeight="1">
      <c r="B5" s="22" t="s">
        <v>17</v>
      </c>
      <c r="C5" s="25">
        <v>6.0</v>
      </c>
      <c r="D5" s="16"/>
      <c r="E5" s="16"/>
      <c r="F5" s="16"/>
      <c r="G5" s="18"/>
    </row>
    <row r="6" ht="15.75" customHeight="1">
      <c r="B6" s="102" t="s">
        <v>21</v>
      </c>
      <c r="C6" s="25">
        <f>H10+H21+H44+H68</f>
        <v>105</v>
      </c>
      <c r="D6" s="16"/>
      <c r="E6" s="16"/>
      <c r="F6" s="16"/>
      <c r="G6" s="18"/>
      <c r="I6" s="10"/>
    </row>
    <row r="7" ht="15.75" customHeight="1">
      <c r="B7" s="102" t="s">
        <v>252</v>
      </c>
      <c r="C7" s="25">
        <f>B49+B60</f>
        <v>5</v>
      </c>
      <c r="D7" s="16"/>
      <c r="E7" s="16"/>
      <c r="F7" s="16"/>
      <c r="G7" s="18"/>
    </row>
    <row r="8" ht="15.75" customHeight="1">
      <c r="B8" s="102" t="s">
        <v>253</v>
      </c>
      <c r="C8" s="124"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6"/>
      <c r="E8" s="16"/>
      <c r="F8" s="16"/>
      <c r="G8" s="18"/>
      <c r="I8" s="10"/>
      <c r="J8" s="10"/>
      <c r="K8" s="10"/>
    </row>
    <row r="9" ht="15.75" customHeight="1"/>
    <row r="10" ht="15.75" customHeight="1">
      <c r="A10" s="105" t="s">
        <v>255</v>
      </c>
      <c r="G10" s="55" t="s">
        <v>31</v>
      </c>
      <c r="H10" s="106">
        <f>B13</f>
        <v>5</v>
      </c>
    </row>
    <row r="11" ht="15.75" customHeight="1">
      <c r="G11" s="39" t="s">
        <v>256</v>
      </c>
    </row>
    <row r="12" ht="15.75" customHeight="1">
      <c r="A12" s="42" t="s">
        <v>257</v>
      </c>
      <c r="B12" s="29" t="s">
        <v>326</v>
      </c>
      <c r="C12" s="16"/>
      <c r="D12" s="16"/>
      <c r="E12" s="16"/>
      <c r="F12" s="16"/>
      <c r="G12" s="16"/>
      <c r="H12" s="18"/>
    </row>
    <row r="13" ht="15.75" customHeight="1">
      <c r="A13" s="45" t="s">
        <v>31</v>
      </c>
      <c r="B13" s="29">
        <v>5.0</v>
      </c>
      <c r="C13" s="16"/>
      <c r="D13" s="16"/>
      <c r="E13" s="16"/>
      <c r="F13" s="16"/>
      <c r="G13" s="16"/>
      <c r="H13" s="18"/>
    </row>
    <row r="14" ht="15.75" customHeight="1">
      <c r="A14" s="108" t="s">
        <v>259</v>
      </c>
      <c r="B14" s="16"/>
      <c r="C14" s="16"/>
      <c r="D14" s="16"/>
      <c r="E14" s="16"/>
      <c r="F14" s="16"/>
      <c r="G14" s="16"/>
      <c r="H14" s="18"/>
    </row>
    <row r="15" ht="15.75" customHeight="1">
      <c r="A15" s="125" t="s">
        <v>327</v>
      </c>
      <c r="B15" s="96"/>
      <c r="C15" s="96"/>
      <c r="D15" s="96"/>
      <c r="E15" s="96"/>
      <c r="F15" s="96"/>
      <c r="G15" s="96"/>
      <c r="H15" s="97"/>
    </row>
    <row r="16" ht="15.75" customHeight="1">
      <c r="A16" s="98"/>
      <c r="B16" s="99"/>
      <c r="C16" s="99"/>
      <c r="D16" s="99"/>
      <c r="E16" s="99"/>
      <c r="F16" s="99"/>
      <c r="G16" s="99"/>
      <c r="H16" s="100"/>
    </row>
    <row r="17" ht="15.75" customHeight="1">
      <c r="A17" s="108" t="s">
        <v>261</v>
      </c>
      <c r="B17" s="16"/>
      <c r="C17" s="16"/>
      <c r="D17" s="16"/>
      <c r="E17" s="16"/>
      <c r="F17" s="16"/>
      <c r="G17" s="16"/>
      <c r="H17" s="18"/>
    </row>
    <row r="18" ht="15.75" customHeight="1">
      <c r="A18" s="125" t="s">
        <v>328</v>
      </c>
      <c r="B18" s="96"/>
      <c r="C18" s="96"/>
      <c r="D18" s="96"/>
      <c r="E18" s="96"/>
      <c r="F18" s="96"/>
      <c r="G18" s="96"/>
      <c r="H18" s="97"/>
    </row>
    <row r="19" ht="15.75" customHeight="1">
      <c r="A19" s="98"/>
      <c r="B19" s="99"/>
      <c r="C19" s="99"/>
      <c r="D19" s="99"/>
      <c r="E19" s="99"/>
      <c r="F19" s="99"/>
      <c r="G19" s="99"/>
      <c r="H19" s="100"/>
    </row>
    <row r="20" ht="15.75" customHeight="1"/>
    <row r="21" ht="15.75" customHeight="1">
      <c r="A21" s="105" t="s">
        <v>264</v>
      </c>
      <c r="G21" s="55" t="s">
        <v>31</v>
      </c>
      <c r="H21" s="106">
        <f>SUM(D39:H42)</f>
        <v>60</v>
      </c>
      <c r="I21" s="10"/>
    </row>
    <row r="22" ht="15.75" customHeight="1">
      <c r="G22" s="39" t="s">
        <v>265</v>
      </c>
    </row>
    <row r="23" ht="15.75" customHeight="1">
      <c r="A23" s="42" t="s">
        <v>266</v>
      </c>
      <c r="B23" s="29" t="s">
        <v>329</v>
      </c>
      <c r="C23" s="16"/>
      <c r="D23" s="16"/>
      <c r="E23" s="16"/>
      <c r="F23" s="16"/>
      <c r="G23" s="16"/>
      <c r="H23" s="18"/>
    </row>
    <row r="24" ht="15.75" customHeight="1">
      <c r="A24" s="42" t="s">
        <v>266</v>
      </c>
      <c r="B24" s="29" t="s">
        <v>330</v>
      </c>
      <c r="C24" s="16"/>
      <c r="D24" s="16"/>
      <c r="E24" s="16"/>
      <c r="F24" s="16"/>
      <c r="G24" s="16"/>
      <c r="H24" s="18"/>
    </row>
    <row r="25" ht="15.75" customHeight="1"/>
    <row r="26" ht="15.75" customHeight="1">
      <c r="A26" s="110" t="s">
        <v>268</v>
      </c>
      <c r="B26" s="10"/>
      <c r="C26" s="10"/>
      <c r="D26" s="10"/>
    </row>
    <row r="27" ht="15.75" customHeight="1">
      <c r="A27" s="111" t="s">
        <v>20</v>
      </c>
      <c r="B27" s="112" t="s">
        <v>270</v>
      </c>
      <c r="C27" s="18"/>
      <c r="D27" s="112" t="s">
        <v>271</v>
      </c>
      <c r="E27" s="18"/>
      <c r="F27" s="112" t="s">
        <v>272</v>
      </c>
      <c r="G27" s="16"/>
      <c r="H27" s="18"/>
    </row>
    <row r="28" ht="15.75" customHeight="1">
      <c r="A28" s="22">
        <v>1.0</v>
      </c>
      <c r="B28" s="25" t="str">
        <f>IFERROR(__xludf.DUMMYFUNCTION("FILTER('Diseño'!D:D,'Diseño'!H:H=$C$5)"),"Unidad 3: Desarrollando el pensamiento sistémico complejo")</f>
        <v>Unidad 3: Desarrollando el pensamiento sistémico complejo</v>
      </c>
      <c r="C28" s="18"/>
      <c r="D28" s="25" t="str">
        <f>IFERROR(__xludf.DUMMYFUNCTION("FILTER('Diseño'!E:E,'Diseño'!H:H=$C$5)"),"Clasificación de sistemas")</f>
        <v>Clasificación de sistemas</v>
      </c>
      <c r="E28" s="18"/>
      <c r="F28" s="25" t="str">
        <f>IFERROR(__xludf.DUMMYFUNCTION("FILTER('Diseño'!F:F,'Diseño'!H:H=$C$5)"),"Características de sistemas de actividad humana")</f>
        <v>Características de sistemas de actividad humana</v>
      </c>
      <c r="G28" s="16"/>
      <c r="H28" s="18"/>
    </row>
    <row r="29" ht="15.75" customHeight="1">
      <c r="A29" s="22">
        <v>2.0</v>
      </c>
      <c r="B29" s="25" t="str">
        <f>IFERROR(__xludf.DUMMYFUNCTION("""COMPUTED_VALUE"""),"Unidad 3: Desarrollando el pensamiento sistémico complejo")</f>
        <v>Unidad 3: Desarrollando el pensamiento sistémico complejo</v>
      </c>
      <c r="C29" s="18"/>
      <c r="D29" s="25" t="str">
        <f>IFERROR(__xludf.DUMMYFUNCTION("""COMPUTED_VALUE"""),"Clasificación de sistemas")</f>
        <v>Clasificación de sistemas</v>
      </c>
      <c r="E29" s="18"/>
      <c r="F29" s="25" t="str">
        <f>IFERROR(__xludf.DUMMYFUNCTION("""COMPUTED_VALUE"""),"Ejemplos de interacciones entre sistemas")</f>
        <v>Ejemplos de interacciones entre sistemas</v>
      </c>
      <c r="G29" s="16"/>
      <c r="H29" s="18"/>
    </row>
    <row r="30" ht="15.75" customHeight="1">
      <c r="A30" s="22">
        <v>3.0</v>
      </c>
      <c r="B30" s="25" t="str">
        <f>IFERROR(__xludf.DUMMYFUNCTION("""COMPUTED_VALUE"""),"Unidad 3: Desarrollando el pensamiento sistémico complejo")</f>
        <v>Unidad 3: Desarrollando el pensamiento sistémico complejo</v>
      </c>
      <c r="C30" s="18"/>
      <c r="D30" s="25" t="str">
        <f>IFERROR(__xludf.DUMMYFUNCTION("""COMPUTED_VALUE"""),"Niveles de perspectiva")</f>
        <v>Niveles de perspectiva</v>
      </c>
      <c r="E30" s="18"/>
      <c r="F30" s="25" t="str">
        <f>IFERROR(__xludf.DUMMYFUNCTION("""COMPUTED_VALUE"""),"Modelo del iceberg")</f>
        <v>Modelo del iceberg</v>
      </c>
      <c r="G30" s="16"/>
      <c r="H30" s="18"/>
    </row>
    <row r="31" ht="15.75" customHeight="1">
      <c r="A31" s="22">
        <v>4.0</v>
      </c>
      <c r="B31" s="25" t="str">
        <f>IFERROR(__xludf.DUMMYFUNCTION("""COMPUTED_VALUE"""),"Unidad 3: Desarrollando el pensamiento sistémico complejo")</f>
        <v>Unidad 3: Desarrollando el pensamiento sistémico complejo</v>
      </c>
      <c r="C31" s="18"/>
      <c r="D31" s="25" t="str">
        <f>IFERROR(__xludf.DUMMYFUNCTION("""COMPUTED_VALUE"""),"Niveles de perspectiva")</f>
        <v>Niveles de perspectiva</v>
      </c>
      <c r="E31" s="18"/>
      <c r="F31" s="25" t="str">
        <f>IFERROR(__xludf.DUMMYFUNCTION("""COMPUTED_VALUE"""),"Interpretación de niveles de percepción")</f>
        <v>Interpretación de niveles de percepción</v>
      </c>
      <c r="G31" s="16"/>
      <c r="H31" s="18"/>
    </row>
    <row r="32" ht="15.75" customHeight="1">
      <c r="A32" s="22">
        <v>5.0</v>
      </c>
      <c r="B32" s="25" t="str">
        <f>IFERROR(__xludf.DUMMYFUNCTION("""COMPUTED_VALUE"""),"Unidad 3: Desarrollando el pensamiento sistémico complejo")</f>
        <v>Unidad 3: Desarrollando el pensamiento sistémico complejo</v>
      </c>
      <c r="C32" s="18"/>
      <c r="D32" s="25" t="str">
        <f>IFERROR(__xludf.DUMMYFUNCTION("""COMPUTED_VALUE"""),"Niveles de perspectiva")</f>
        <v>Niveles de perspectiva</v>
      </c>
      <c r="E32" s="18"/>
      <c r="F32" s="25" t="str">
        <f>IFERROR(__xludf.DUMMYFUNCTION("""COMPUTED_VALUE"""),"Impacto de la percepción en el pensamiento sistémico")</f>
        <v>Impacto de la percepción en el pensamiento sistémico</v>
      </c>
      <c r="G32" s="16"/>
      <c r="H32" s="18"/>
    </row>
    <row r="33" ht="15.75" customHeight="1">
      <c r="A33" s="22">
        <v>6.0</v>
      </c>
      <c r="B33" s="25" t="str">
        <f>IFERROR(__xludf.DUMMYFUNCTION("""COMPUTED_VALUE"""),"Unidad 3: Desarrollando el pensamiento sistémico complejo")</f>
        <v>Unidad 3: Desarrollando el pensamiento sistémico complejo</v>
      </c>
      <c r="C33" s="18"/>
      <c r="D33" s="25" t="str">
        <f>IFERROR(__xludf.DUMMYFUNCTION("""COMPUTED_VALUE"""),"Niveles de perspectiva")</f>
        <v>Niveles de perspectiva</v>
      </c>
      <c r="E33" s="18"/>
      <c r="F33" s="25" t="str">
        <f>IFERROR(__xludf.DUMMYFUNCTION("""COMPUTED_VALUE"""),"Ejemplos de interpretación de sistemas")</f>
        <v>Ejemplos de interpretación de sistemas</v>
      </c>
      <c r="G33" s="16"/>
      <c r="H33" s="18"/>
    </row>
    <row r="34" ht="15.75" customHeight="1">
      <c r="A34" s="22">
        <v>7.0</v>
      </c>
      <c r="B34" s="25" t="str">
        <f>IFERROR(__xludf.DUMMYFUNCTION("""COMPUTED_VALUE"""),"Unidad 3: Desarrollando el pensamiento sistémico complejo")</f>
        <v>Unidad 3: Desarrollando el pensamiento sistémico complejo</v>
      </c>
      <c r="C34" s="18"/>
      <c r="D34" s="25" t="str">
        <f>IFERROR(__xludf.DUMMYFUNCTION("""COMPUTED_VALUE"""),"Niveles de perspectiva")</f>
        <v>Niveles de perspectiva</v>
      </c>
      <c r="E34" s="18"/>
      <c r="F34" s="25" t="str">
        <f>IFERROR(__xludf.DUMMYFUNCTION("""COMPUTED_VALUE"""),"Cambio de perspectiva en análisis sistémico")</f>
        <v>Cambio de perspectiva en análisis sistémico</v>
      </c>
      <c r="G34" s="16"/>
      <c r="H34" s="18"/>
    </row>
    <row r="35" ht="15.75" customHeight="1">
      <c r="B35" s="135" t="str">
        <f>IFERROR(__xludf.DUMMYFUNCTION("""COMPUTED_VALUE"""),"Unidad 3: Desarrollando el pensamiento sistémico complejo")</f>
        <v>Unidad 3: Desarrollando el pensamiento sistémico complejo</v>
      </c>
      <c r="D35" s="135" t="str">
        <f>IFERROR(__xludf.DUMMYFUNCTION("""COMPUTED_VALUE"""),"Niveles de perspectiva")</f>
        <v>Niveles de perspectiva</v>
      </c>
      <c r="F35" s="135" t="str">
        <f>IFERROR(__xludf.DUMMYFUNCTION("""COMPUTED_VALUE"""),"Impacto del cambio de nivel de percepción")</f>
        <v>Impacto del cambio de nivel de percepción</v>
      </c>
    </row>
    <row r="36" ht="15.75" customHeight="1">
      <c r="A36" s="110" t="s">
        <v>284</v>
      </c>
      <c r="B36" s="135" t="str">
        <f>IFERROR(__xludf.DUMMYFUNCTION("""COMPUTED_VALUE"""),"Unidad 3: Desarrollando el pensamiento sistémico complejo")</f>
        <v>Unidad 3: Desarrollando el pensamiento sistémico complejo</v>
      </c>
      <c r="D36" s="135" t="str">
        <f>IFERROR(__xludf.DUMMYFUNCTION("""COMPUTED_VALUE"""),"Niveles de perspectiva")</f>
        <v>Niveles de perspectiva</v>
      </c>
      <c r="F36" s="135" t="str">
        <f>IFERROR(__xludf.DUMMYFUNCTION("""COMPUTED_VALUE"""),"Ejemplos de interacción entre niveles de perspectiva")</f>
        <v>Ejemplos de interacción entre niveles de perspectiva</v>
      </c>
    </row>
    <row r="37" ht="15.75" customHeight="1">
      <c r="A37" s="10"/>
      <c r="B37" s="10"/>
      <c r="C37" s="10"/>
      <c r="D37" s="10"/>
      <c r="E37" s="10"/>
      <c r="F37" s="10"/>
      <c r="G37" s="10"/>
      <c r="H37" s="10"/>
    </row>
    <row r="38">
      <c r="A38" s="111" t="s">
        <v>285</v>
      </c>
      <c r="B38" s="111" t="s">
        <v>86</v>
      </c>
      <c r="C38" s="119" t="s">
        <v>286</v>
      </c>
      <c r="D38" s="120" t="s">
        <v>287</v>
      </c>
      <c r="E38" s="16"/>
      <c r="F38" s="16"/>
      <c r="G38" s="16"/>
      <c r="H38" s="18"/>
      <c r="I38" s="121" t="s">
        <v>135</v>
      </c>
    </row>
    <row r="39" ht="15.75" customHeight="1">
      <c r="A39" s="22" t="s">
        <v>288</v>
      </c>
      <c r="B39" s="22" t="s">
        <v>289</v>
      </c>
      <c r="C39" s="22">
        <v>30.0</v>
      </c>
      <c r="D39" s="29">
        <v>15.0</v>
      </c>
      <c r="E39" s="16"/>
      <c r="F39" s="16"/>
      <c r="G39" s="16"/>
      <c r="H39" s="18"/>
      <c r="I39" s="22" t="str">
        <f t="shared" ref="I39:I42" si="1">IF(D39&lt;=C39,"Correcto", "Corregir")</f>
        <v>Correcto</v>
      </c>
    </row>
    <row r="40" ht="15.75" customHeight="1">
      <c r="A40" s="22" t="s">
        <v>290</v>
      </c>
      <c r="B40" s="22" t="s">
        <v>289</v>
      </c>
      <c r="C40" s="22">
        <v>6.0</v>
      </c>
      <c r="D40" s="29">
        <v>5.0</v>
      </c>
      <c r="E40" s="16"/>
      <c r="F40" s="16"/>
      <c r="G40" s="16"/>
      <c r="H40" s="18"/>
      <c r="I40" s="22" t="str">
        <f t="shared" si="1"/>
        <v>Correcto</v>
      </c>
    </row>
    <row r="41" ht="15.75" customHeight="1">
      <c r="A41" s="22" t="s">
        <v>292</v>
      </c>
      <c r="B41" s="22" t="s">
        <v>293</v>
      </c>
      <c r="C41" s="22">
        <v>10.0</v>
      </c>
      <c r="D41" s="29">
        <v>15.0</v>
      </c>
      <c r="E41" s="16"/>
      <c r="F41" s="16"/>
      <c r="G41" s="16"/>
      <c r="H41" s="18"/>
      <c r="I41" s="22" t="str">
        <f t="shared" si="1"/>
        <v>Corregir</v>
      </c>
    </row>
    <row r="42" ht="15.75" customHeight="1">
      <c r="A42" s="22" t="s">
        <v>294</v>
      </c>
      <c r="B42" s="22" t="s">
        <v>289</v>
      </c>
      <c r="C42" s="22">
        <v>30.0</v>
      </c>
      <c r="D42" s="29">
        <v>25.0</v>
      </c>
      <c r="E42" s="16"/>
      <c r="F42" s="16"/>
      <c r="G42" s="16"/>
      <c r="H42" s="18"/>
      <c r="I42" s="22" t="str">
        <f t="shared" si="1"/>
        <v>Correcto</v>
      </c>
    </row>
    <row r="43" ht="15.75" customHeight="1"/>
    <row r="44" ht="15.75" customHeight="1">
      <c r="A44" s="105" t="s">
        <v>296</v>
      </c>
      <c r="G44" s="55" t="s">
        <v>31</v>
      </c>
      <c r="H44" s="106">
        <f>B50</f>
        <v>30</v>
      </c>
    </row>
    <row r="45" ht="15.75" customHeight="1">
      <c r="G45" s="39" t="s">
        <v>297</v>
      </c>
    </row>
    <row r="46" ht="15.75" customHeight="1">
      <c r="A46" s="39" t="s">
        <v>298</v>
      </c>
    </row>
    <row r="47">
      <c r="A47" s="42" t="s">
        <v>299</v>
      </c>
      <c r="B47" s="29" t="s">
        <v>329</v>
      </c>
      <c r="C47" s="16"/>
      <c r="D47" s="16"/>
      <c r="E47" s="16"/>
      <c r="F47" s="16"/>
      <c r="G47" s="16"/>
      <c r="H47" s="18"/>
    </row>
    <row r="48" ht="15.75" customHeight="1">
      <c r="A48" s="42" t="s">
        <v>10</v>
      </c>
      <c r="B48" s="25" t="s">
        <v>301</v>
      </c>
      <c r="C48" s="16"/>
      <c r="D48" s="16"/>
      <c r="E48" s="16"/>
      <c r="F48" s="16"/>
      <c r="G48" s="16"/>
      <c r="H48" s="18"/>
    </row>
    <row r="49" ht="15.75" customHeight="1">
      <c r="A49" s="42" t="s">
        <v>252</v>
      </c>
      <c r="B49" s="127">
        <v>5.0</v>
      </c>
      <c r="C49" s="16"/>
      <c r="D49" s="16"/>
      <c r="E49" s="16"/>
      <c r="F49" s="16"/>
      <c r="G49" s="16"/>
      <c r="H49" s="18"/>
    </row>
    <row r="50" ht="15.75" customHeight="1">
      <c r="A50" s="42" t="s">
        <v>31</v>
      </c>
      <c r="B50" s="29">
        <v>30.0</v>
      </c>
      <c r="C50" s="16"/>
      <c r="D50" s="16"/>
      <c r="E50" s="16"/>
      <c r="F50" s="16"/>
      <c r="G50" s="16"/>
      <c r="H50" s="18"/>
    </row>
    <row r="51" ht="15.75" customHeight="1">
      <c r="A51" s="128" t="s">
        <v>303</v>
      </c>
      <c r="B51" s="10"/>
      <c r="C51" s="10"/>
      <c r="D51" s="10"/>
      <c r="E51" s="10"/>
      <c r="F51" s="10"/>
      <c r="G51" s="10"/>
      <c r="H51" s="10"/>
    </row>
    <row r="52" ht="15.75" customHeight="1">
      <c r="A52" s="108" t="s">
        <v>304</v>
      </c>
      <c r="B52" s="16"/>
      <c r="C52" s="16"/>
      <c r="D52" s="16"/>
      <c r="E52" s="16"/>
      <c r="F52" s="16"/>
      <c r="G52" s="16"/>
      <c r="H52" s="18"/>
    </row>
    <row r="53" ht="15.75" customHeight="1">
      <c r="A53" s="125" t="s">
        <v>332</v>
      </c>
      <c r="B53" s="96"/>
      <c r="C53" s="96"/>
      <c r="D53" s="96"/>
      <c r="E53" s="96"/>
      <c r="F53" s="96"/>
      <c r="G53" s="96"/>
      <c r="H53" s="97"/>
    </row>
    <row r="54" ht="15.75" customHeight="1">
      <c r="A54" s="129"/>
      <c r="H54" s="130"/>
    </row>
    <row r="55" ht="15.75" customHeight="1">
      <c r="A55" s="98"/>
      <c r="B55" s="99"/>
      <c r="C55" s="99"/>
      <c r="D55" s="99"/>
      <c r="E55" s="99"/>
      <c r="F55" s="99"/>
      <c r="G55" s="99"/>
      <c r="H55" s="100"/>
    </row>
    <row r="56" ht="15.75" customHeight="1"/>
    <row r="57" ht="15.75" customHeight="1">
      <c r="A57" s="39" t="s">
        <v>307</v>
      </c>
    </row>
    <row r="58">
      <c r="A58" s="42" t="s">
        <v>299</v>
      </c>
      <c r="B58" s="25"/>
      <c r="C58" s="16"/>
      <c r="D58" s="16"/>
      <c r="E58" s="16"/>
      <c r="F58" s="16"/>
      <c r="G58" s="16"/>
      <c r="H58" s="18"/>
    </row>
    <row r="59" ht="15.75" customHeight="1">
      <c r="A59" s="42" t="s">
        <v>10</v>
      </c>
      <c r="B59" s="25"/>
      <c r="C59" s="16"/>
      <c r="D59" s="16"/>
      <c r="E59" s="16"/>
      <c r="F59" s="16"/>
      <c r="G59" s="16"/>
      <c r="H59" s="18"/>
    </row>
    <row r="60" ht="15.75" customHeight="1">
      <c r="A60" s="42" t="s">
        <v>252</v>
      </c>
      <c r="B60" s="133"/>
      <c r="C60" s="16"/>
      <c r="D60" s="16"/>
      <c r="E60" s="16"/>
      <c r="F60" s="16"/>
      <c r="G60" s="16"/>
      <c r="H60" s="18"/>
    </row>
    <row r="61" ht="15.75" customHeight="1">
      <c r="A61" s="42" t="s">
        <v>31</v>
      </c>
      <c r="B61" s="127"/>
      <c r="C61" s="16"/>
      <c r="D61" s="16"/>
      <c r="E61" s="16"/>
      <c r="F61" s="16"/>
      <c r="G61" s="16"/>
      <c r="H61" s="18"/>
    </row>
    <row r="62" ht="15.75" customHeight="1">
      <c r="A62" s="132" t="s">
        <v>310</v>
      </c>
      <c r="B62" s="10"/>
      <c r="C62" s="10"/>
      <c r="D62" s="10"/>
      <c r="E62" s="10"/>
      <c r="F62" s="10"/>
      <c r="G62" s="10"/>
      <c r="H62" s="10"/>
    </row>
    <row r="63" ht="15.75" customHeight="1">
      <c r="A63" s="108" t="s">
        <v>304</v>
      </c>
      <c r="B63" s="16"/>
      <c r="C63" s="16"/>
      <c r="D63" s="16"/>
      <c r="E63" s="16"/>
      <c r="F63" s="16"/>
      <c r="G63" s="16"/>
      <c r="H63" s="18"/>
    </row>
    <row r="64" ht="15.75" customHeight="1">
      <c r="A64" s="134"/>
      <c r="B64" s="96"/>
      <c r="C64" s="96"/>
      <c r="D64" s="96"/>
      <c r="E64" s="96"/>
      <c r="F64" s="96"/>
      <c r="G64" s="96"/>
      <c r="H64" s="97"/>
    </row>
    <row r="65" ht="15.75" customHeight="1">
      <c r="A65" s="129"/>
      <c r="H65" s="130"/>
    </row>
    <row r="66" ht="15.75" customHeight="1">
      <c r="A66" s="98"/>
      <c r="B66" s="99"/>
      <c r="C66" s="99"/>
      <c r="D66" s="99"/>
      <c r="E66" s="99"/>
      <c r="F66" s="99"/>
      <c r="G66" s="99"/>
      <c r="H66" s="100"/>
    </row>
    <row r="67" ht="15.75" customHeight="1"/>
    <row r="68" ht="15.75" customHeight="1">
      <c r="A68" s="105" t="s">
        <v>313</v>
      </c>
      <c r="G68" s="55" t="s">
        <v>31</v>
      </c>
      <c r="H68" s="106">
        <f>B70</f>
        <v>10</v>
      </c>
    </row>
    <row r="69" ht="15.75" customHeight="1">
      <c r="G69" s="39" t="s">
        <v>314</v>
      </c>
    </row>
    <row r="70" ht="15.75" customHeight="1">
      <c r="A70" s="42" t="s">
        <v>31</v>
      </c>
      <c r="B70" s="127">
        <v>10.0</v>
      </c>
      <c r="C70" s="16"/>
      <c r="D70" s="16"/>
      <c r="E70" s="16"/>
      <c r="F70" s="16"/>
      <c r="G70" s="16"/>
      <c r="H70" s="18"/>
    </row>
    <row r="71" ht="15.75" customHeight="1">
      <c r="A71" s="120" t="s">
        <v>315</v>
      </c>
      <c r="B71" s="16"/>
      <c r="C71" s="16"/>
      <c r="D71" s="16"/>
      <c r="E71" s="16"/>
      <c r="F71" s="16"/>
      <c r="G71" s="16"/>
      <c r="H71" s="18"/>
    </row>
    <row r="72" ht="15.75" customHeight="1">
      <c r="A72" s="125" t="s">
        <v>320</v>
      </c>
      <c r="B72" s="96"/>
      <c r="C72" s="96"/>
      <c r="D72" s="96"/>
      <c r="E72" s="96"/>
      <c r="F72" s="96"/>
      <c r="G72" s="96"/>
      <c r="H72" s="97"/>
    </row>
    <row r="73" ht="15.75" customHeight="1">
      <c r="A73" s="98"/>
      <c r="B73" s="99"/>
      <c r="C73" s="99"/>
      <c r="D73" s="99"/>
      <c r="E73" s="99"/>
      <c r="F73" s="99"/>
      <c r="G73" s="99"/>
      <c r="H73" s="100"/>
    </row>
    <row r="74" ht="15.75" customHeight="1">
      <c r="A74" s="39"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251</v>
      </c>
    </row>
    <row r="3" ht="15.75" customHeight="1"/>
    <row r="4" ht="15.75" customHeight="1">
      <c r="B4" s="12" t="s">
        <v>2</v>
      </c>
      <c r="C4" s="113" t="str">
        <f>'Diseño'!C4</f>
        <v/>
      </c>
      <c r="D4" s="16"/>
      <c r="E4" s="16"/>
      <c r="F4" s="16"/>
      <c r="G4" s="18"/>
    </row>
    <row r="5" ht="15.75" customHeight="1">
      <c r="B5" s="22" t="s">
        <v>17</v>
      </c>
      <c r="C5" s="25">
        <v>7.0</v>
      </c>
      <c r="D5" s="16"/>
      <c r="E5" s="16"/>
      <c r="F5" s="16"/>
      <c r="G5" s="18"/>
    </row>
    <row r="6" ht="15.75" customHeight="1">
      <c r="B6" s="102" t="s">
        <v>21</v>
      </c>
      <c r="C6" s="25">
        <f>H10+H21+H44+H68</f>
        <v>130</v>
      </c>
      <c r="D6" s="16"/>
      <c r="E6" s="16"/>
      <c r="F6" s="16"/>
      <c r="G6" s="18"/>
      <c r="I6" s="10"/>
    </row>
    <row r="7" ht="15.75" customHeight="1">
      <c r="B7" s="102" t="s">
        <v>252</v>
      </c>
      <c r="C7" s="25">
        <f>B49+B60</f>
        <v>6</v>
      </c>
      <c r="D7" s="16"/>
      <c r="E7" s="16"/>
      <c r="F7" s="16"/>
      <c r="G7" s="18"/>
    </row>
    <row r="8" ht="15.75" customHeight="1">
      <c r="B8" s="102" t="s">
        <v>253</v>
      </c>
      <c r="C8" s="124" t="str">
        <f>IF(H44&lt;=0, "❌ ERROR: La Actividad 1 debe tener un tiempo mayor a 0.", IF(H21&gt;60, "❌ ERROR: El 'Área de Conocimiento' no puede exceder los 60 min.", IF((H10+H21+H44)&lt;100, "❌ ERROR: El tiempo total debe ser de al menos 100 min.", "✅ VALIDACIÓN CORRECTA")))</f>
        <v>✅ VALIDACIÓN CORRECTA</v>
      </c>
      <c r="D8" s="16"/>
      <c r="E8" s="16"/>
      <c r="F8" s="16"/>
      <c r="G8" s="18"/>
      <c r="I8" s="10"/>
      <c r="J8" s="10"/>
      <c r="K8" s="10"/>
    </row>
    <row r="9" ht="15.75" customHeight="1"/>
    <row r="10" ht="15.75" customHeight="1">
      <c r="A10" s="105" t="s">
        <v>255</v>
      </c>
      <c r="G10" s="55" t="s">
        <v>31</v>
      </c>
      <c r="H10" s="106">
        <f>B13</f>
        <v>5</v>
      </c>
    </row>
    <row r="11" ht="15.75" customHeight="1">
      <c r="G11" s="39" t="s">
        <v>256</v>
      </c>
    </row>
    <row r="12" ht="15.75" customHeight="1">
      <c r="A12" s="42" t="s">
        <v>257</v>
      </c>
      <c r="B12" s="29" t="s">
        <v>333</v>
      </c>
      <c r="C12" s="16"/>
      <c r="D12" s="16"/>
      <c r="E12" s="16"/>
      <c r="F12" s="16"/>
      <c r="G12" s="16"/>
      <c r="H12" s="18"/>
    </row>
    <row r="13" ht="15.75" customHeight="1">
      <c r="A13" s="45" t="s">
        <v>31</v>
      </c>
      <c r="B13" s="29">
        <v>5.0</v>
      </c>
      <c r="C13" s="16"/>
      <c r="D13" s="16"/>
      <c r="E13" s="16"/>
      <c r="F13" s="16"/>
      <c r="G13" s="16"/>
      <c r="H13" s="18"/>
    </row>
    <row r="14" ht="15.75" customHeight="1">
      <c r="A14" s="108" t="s">
        <v>259</v>
      </c>
      <c r="B14" s="16"/>
      <c r="C14" s="16"/>
      <c r="D14" s="16"/>
      <c r="E14" s="16"/>
      <c r="F14" s="16"/>
      <c r="G14" s="16"/>
      <c r="H14" s="18"/>
    </row>
    <row r="15" ht="15.75" customHeight="1">
      <c r="A15" s="125" t="s">
        <v>333</v>
      </c>
      <c r="B15" s="96"/>
      <c r="C15" s="96"/>
      <c r="D15" s="96"/>
      <c r="E15" s="96"/>
      <c r="F15" s="96"/>
      <c r="G15" s="96"/>
      <c r="H15" s="97"/>
    </row>
    <row r="16" ht="15.75" customHeight="1">
      <c r="A16" s="98"/>
      <c r="B16" s="99"/>
      <c r="C16" s="99"/>
      <c r="D16" s="99"/>
      <c r="E16" s="99"/>
      <c r="F16" s="99"/>
      <c r="G16" s="99"/>
      <c r="H16" s="100"/>
    </row>
    <row r="17" ht="15.75" customHeight="1">
      <c r="A17" s="108" t="s">
        <v>261</v>
      </c>
      <c r="B17" s="16"/>
      <c r="C17" s="16"/>
      <c r="D17" s="16"/>
      <c r="E17" s="16"/>
      <c r="F17" s="16"/>
      <c r="G17" s="16"/>
      <c r="H17" s="18"/>
    </row>
    <row r="18" ht="15.75" customHeight="1">
      <c r="A18" s="125" t="s">
        <v>334</v>
      </c>
      <c r="B18" s="96"/>
      <c r="C18" s="96"/>
      <c r="D18" s="96"/>
      <c r="E18" s="96"/>
      <c r="F18" s="96"/>
      <c r="G18" s="96"/>
      <c r="H18" s="97"/>
    </row>
    <row r="19" ht="15.75" customHeight="1">
      <c r="A19" s="98"/>
      <c r="B19" s="99"/>
      <c r="C19" s="99"/>
      <c r="D19" s="99"/>
      <c r="E19" s="99"/>
      <c r="F19" s="99"/>
      <c r="G19" s="99"/>
      <c r="H19" s="100"/>
    </row>
    <row r="20" ht="15.75" customHeight="1"/>
    <row r="21" ht="15.75" customHeight="1">
      <c r="A21" s="105" t="s">
        <v>264</v>
      </c>
      <c r="G21" s="55" t="s">
        <v>31</v>
      </c>
      <c r="H21" s="106">
        <f>SUM(D39:H42)</f>
        <v>60</v>
      </c>
      <c r="I21" s="10"/>
    </row>
    <row r="22" ht="15.75" customHeight="1">
      <c r="G22" s="39" t="s">
        <v>265</v>
      </c>
    </row>
    <row r="23" ht="15.75" customHeight="1">
      <c r="A23" s="42" t="s">
        <v>266</v>
      </c>
      <c r="B23" s="29" t="s">
        <v>325</v>
      </c>
      <c r="C23" s="16"/>
      <c r="D23" s="16"/>
      <c r="E23" s="16"/>
      <c r="F23" s="16"/>
      <c r="G23" s="16"/>
      <c r="H23" s="18"/>
    </row>
    <row r="24" ht="15.75" customHeight="1">
      <c r="A24" s="42" t="s">
        <v>266</v>
      </c>
      <c r="B24" s="29" t="s">
        <v>325</v>
      </c>
      <c r="C24" s="16"/>
      <c r="D24" s="16"/>
      <c r="E24" s="16"/>
      <c r="F24" s="16"/>
      <c r="G24" s="16"/>
      <c r="H24" s="18"/>
    </row>
    <row r="25" ht="15.75" customHeight="1"/>
    <row r="26" ht="15.75" customHeight="1">
      <c r="A26" s="110" t="s">
        <v>268</v>
      </c>
      <c r="B26" s="10"/>
      <c r="C26" s="10"/>
      <c r="D26" s="10"/>
    </row>
    <row r="27" ht="15.75" customHeight="1">
      <c r="A27" s="111" t="s">
        <v>20</v>
      </c>
      <c r="B27" s="112" t="s">
        <v>270</v>
      </c>
      <c r="C27" s="18"/>
      <c r="D27" s="112" t="s">
        <v>271</v>
      </c>
      <c r="E27" s="18"/>
      <c r="F27" s="112" t="s">
        <v>272</v>
      </c>
      <c r="G27" s="16"/>
      <c r="H27" s="18"/>
    </row>
    <row r="28" ht="15.75" customHeight="1">
      <c r="A28" s="22">
        <v>1.0</v>
      </c>
      <c r="B28" s="25" t="str">
        <f>IFERROR(__xludf.DUMMYFUNCTION("FILTER('Diseño'!D:D,'Diseño'!H:H=$C$5)"),"Unidad 3: Desarrollando el pensamiento sistémico complejo")</f>
        <v>Unidad 3: Desarrollando el pensamiento sistémico complejo</v>
      </c>
      <c r="C28" s="18"/>
      <c r="D28" s="25" t="str">
        <f>IFERROR(__xludf.DUMMYFUNCTION("FILTER('Diseño'!E:E,'Diseño'!H:H=$C$5)"),"Hábitos de un pensador sistémico")</f>
        <v>Hábitos de un pensador sistémico</v>
      </c>
      <c r="E28" s="18"/>
      <c r="F28" s="25" t="str">
        <f>IFERROR(__xludf.DUMMYFUNCTION("FILTER('Diseño'!F:F,'Diseño'!H:H=$C$5)"),"Introducción a los hábitos de un pensador sistémico")</f>
        <v>Introducción a los hábitos de un pensador sistémico</v>
      </c>
      <c r="G28" s="16"/>
      <c r="H28" s="18"/>
    </row>
    <row r="29" ht="15.75" customHeight="1">
      <c r="A29" s="22">
        <v>2.0</v>
      </c>
      <c r="B29" s="25" t="str">
        <f>IFERROR(__xludf.DUMMYFUNCTION("""COMPUTED_VALUE"""),"Unidad 3: Desarrollando el pensamiento sistémico complejo")</f>
        <v>Unidad 3: Desarrollando el pensamiento sistémico complejo</v>
      </c>
      <c r="C29" s="18"/>
      <c r="D29" s="25" t="str">
        <f>IFERROR(__xludf.DUMMYFUNCTION("""COMPUTED_VALUE"""),"Hábitos de un pensador sistémico")</f>
        <v>Hábitos de un pensador sistémico</v>
      </c>
      <c r="E29" s="18"/>
      <c r="F29" s="25" t="str">
        <f>IFERROR(__xludf.DUMMYFUNCTION("""COMPUTED_VALUE"""),"Ejemplos de hábitos de pensamiento sistémico")</f>
        <v>Ejemplos de hábitos de pensamiento sistémico</v>
      </c>
      <c r="G29" s="16"/>
      <c r="H29" s="18"/>
    </row>
    <row r="30" ht="15.75" customHeight="1">
      <c r="A30" s="22">
        <v>3.0</v>
      </c>
      <c r="B30" s="25" t="str">
        <f>IFERROR(__xludf.DUMMYFUNCTION("""COMPUTED_VALUE"""),"Unidad 3: Desarrollando el pensamiento sistémico complejo")</f>
        <v>Unidad 3: Desarrollando el pensamiento sistémico complejo</v>
      </c>
      <c r="C30" s="18"/>
      <c r="D30" s="25" t="str">
        <f>IFERROR(__xludf.DUMMYFUNCTION("""COMPUTED_VALUE"""),"Hábitos de un pensador sistémico")</f>
        <v>Hábitos de un pensador sistémico</v>
      </c>
      <c r="E30" s="18"/>
      <c r="F30" s="25" t="str">
        <f>IFERROR(__xludf.DUMMYFUNCTION("""COMPUTED_VALUE"""),"Aplicación de hábitos en la vida diaria")</f>
        <v>Aplicación de hábitos en la vida diaria</v>
      </c>
      <c r="G30" s="16"/>
      <c r="H30" s="18"/>
    </row>
    <row r="31" ht="15.75" customHeight="1">
      <c r="A31" s="22">
        <v>4.0</v>
      </c>
      <c r="B31" s="25" t="str">
        <f>IFERROR(__xludf.DUMMYFUNCTION("""COMPUTED_VALUE"""),"Unidad 3: Desarrollando el pensamiento sistémico complejo")</f>
        <v>Unidad 3: Desarrollando el pensamiento sistémico complejo</v>
      </c>
      <c r="C31" s="18"/>
      <c r="D31" s="25" t="str">
        <f>IFERROR(__xludf.DUMMYFUNCTION("""COMPUTED_VALUE"""),"Hábitos de un pensador sistémico")</f>
        <v>Hábitos de un pensador sistémico</v>
      </c>
      <c r="E31" s="18"/>
      <c r="F31" s="25" t="str">
        <f>IFERROR(__xludf.DUMMYFUNCTION("""COMPUTED_VALUE"""),"Relación entre hábitos y toma de decisiones")</f>
        <v>Relación entre hábitos y toma de decisiones</v>
      </c>
      <c r="G31" s="16"/>
      <c r="H31" s="18"/>
    </row>
    <row r="32" ht="15.75" customHeight="1">
      <c r="A32" s="22">
        <v>5.0</v>
      </c>
      <c r="B32" s="25" t="str">
        <f>IFERROR(__xludf.DUMMYFUNCTION("""COMPUTED_VALUE"""),"Unidad 3: Desarrollando el pensamiento sistémico complejo")</f>
        <v>Unidad 3: Desarrollando el pensamiento sistémico complejo</v>
      </c>
      <c r="C32" s="18"/>
      <c r="D32" s="25" t="str">
        <f>IFERROR(__xludf.DUMMYFUNCTION("""COMPUTED_VALUE"""),"Hábitos de un pensador sistémico")</f>
        <v>Hábitos de un pensador sistémico</v>
      </c>
      <c r="E32" s="18"/>
      <c r="F32" s="25" t="str">
        <f>IFERROR(__xludf.DUMMYFUNCTION("""COMPUTED_VALUE"""),"Mejora de habilidades de pensamiento sistémico")</f>
        <v>Mejora de habilidades de pensamiento sistémico</v>
      </c>
      <c r="G32" s="16"/>
      <c r="H32" s="18"/>
    </row>
    <row r="33" ht="15.75" customHeight="1">
      <c r="A33" s="22">
        <v>6.0</v>
      </c>
      <c r="B33" s="25" t="str">
        <f>IFERROR(__xludf.DUMMYFUNCTION("""COMPUTED_VALUE"""),"Unidad 3: Desarrollando el pensamiento sistémico complejo")</f>
        <v>Unidad 3: Desarrollando el pensamiento sistémico complejo</v>
      </c>
      <c r="C33" s="18"/>
      <c r="D33" s="25" t="str">
        <f>IFERROR(__xludf.DUMMYFUNCTION("""COMPUTED_VALUE"""),"Hábitos de un pensador sistémico")</f>
        <v>Hábitos de un pensador sistémico</v>
      </c>
      <c r="E33" s="18"/>
      <c r="F33" s="25" t="str">
        <f>IFERROR(__xludf.DUMMYFUNCTION("""COMPUTED_VALUE"""),"Desarrollo de la perspectiva a largo plazo")</f>
        <v>Desarrollo de la perspectiva a largo plazo</v>
      </c>
      <c r="G33" s="16"/>
      <c r="H33" s="18"/>
    </row>
    <row r="34" ht="15.75" customHeight="1">
      <c r="A34" s="22">
        <v>7.0</v>
      </c>
      <c r="B34" s="25" t="str">
        <f>IFERROR(__xludf.DUMMYFUNCTION("""COMPUTED_VALUE"""),"Unidad 3: Desarrollando el pensamiento sistémico complejo")</f>
        <v>Unidad 3: Desarrollando el pensamiento sistémico complejo</v>
      </c>
      <c r="C34" s="18"/>
      <c r="D34" s="25" t="str">
        <f>IFERROR(__xludf.DUMMYFUNCTION("""COMPUTED_VALUE"""),"Hábitos de un pensador sistémico")</f>
        <v>Hábitos de un pensador sistémico</v>
      </c>
      <c r="E34" s="18"/>
      <c r="F34" s="25" t="str">
        <f>IFERROR(__xludf.DUMMYFUNCTION("""COMPUTED_VALUE"""),"Casos de estudio")</f>
        <v>Casos de estudio</v>
      </c>
      <c r="G34" s="16"/>
      <c r="H34" s="18"/>
    </row>
    <row r="35" ht="15.75" customHeight="1"/>
    <row r="36" ht="15.75" customHeight="1">
      <c r="A36" s="110" t="s">
        <v>284</v>
      </c>
    </row>
    <row r="37" ht="15.75" customHeight="1">
      <c r="A37" s="10"/>
      <c r="B37" s="10"/>
      <c r="C37" s="10"/>
      <c r="D37" s="10"/>
      <c r="E37" s="10"/>
      <c r="F37" s="10"/>
      <c r="G37" s="10"/>
      <c r="H37" s="10"/>
    </row>
    <row r="38">
      <c r="A38" s="111" t="s">
        <v>285</v>
      </c>
      <c r="B38" s="111" t="s">
        <v>86</v>
      </c>
      <c r="C38" s="119" t="s">
        <v>286</v>
      </c>
      <c r="D38" s="120" t="s">
        <v>287</v>
      </c>
      <c r="E38" s="16"/>
      <c r="F38" s="16"/>
      <c r="G38" s="16"/>
      <c r="H38" s="18"/>
      <c r="I38" s="121" t="s">
        <v>135</v>
      </c>
    </row>
    <row r="39" ht="15.75" customHeight="1">
      <c r="A39" s="22" t="s">
        <v>288</v>
      </c>
      <c r="B39" s="22" t="s">
        <v>289</v>
      </c>
      <c r="C39" s="22">
        <v>30.0</v>
      </c>
      <c r="D39" s="29">
        <v>15.0</v>
      </c>
      <c r="E39" s="16"/>
      <c r="F39" s="16"/>
      <c r="G39" s="16"/>
      <c r="H39" s="18"/>
      <c r="I39" s="22" t="str">
        <f t="shared" ref="I39:I42" si="1">IF(D39&lt;=C39,"Correcto", "Corregir")</f>
        <v>Correcto</v>
      </c>
    </row>
    <row r="40" ht="15.75" customHeight="1">
      <c r="A40" s="22" t="s">
        <v>290</v>
      </c>
      <c r="B40" s="22" t="s">
        <v>289</v>
      </c>
      <c r="C40" s="22">
        <v>6.0</v>
      </c>
      <c r="D40" s="29">
        <v>5.0</v>
      </c>
      <c r="E40" s="16"/>
      <c r="F40" s="16"/>
      <c r="G40" s="16"/>
      <c r="H40" s="18"/>
      <c r="I40" s="22" t="str">
        <f t="shared" si="1"/>
        <v>Correcto</v>
      </c>
    </row>
    <row r="41" ht="15.75" customHeight="1">
      <c r="A41" s="22" t="s">
        <v>292</v>
      </c>
      <c r="B41" s="22" t="s">
        <v>293</v>
      </c>
      <c r="C41" s="22">
        <v>10.0</v>
      </c>
      <c r="D41" s="29">
        <v>15.0</v>
      </c>
      <c r="E41" s="16"/>
      <c r="F41" s="16"/>
      <c r="G41" s="16"/>
      <c r="H41" s="18"/>
      <c r="I41" s="22" t="str">
        <f t="shared" si="1"/>
        <v>Corregir</v>
      </c>
    </row>
    <row r="42" ht="15.75" customHeight="1">
      <c r="A42" s="22" t="s">
        <v>294</v>
      </c>
      <c r="B42" s="22" t="s">
        <v>289</v>
      </c>
      <c r="C42" s="22">
        <v>30.0</v>
      </c>
      <c r="D42" s="29">
        <v>25.0</v>
      </c>
      <c r="E42" s="16"/>
      <c r="F42" s="16"/>
      <c r="G42" s="16"/>
      <c r="H42" s="18"/>
      <c r="I42" s="22" t="str">
        <f t="shared" si="1"/>
        <v>Correcto</v>
      </c>
    </row>
    <row r="43" ht="15.75" customHeight="1"/>
    <row r="44" ht="15.75" customHeight="1">
      <c r="A44" s="105" t="s">
        <v>296</v>
      </c>
      <c r="G44" s="55" t="s">
        <v>31</v>
      </c>
      <c r="H44" s="106">
        <f>B50</f>
        <v>50</v>
      </c>
    </row>
    <row r="45" ht="15.75" customHeight="1">
      <c r="G45" s="39" t="s">
        <v>297</v>
      </c>
    </row>
    <row r="46" ht="15.75" customHeight="1">
      <c r="A46" s="39" t="s">
        <v>298</v>
      </c>
    </row>
    <row r="47">
      <c r="A47" s="42" t="s">
        <v>299</v>
      </c>
      <c r="B47" s="29" t="s">
        <v>338</v>
      </c>
      <c r="C47" s="16"/>
      <c r="D47" s="16"/>
      <c r="E47" s="16"/>
      <c r="F47" s="16"/>
      <c r="G47" s="16"/>
      <c r="H47" s="18"/>
    </row>
    <row r="48" ht="15.75" customHeight="1">
      <c r="A48" s="42" t="s">
        <v>10</v>
      </c>
      <c r="B48" s="25" t="s">
        <v>301</v>
      </c>
      <c r="C48" s="16"/>
      <c r="D48" s="16"/>
      <c r="E48" s="16"/>
      <c r="F48" s="16"/>
      <c r="G48" s="16"/>
      <c r="H48" s="18"/>
    </row>
    <row r="49" ht="15.75" customHeight="1">
      <c r="A49" s="42" t="s">
        <v>252</v>
      </c>
      <c r="B49" s="127">
        <v>6.0</v>
      </c>
      <c r="C49" s="16"/>
      <c r="D49" s="16"/>
      <c r="E49" s="16"/>
      <c r="F49" s="16"/>
      <c r="G49" s="16"/>
      <c r="H49" s="18"/>
    </row>
    <row r="50" ht="15.75" customHeight="1">
      <c r="A50" s="42" t="s">
        <v>31</v>
      </c>
      <c r="B50" s="29">
        <v>50.0</v>
      </c>
      <c r="C50" s="16"/>
      <c r="D50" s="16"/>
      <c r="E50" s="16"/>
      <c r="F50" s="16"/>
      <c r="G50" s="16"/>
      <c r="H50" s="18"/>
    </row>
    <row r="51" ht="15.75" customHeight="1">
      <c r="A51" s="128" t="s">
        <v>303</v>
      </c>
      <c r="B51" s="10"/>
      <c r="C51" s="10"/>
      <c r="D51" s="10"/>
      <c r="E51" s="10"/>
      <c r="F51" s="10"/>
      <c r="G51" s="10"/>
      <c r="H51" s="10"/>
    </row>
    <row r="52" ht="15.75" customHeight="1">
      <c r="A52" s="108" t="s">
        <v>304</v>
      </c>
      <c r="B52" s="16"/>
      <c r="C52" s="16"/>
      <c r="D52" s="16"/>
      <c r="E52" s="16"/>
      <c r="F52" s="16"/>
      <c r="G52" s="16"/>
      <c r="H52" s="18"/>
    </row>
    <row r="53" ht="15.75" customHeight="1">
      <c r="A53" s="134"/>
      <c r="B53" s="96"/>
      <c r="C53" s="96"/>
      <c r="D53" s="96"/>
      <c r="E53" s="96"/>
      <c r="F53" s="96"/>
      <c r="G53" s="96"/>
      <c r="H53" s="97"/>
    </row>
    <row r="54" ht="15.75" customHeight="1">
      <c r="A54" s="129"/>
      <c r="H54" s="130"/>
    </row>
    <row r="55" ht="15.75" customHeight="1">
      <c r="A55" s="98"/>
      <c r="B55" s="99"/>
      <c r="C55" s="99"/>
      <c r="D55" s="99"/>
      <c r="E55" s="99"/>
      <c r="F55" s="99"/>
      <c r="G55" s="99"/>
      <c r="H55" s="100"/>
    </row>
    <row r="56" ht="15.75" customHeight="1"/>
    <row r="57" ht="15.75" customHeight="1">
      <c r="A57" s="39" t="s">
        <v>307</v>
      </c>
    </row>
    <row r="58">
      <c r="A58" s="42" t="s">
        <v>299</v>
      </c>
      <c r="B58" s="25"/>
      <c r="C58" s="16"/>
      <c r="D58" s="16"/>
      <c r="E58" s="16"/>
      <c r="F58" s="16"/>
      <c r="G58" s="16"/>
      <c r="H58" s="18"/>
    </row>
    <row r="59" ht="15.75" customHeight="1">
      <c r="A59" s="42" t="s">
        <v>10</v>
      </c>
      <c r="B59" s="25"/>
      <c r="C59" s="16"/>
      <c r="D59" s="16"/>
      <c r="E59" s="16"/>
      <c r="F59" s="16"/>
      <c r="G59" s="16"/>
      <c r="H59" s="18"/>
    </row>
    <row r="60" ht="15.75" customHeight="1">
      <c r="A60" s="42" t="s">
        <v>252</v>
      </c>
      <c r="B60" s="133"/>
      <c r="C60" s="16"/>
      <c r="D60" s="16"/>
      <c r="E60" s="16"/>
      <c r="F60" s="16"/>
      <c r="G60" s="16"/>
      <c r="H60" s="18"/>
    </row>
    <row r="61" ht="15.75" customHeight="1">
      <c r="A61" s="42" t="s">
        <v>31</v>
      </c>
      <c r="B61" s="133"/>
      <c r="C61" s="16"/>
      <c r="D61" s="16"/>
      <c r="E61" s="16"/>
      <c r="F61" s="16"/>
      <c r="G61" s="16"/>
      <c r="H61" s="18"/>
    </row>
    <row r="62" ht="15.75" customHeight="1">
      <c r="A62" s="132" t="s">
        <v>310</v>
      </c>
      <c r="B62" s="10"/>
      <c r="C62" s="10"/>
      <c r="D62" s="10"/>
      <c r="E62" s="10"/>
      <c r="F62" s="10"/>
      <c r="G62" s="10"/>
      <c r="H62" s="10"/>
    </row>
    <row r="63" ht="15.75" customHeight="1">
      <c r="A63" s="108" t="s">
        <v>304</v>
      </c>
      <c r="B63" s="16"/>
      <c r="C63" s="16"/>
      <c r="D63" s="16"/>
      <c r="E63" s="16"/>
      <c r="F63" s="16"/>
      <c r="G63" s="16"/>
      <c r="H63" s="18"/>
    </row>
    <row r="64" ht="15.75" customHeight="1">
      <c r="A64" s="134"/>
      <c r="B64" s="96"/>
      <c r="C64" s="96"/>
      <c r="D64" s="96"/>
      <c r="E64" s="96"/>
      <c r="F64" s="96"/>
      <c r="G64" s="96"/>
      <c r="H64" s="97"/>
    </row>
    <row r="65" ht="15.75" customHeight="1">
      <c r="A65" s="129"/>
      <c r="H65" s="130"/>
    </row>
    <row r="66" ht="15.75" customHeight="1">
      <c r="A66" s="98"/>
      <c r="B66" s="99"/>
      <c r="C66" s="99"/>
      <c r="D66" s="99"/>
      <c r="E66" s="99"/>
      <c r="F66" s="99"/>
      <c r="G66" s="99"/>
      <c r="H66" s="100"/>
    </row>
    <row r="67" ht="15.75" customHeight="1"/>
    <row r="68" ht="15.75" customHeight="1">
      <c r="A68" s="105" t="s">
        <v>313</v>
      </c>
      <c r="G68" s="55" t="s">
        <v>31</v>
      </c>
      <c r="H68" s="106">
        <f>B70</f>
        <v>15</v>
      </c>
    </row>
    <row r="69" ht="15.75" customHeight="1">
      <c r="G69" s="39" t="s">
        <v>314</v>
      </c>
    </row>
    <row r="70" ht="15.75" customHeight="1">
      <c r="A70" s="42" t="s">
        <v>31</v>
      </c>
      <c r="B70" s="127">
        <v>15.0</v>
      </c>
      <c r="C70" s="16"/>
      <c r="D70" s="16"/>
      <c r="E70" s="16"/>
      <c r="F70" s="16"/>
      <c r="G70" s="16"/>
      <c r="H70" s="18"/>
    </row>
    <row r="71" ht="15.75" customHeight="1">
      <c r="A71" s="120" t="s">
        <v>315</v>
      </c>
      <c r="B71" s="16"/>
      <c r="C71" s="16"/>
      <c r="D71" s="16"/>
      <c r="E71" s="16"/>
      <c r="F71" s="16"/>
      <c r="G71" s="16"/>
      <c r="H71" s="18"/>
    </row>
    <row r="72" ht="15.75" customHeight="1">
      <c r="A72" s="134"/>
      <c r="B72" s="96"/>
      <c r="C72" s="96"/>
      <c r="D72" s="96"/>
      <c r="E72" s="96"/>
      <c r="F72" s="96"/>
      <c r="G72" s="96"/>
      <c r="H72" s="97"/>
    </row>
    <row r="73" ht="15.75" customHeight="1">
      <c r="A73" s="98"/>
      <c r="B73" s="99"/>
      <c r="C73" s="99"/>
      <c r="D73" s="99"/>
      <c r="E73" s="99"/>
      <c r="F73" s="99"/>
      <c r="G73" s="99"/>
      <c r="H73" s="100"/>
    </row>
    <row r="74" ht="15.75" customHeight="1">
      <c r="A74" s="39"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251</v>
      </c>
    </row>
    <row r="3" ht="15.75" customHeight="1"/>
    <row r="4" ht="15.75" customHeight="1">
      <c r="B4" s="12" t="s">
        <v>2</v>
      </c>
      <c r="C4" s="113" t="str">
        <f>'Diseño'!C4</f>
        <v/>
      </c>
      <c r="D4" s="16"/>
      <c r="E4" s="16"/>
      <c r="F4" s="16"/>
      <c r="G4" s="18"/>
    </row>
    <row r="5" ht="15.75" customHeight="1">
      <c r="B5" s="22" t="s">
        <v>17</v>
      </c>
      <c r="C5" s="25">
        <v>8.0</v>
      </c>
      <c r="D5" s="16"/>
      <c r="E5" s="16"/>
      <c r="F5" s="16"/>
      <c r="G5" s="18"/>
    </row>
    <row r="6" ht="15.75" customHeight="1">
      <c r="B6" s="102" t="s">
        <v>21</v>
      </c>
      <c r="C6" s="25">
        <f>H10+H21+H44+H68</f>
        <v>119</v>
      </c>
      <c r="D6" s="16"/>
      <c r="E6" s="16"/>
      <c r="F6" s="16"/>
      <c r="G6" s="18"/>
      <c r="I6" s="10"/>
    </row>
    <row r="7" ht="15.75" customHeight="1">
      <c r="B7" s="102" t="s">
        <v>252</v>
      </c>
      <c r="C7" s="25">
        <f>B49+B60</f>
        <v>6</v>
      </c>
      <c r="D7" s="16"/>
      <c r="E7" s="16"/>
      <c r="F7" s="16"/>
      <c r="G7" s="18"/>
    </row>
    <row r="8" ht="15.75" customHeight="1">
      <c r="B8" s="102" t="s">
        <v>253</v>
      </c>
      <c r="C8" s="124" t="str">
        <f>IF(H44&lt;=0, "❌ ERROR: La Actividad 1 debe tener un tiempo mayor a 0.", IF(H21&gt;60, "❌ ERROR: El 'Área de Conocimiento' no puede exceder los 60 min.", IF((H10+H21+H44)&lt;100, "❌ ERROR: El tiempo total debe ser de al menos 100 min.", "✅ VALIDACIÓN CORRECTA")))</f>
        <v>✅ VALIDACIÓN CORRECTA</v>
      </c>
      <c r="D8" s="16"/>
      <c r="E8" s="16"/>
      <c r="F8" s="16"/>
      <c r="G8" s="18"/>
      <c r="I8" s="10"/>
      <c r="J8" s="10"/>
      <c r="K8" s="10"/>
    </row>
    <row r="9" ht="15.75" customHeight="1"/>
    <row r="10" ht="15.75" customHeight="1">
      <c r="A10" s="105" t="s">
        <v>255</v>
      </c>
      <c r="G10" s="55" t="s">
        <v>31</v>
      </c>
      <c r="H10" s="106">
        <f>B13</f>
        <v>3</v>
      </c>
    </row>
    <row r="11" ht="15.75" customHeight="1">
      <c r="G11" s="39" t="s">
        <v>256</v>
      </c>
    </row>
    <row r="12" ht="15.75" customHeight="1">
      <c r="A12" s="42" t="s">
        <v>257</v>
      </c>
      <c r="B12" s="29" t="s">
        <v>335</v>
      </c>
      <c r="C12" s="16"/>
      <c r="D12" s="16"/>
      <c r="E12" s="16"/>
      <c r="F12" s="16"/>
      <c r="G12" s="16"/>
      <c r="H12" s="18"/>
    </row>
    <row r="13" ht="15.75" customHeight="1">
      <c r="A13" s="45" t="s">
        <v>31</v>
      </c>
      <c r="B13" s="29">
        <v>3.0</v>
      </c>
      <c r="C13" s="16"/>
      <c r="D13" s="16"/>
      <c r="E13" s="16"/>
      <c r="F13" s="16"/>
      <c r="G13" s="16"/>
      <c r="H13" s="18"/>
    </row>
    <row r="14" ht="15.75" customHeight="1">
      <c r="A14" s="108" t="s">
        <v>259</v>
      </c>
      <c r="B14" s="16"/>
      <c r="C14" s="16"/>
      <c r="D14" s="16"/>
      <c r="E14" s="16"/>
      <c r="F14" s="16"/>
      <c r="G14" s="16"/>
      <c r="H14" s="18"/>
    </row>
    <row r="15" ht="15.75" customHeight="1">
      <c r="A15" s="125" t="s">
        <v>335</v>
      </c>
      <c r="B15" s="96"/>
      <c r="C15" s="96"/>
      <c r="D15" s="96"/>
      <c r="E15" s="96"/>
      <c r="F15" s="96"/>
      <c r="G15" s="96"/>
      <c r="H15" s="97"/>
    </row>
    <row r="16" ht="15.75" customHeight="1">
      <c r="A16" s="98"/>
      <c r="B16" s="99"/>
      <c r="C16" s="99"/>
      <c r="D16" s="99"/>
      <c r="E16" s="99"/>
      <c r="F16" s="99"/>
      <c r="G16" s="99"/>
      <c r="H16" s="100"/>
    </row>
    <row r="17" ht="15.75" customHeight="1">
      <c r="A17" s="108" t="s">
        <v>261</v>
      </c>
      <c r="B17" s="16"/>
      <c r="C17" s="16"/>
      <c r="D17" s="16"/>
      <c r="E17" s="16"/>
      <c r="F17" s="16"/>
      <c r="G17" s="16"/>
      <c r="H17" s="18"/>
    </row>
    <row r="18" ht="15.75" customHeight="1">
      <c r="A18" s="125" t="s">
        <v>336</v>
      </c>
      <c r="B18" s="96"/>
      <c r="C18" s="96"/>
      <c r="D18" s="96"/>
      <c r="E18" s="96"/>
      <c r="F18" s="96"/>
      <c r="G18" s="96"/>
      <c r="H18" s="97"/>
    </row>
    <row r="19" ht="15.75" customHeight="1">
      <c r="A19" s="98"/>
      <c r="B19" s="99"/>
      <c r="C19" s="99"/>
      <c r="D19" s="99"/>
      <c r="E19" s="99"/>
      <c r="F19" s="99"/>
      <c r="G19" s="99"/>
      <c r="H19" s="100"/>
    </row>
    <row r="20" ht="15.75" customHeight="1"/>
    <row r="21" ht="15.75" customHeight="1">
      <c r="A21" s="105" t="s">
        <v>264</v>
      </c>
      <c r="G21" s="55" t="s">
        <v>31</v>
      </c>
      <c r="H21" s="106">
        <f>SUM(D39:H42)</f>
        <v>56</v>
      </c>
      <c r="I21" s="10"/>
    </row>
    <row r="22" ht="15.75" customHeight="1">
      <c r="G22" s="39" t="s">
        <v>265</v>
      </c>
    </row>
    <row r="23" ht="15.75" customHeight="1">
      <c r="A23" s="42" t="s">
        <v>266</v>
      </c>
      <c r="B23" s="29" t="s">
        <v>337</v>
      </c>
      <c r="C23" s="16"/>
      <c r="D23" s="16"/>
      <c r="E23" s="16"/>
      <c r="F23" s="16"/>
      <c r="G23" s="16"/>
      <c r="H23" s="18"/>
    </row>
    <row r="24" ht="15.75" customHeight="1">
      <c r="A24" s="42" t="s">
        <v>266</v>
      </c>
      <c r="B24" s="29" t="s">
        <v>337</v>
      </c>
      <c r="C24" s="16"/>
      <c r="D24" s="16"/>
      <c r="E24" s="16"/>
      <c r="F24" s="16"/>
      <c r="G24" s="16"/>
      <c r="H24" s="18"/>
    </row>
    <row r="25" ht="15.75" customHeight="1"/>
    <row r="26" ht="15.75" customHeight="1">
      <c r="A26" s="110" t="s">
        <v>268</v>
      </c>
      <c r="B26" s="10"/>
      <c r="C26" s="10"/>
      <c r="D26" s="10"/>
    </row>
    <row r="27" ht="15.75" customHeight="1">
      <c r="A27" s="111" t="s">
        <v>20</v>
      </c>
      <c r="B27" s="112" t="s">
        <v>270</v>
      </c>
      <c r="C27" s="18"/>
      <c r="D27" s="112" t="s">
        <v>271</v>
      </c>
      <c r="E27" s="18"/>
      <c r="F27" s="112" t="s">
        <v>272</v>
      </c>
      <c r="G27" s="16"/>
      <c r="H27" s="18"/>
    </row>
    <row r="28" ht="15.75" customHeight="1">
      <c r="A28" s="22">
        <v>1.0</v>
      </c>
      <c r="B28" s="25" t="str">
        <f>IFERROR(__xludf.DUMMYFUNCTION("FILTER('Diseño'!D:D,'Diseño'!H:H=$C$5)"),"Unidad 4: Modelación y simulación dinámica de sistemas")</f>
        <v>Unidad 4: Modelación y simulación dinámica de sistemas</v>
      </c>
      <c r="C28" s="18"/>
      <c r="D28" s="25" t="str">
        <f>IFERROR(__xludf.DUMMYFUNCTION("FILTER('Diseño'!E:E,'Diseño'!H:H=$C$5)"),"Modelación de sistemas con mapas sistémicos")</f>
        <v>Modelación de sistemas con mapas sistémicos</v>
      </c>
      <c r="E28" s="18"/>
      <c r="F28" s="25" t="str">
        <f>IFERROR(__xludf.DUMMYFUNCTION("FILTER('Diseño'!F:F,'Diseño'!H:H=$C$5)"),"Introducción a los mapas sistémicos")</f>
        <v>Introducción a los mapas sistémicos</v>
      </c>
      <c r="G28" s="16"/>
      <c r="H28" s="18"/>
    </row>
    <row r="29" ht="15.75" customHeight="1">
      <c r="A29" s="22">
        <v>2.0</v>
      </c>
      <c r="B29" s="25" t="str">
        <f>IFERROR(__xludf.DUMMYFUNCTION("""COMPUTED_VALUE"""),"Unidad 4: Modelación y simulación dinámica de sistemas")</f>
        <v>Unidad 4: Modelación y simulación dinámica de sistemas</v>
      </c>
      <c r="C29" s="18"/>
      <c r="D29" s="25" t="str">
        <f>IFERROR(__xludf.DUMMYFUNCTION("""COMPUTED_VALUE"""),"Modelación de sistemas con mapas sistémicos")</f>
        <v>Modelación de sistemas con mapas sistémicos</v>
      </c>
      <c r="E29" s="18"/>
      <c r="F29" s="25" t="str">
        <f>IFERROR(__xludf.DUMMYFUNCTION("""COMPUTED_VALUE"""),"Mapas DSRP")</f>
        <v>Mapas DSRP</v>
      </c>
      <c r="G29" s="16"/>
      <c r="H29" s="18"/>
    </row>
    <row r="30" ht="15.75" customHeight="1">
      <c r="A30" s="22">
        <v>3.0</v>
      </c>
      <c r="B30" s="25" t="str">
        <f>IFERROR(__xludf.DUMMYFUNCTION("""COMPUTED_VALUE"""),"Unidad 4: Modelación y simulación dinámica de sistemas")</f>
        <v>Unidad 4: Modelación y simulación dinámica de sistemas</v>
      </c>
      <c r="C30" s="18"/>
      <c r="D30" s="25" t="str">
        <f>IFERROR(__xludf.DUMMYFUNCTION("""COMPUTED_VALUE"""),"Modelación de sistemas con mapas sistémicos")</f>
        <v>Modelación de sistemas con mapas sistémicos</v>
      </c>
      <c r="E30" s="18"/>
      <c r="F30" s="25" t="str">
        <f>IFERROR(__xludf.DUMMYFUNCTION("""COMPUTED_VALUE"""),"Diagramas de causa y efecto")</f>
        <v>Diagramas de causa y efecto</v>
      </c>
      <c r="G30" s="16"/>
      <c r="H30" s="18"/>
    </row>
    <row r="31" ht="15.75" customHeight="1">
      <c r="A31" s="22">
        <v>4.0</v>
      </c>
      <c r="B31" s="25" t="str">
        <f>IFERROR(__xludf.DUMMYFUNCTION("""COMPUTED_VALUE"""),"Unidad 4: Modelación y simulación dinámica de sistemas")</f>
        <v>Unidad 4: Modelación y simulación dinámica de sistemas</v>
      </c>
      <c r="C31" s="18"/>
      <c r="D31" s="25" t="str">
        <f>IFERROR(__xludf.DUMMYFUNCTION("""COMPUTED_VALUE"""),"Modelación de sistemas con mapas sistémicos")</f>
        <v>Modelación de sistemas con mapas sistémicos</v>
      </c>
      <c r="E31" s="18"/>
      <c r="F31" s="25" t="str">
        <f>IFERROR(__xludf.DUMMYFUNCTION("""COMPUTED_VALUE"""),"Interdependencias sistémicas")</f>
        <v>Interdependencias sistémicas</v>
      </c>
      <c r="G31" s="16"/>
      <c r="H31" s="18"/>
    </row>
    <row r="32" ht="15.75" customHeight="1">
      <c r="A32" s="22">
        <v>5.0</v>
      </c>
      <c r="B32" s="25" t="str">
        <f>IFERROR(__xludf.DUMMYFUNCTION("""COMPUTED_VALUE"""),"Unidad 4: Modelación y simulación dinámica de sistemas")</f>
        <v>Unidad 4: Modelación y simulación dinámica de sistemas</v>
      </c>
      <c r="C32" s="18"/>
      <c r="D32" s="25" t="str">
        <f>IFERROR(__xludf.DUMMYFUNCTION("""COMPUTED_VALUE"""),"Modelación de sistemas con mapas sistémicos")</f>
        <v>Modelación de sistemas con mapas sistémicos</v>
      </c>
      <c r="E32" s="18"/>
      <c r="F32" s="25" t="str">
        <f>IFERROR(__xludf.DUMMYFUNCTION("""COMPUTED_VALUE"""),"Comportamientos circulares en sistemas")</f>
        <v>Comportamientos circulares en sistemas</v>
      </c>
      <c r="G32" s="16"/>
      <c r="H32" s="18"/>
    </row>
    <row r="33" ht="15.75" customHeight="1">
      <c r="A33" s="22">
        <v>6.0</v>
      </c>
      <c r="B33" s="25" t="str">
        <f>IFERROR(__xludf.DUMMYFUNCTION("""COMPUTED_VALUE"""),"Unidad 4: Modelación y simulación dinámica de sistemas")</f>
        <v>Unidad 4: Modelación y simulación dinámica de sistemas</v>
      </c>
      <c r="C33" s="18"/>
      <c r="D33" s="25" t="str">
        <f>IFERROR(__xludf.DUMMYFUNCTION("""COMPUTED_VALUE"""),"Modelación de sistemas con mapas sistémicos")</f>
        <v>Modelación de sistemas con mapas sistémicos</v>
      </c>
      <c r="E33" s="18"/>
      <c r="F33" s="25" t="str">
        <f>IFERROR(__xludf.DUMMYFUNCTION("""COMPUTED_VALUE"""),"Ejemplos de interdependencias sistémicas")</f>
        <v>Ejemplos de interdependencias sistémicas</v>
      </c>
      <c r="G33" s="16"/>
      <c r="H33" s="18"/>
    </row>
    <row r="34" ht="15.75" customHeight="1">
      <c r="A34" s="22">
        <v>7.0</v>
      </c>
      <c r="B34" s="25" t="str">
        <f>IFERROR(__xludf.DUMMYFUNCTION("""COMPUTED_VALUE"""),"Unidad 4: Modelación y simulación dinámica de sistemas")</f>
        <v>Unidad 4: Modelación y simulación dinámica de sistemas</v>
      </c>
      <c r="C34" s="18"/>
      <c r="D34" s="25" t="str">
        <f>IFERROR(__xludf.DUMMYFUNCTION("""COMPUTED_VALUE"""),"Modelación de sistemas con mapas sistémicos")</f>
        <v>Modelación de sistemas con mapas sistémicos</v>
      </c>
      <c r="E34" s="18"/>
      <c r="F34" s="25" t="str">
        <f>IFERROR(__xludf.DUMMYFUNCTION("""COMPUTED_VALUE"""),"Introducción a la retroalimentación")</f>
        <v>Introducción a la retroalimentación</v>
      </c>
      <c r="G34" s="16"/>
      <c r="H34" s="18"/>
    </row>
    <row r="35" ht="15.75" customHeight="1">
      <c r="B35" s="135" t="str">
        <f>IFERROR(__xludf.DUMMYFUNCTION("""COMPUTED_VALUE"""),"Unidad 4: Modelación y simulación dinámica de sistemas")</f>
        <v>Unidad 4: Modelación y simulación dinámica de sistemas</v>
      </c>
      <c r="D35" s="135" t="str">
        <f>IFERROR(__xludf.DUMMYFUNCTION("""COMPUTED_VALUE"""),"Estructuras circulares de retroalimentación")</f>
        <v>Estructuras circulares de retroalimentación</v>
      </c>
      <c r="F35" s="135" t="str">
        <f>IFERROR(__xludf.DUMMYFUNCTION("""COMPUTED_VALUE"""),"Retroalimentación de compensación y refuerzo")</f>
        <v>Retroalimentación de compensación y refuerzo</v>
      </c>
    </row>
    <row r="36" ht="15.75" customHeight="1">
      <c r="A36" s="110" t="s">
        <v>284</v>
      </c>
    </row>
    <row r="37" ht="15.75" customHeight="1">
      <c r="A37" s="10"/>
      <c r="B37" s="10"/>
      <c r="C37" s="10"/>
      <c r="D37" s="10"/>
      <c r="E37" s="10"/>
      <c r="F37" s="10"/>
      <c r="G37" s="10"/>
      <c r="H37" s="10"/>
    </row>
    <row r="38">
      <c r="A38" s="111" t="s">
        <v>285</v>
      </c>
      <c r="B38" s="111" t="s">
        <v>86</v>
      </c>
      <c r="C38" s="119" t="s">
        <v>286</v>
      </c>
      <c r="D38" s="120" t="s">
        <v>287</v>
      </c>
      <c r="E38" s="16"/>
      <c r="F38" s="16"/>
      <c r="G38" s="16"/>
      <c r="H38" s="18"/>
      <c r="I38" s="121" t="s">
        <v>135</v>
      </c>
    </row>
    <row r="39" ht="15.75" customHeight="1">
      <c r="A39" s="22" t="s">
        <v>288</v>
      </c>
      <c r="B39" s="22" t="s">
        <v>289</v>
      </c>
      <c r="C39" s="22">
        <v>30.0</v>
      </c>
      <c r="D39" s="29">
        <v>15.0</v>
      </c>
      <c r="E39" s="16"/>
      <c r="F39" s="16"/>
      <c r="G39" s="16"/>
      <c r="H39" s="18"/>
      <c r="I39" s="22" t="str">
        <f t="shared" ref="I39:I42" si="1">IF(D39&lt;=C39,"Correcto", "Corregir")</f>
        <v>Correcto</v>
      </c>
    </row>
    <row r="40" ht="15.75" customHeight="1">
      <c r="A40" s="22" t="s">
        <v>290</v>
      </c>
      <c r="B40" s="22" t="s">
        <v>289</v>
      </c>
      <c r="C40" s="22">
        <v>6.0</v>
      </c>
      <c r="D40" s="29">
        <v>6.0</v>
      </c>
      <c r="E40" s="16"/>
      <c r="F40" s="16"/>
      <c r="G40" s="16"/>
      <c r="H40" s="18"/>
      <c r="I40" s="22" t="str">
        <f t="shared" si="1"/>
        <v>Correcto</v>
      </c>
    </row>
    <row r="41" ht="15.75" customHeight="1">
      <c r="A41" s="22" t="s">
        <v>292</v>
      </c>
      <c r="B41" s="22" t="s">
        <v>293</v>
      </c>
      <c r="C41" s="22">
        <v>10.0</v>
      </c>
      <c r="D41" s="29">
        <v>15.0</v>
      </c>
      <c r="E41" s="16"/>
      <c r="F41" s="16"/>
      <c r="G41" s="16"/>
      <c r="H41" s="18"/>
      <c r="I41" s="22" t="str">
        <f t="shared" si="1"/>
        <v>Corregir</v>
      </c>
    </row>
    <row r="42" ht="15.75" customHeight="1">
      <c r="A42" s="22" t="s">
        <v>294</v>
      </c>
      <c r="B42" s="22" t="s">
        <v>289</v>
      </c>
      <c r="C42" s="22">
        <v>30.0</v>
      </c>
      <c r="D42" s="29">
        <v>20.0</v>
      </c>
      <c r="E42" s="16"/>
      <c r="F42" s="16"/>
      <c r="G42" s="16"/>
      <c r="H42" s="18"/>
      <c r="I42" s="22" t="str">
        <f t="shared" si="1"/>
        <v>Correcto</v>
      </c>
    </row>
    <row r="43" ht="15.75" customHeight="1"/>
    <row r="44" ht="15.75" customHeight="1">
      <c r="A44" s="105" t="s">
        <v>296</v>
      </c>
      <c r="G44" s="55" t="s">
        <v>31</v>
      </c>
      <c r="H44" s="106">
        <f>B50</f>
        <v>50</v>
      </c>
    </row>
    <row r="45" ht="15.75" customHeight="1">
      <c r="G45" s="39" t="s">
        <v>297</v>
      </c>
    </row>
    <row r="46" ht="15.75" customHeight="1">
      <c r="A46" s="39" t="s">
        <v>298</v>
      </c>
    </row>
    <row r="47">
      <c r="A47" s="42" t="s">
        <v>299</v>
      </c>
      <c r="B47" s="29" t="s">
        <v>337</v>
      </c>
      <c r="C47" s="16"/>
      <c r="D47" s="16"/>
      <c r="E47" s="16"/>
      <c r="F47" s="16"/>
      <c r="G47" s="16"/>
      <c r="H47" s="18"/>
    </row>
    <row r="48" ht="15.75" customHeight="1">
      <c r="A48" s="42" t="s">
        <v>10</v>
      </c>
      <c r="B48" s="25" t="s">
        <v>301</v>
      </c>
      <c r="C48" s="16"/>
      <c r="D48" s="16"/>
      <c r="E48" s="16"/>
      <c r="F48" s="16"/>
      <c r="G48" s="16"/>
      <c r="H48" s="18"/>
    </row>
    <row r="49" ht="15.75" customHeight="1">
      <c r="A49" s="42" t="s">
        <v>252</v>
      </c>
      <c r="B49" s="127">
        <v>6.0</v>
      </c>
      <c r="C49" s="16"/>
      <c r="D49" s="16"/>
      <c r="E49" s="16"/>
      <c r="F49" s="16"/>
      <c r="G49" s="16"/>
      <c r="H49" s="18"/>
    </row>
    <row r="50" ht="15.75" customHeight="1">
      <c r="A50" s="42" t="s">
        <v>31</v>
      </c>
      <c r="B50" s="29">
        <v>50.0</v>
      </c>
      <c r="C50" s="16"/>
      <c r="D50" s="16"/>
      <c r="E50" s="16"/>
      <c r="F50" s="16"/>
      <c r="G50" s="16"/>
      <c r="H50" s="18"/>
    </row>
    <row r="51" ht="15.75" customHeight="1">
      <c r="A51" s="128" t="s">
        <v>303</v>
      </c>
      <c r="B51" s="10"/>
      <c r="C51" s="10"/>
      <c r="D51" s="10"/>
      <c r="E51" s="10"/>
      <c r="F51" s="10"/>
      <c r="G51" s="10"/>
      <c r="H51" s="10"/>
    </row>
    <row r="52" ht="15.75" customHeight="1">
      <c r="A52" s="108" t="s">
        <v>304</v>
      </c>
      <c r="B52" s="16"/>
      <c r="C52" s="16"/>
      <c r="D52" s="16"/>
      <c r="E52" s="16"/>
      <c r="F52" s="16"/>
      <c r="G52" s="16"/>
      <c r="H52" s="18"/>
    </row>
    <row r="53" ht="15.75" customHeight="1">
      <c r="A53" s="134"/>
      <c r="B53" s="96"/>
      <c r="C53" s="96"/>
      <c r="D53" s="96"/>
      <c r="E53" s="96"/>
      <c r="F53" s="96"/>
      <c r="G53" s="96"/>
      <c r="H53" s="97"/>
    </row>
    <row r="54" ht="15.75" customHeight="1">
      <c r="A54" s="129"/>
      <c r="H54" s="130"/>
    </row>
    <row r="55" ht="15.75" customHeight="1">
      <c r="A55" s="98"/>
      <c r="B55" s="99"/>
      <c r="C55" s="99"/>
      <c r="D55" s="99"/>
      <c r="E55" s="99"/>
      <c r="F55" s="99"/>
      <c r="G55" s="99"/>
      <c r="H55" s="100"/>
    </row>
    <row r="56" ht="15.75" customHeight="1"/>
    <row r="57" ht="15.75" customHeight="1">
      <c r="A57" s="39" t="s">
        <v>307</v>
      </c>
    </row>
    <row r="58">
      <c r="A58" s="42" t="s">
        <v>299</v>
      </c>
      <c r="B58" s="25"/>
      <c r="C58" s="16"/>
      <c r="D58" s="16"/>
      <c r="E58" s="16"/>
      <c r="F58" s="16"/>
      <c r="G58" s="16"/>
      <c r="H58" s="18"/>
    </row>
    <row r="59" ht="15.75" customHeight="1">
      <c r="A59" s="42" t="s">
        <v>10</v>
      </c>
      <c r="B59" s="25"/>
      <c r="C59" s="16"/>
      <c r="D59" s="16"/>
      <c r="E59" s="16"/>
      <c r="F59" s="16"/>
      <c r="G59" s="16"/>
      <c r="H59" s="18"/>
    </row>
    <row r="60" ht="15.75" customHeight="1">
      <c r="A60" s="42" t="s">
        <v>252</v>
      </c>
      <c r="B60" s="133"/>
      <c r="C60" s="16"/>
      <c r="D60" s="16"/>
      <c r="E60" s="16"/>
      <c r="F60" s="16"/>
      <c r="G60" s="16"/>
      <c r="H60" s="18"/>
    </row>
    <row r="61" ht="15.75" customHeight="1">
      <c r="A61" s="42" t="s">
        <v>31</v>
      </c>
      <c r="B61" s="133"/>
      <c r="C61" s="16"/>
      <c r="D61" s="16"/>
      <c r="E61" s="16"/>
      <c r="F61" s="16"/>
      <c r="G61" s="16"/>
      <c r="H61" s="18"/>
    </row>
    <row r="62" ht="15.75" customHeight="1">
      <c r="A62" s="132" t="s">
        <v>310</v>
      </c>
      <c r="B62" s="10"/>
      <c r="C62" s="10"/>
      <c r="D62" s="10"/>
      <c r="E62" s="10"/>
      <c r="F62" s="10"/>
      <c r="G62" s="10"/>
      <c r="H62" s="10"/>
    </row>
    <row r="63" ht="15.75" customHeight="1">
      <c r="A63" s="108" t="s">
        <v>304</v>
      </c>
      <c r="B63" s="16"/>
      <c r="C63" s="16"/>
      <c r="D63" s="16"/>
      <c r="E63" s="16"/>
      <c r="F63" s="16"/>
      <c r="G63" s="16"/>
      <c r="H63" s="18"/>
    </row>
    <row r="64" ht="15.75" customHeight="1">
      <c r="A64" s="134"/>
      <c r="B64" s="96"/>
      <c r="C64" s="96"/>
      <c r="D64" s="96"/>
      <c r="E64" s="96"/>
      <c r="F64" s="96"/>
      <c r="G64" s="96"/>
      <c r="H64" s="97"/>
    </row>
    <row r="65" ht="15.75" customHeight="1">
      <c r="A65" s="129"/>
      <c r="H65" s="130"/>
    </row>
    <row r="66" ht="15.75" customHeight="1">
      <c r="A66" s="98"/>
      <c r="B66" s="99"/>
      <c r="C66" s="99"/>
      <c r="D66" s="99"/>
      <c r="E66" s="99"/>
      <c r="F66" s="99"/>
      <c r="G66" s="99"/>
      <c r="H66" s="100"/>
    </row>
    <row r="67" ht="15.75" customHeight="1"/>
    <row r="68" ht="15.75" customHeight="1">
      <c r="A68" s="105" t="s">
        <v>313</v>
      </c>
      <c r="G68" s="55" t="s">
        <v>31</v>
      </c>
      <c r="H68" s="109">
        <v>10.0</v>
      </c>
    </row>
    <row r="69" ht="15.75" customHeight="1">
      <c r="G69" s="39" t="s">
        <v>314</v>
      </c>
    </row>
    <row r="70" ht="15.75" customHeight="1">
      <c r="A70" s="42" t="s">
        <v>31</v>
      </c>
      <c r="B70" s="133"/>
      <c r="C70" s="16"/>
      <c r="D70" s="16"/>
      <c r="E70" s="16"/>
      <c r="F70" s="16"/>
      <c r="G70" s="16"/>
      <c r="H70" s="18"/>
    </row>
    <row r="71" ht="15.75" customHeight="1">
      <c r="A71" s="120" t="s">
        <v>315</v>
      </c>
      <c r="B71" s="16"/>
      <c r="C71" s="16"/>
      <c r="D71" s="16"/>
      <c r="E71" s="16"/>
      <c r="F71" s="16"/>
      <c r="G71" s="16"/>
      <c r="H71" s="18"/>
    </row>
    <row r="72" ht="15.75" customHeight="1">
      <c r="A72" s="134"/>
      <c r="B72" s="96"/>
      <c r="C72" s="96"/>
      <c r="D72" s="96"/>
      <c r="E72" s="96"/>
      <c r="F72" s="96"/>
      <c r="G72" s="96"/>
      <c r="H72" s="97"/>
    </row>
    <row r="73" ht="15.75" customHeight="1">
      <c r="A73" s="98"/>
      <c r="B73" s="99"/>
      <c r="C73" s="99"/>
      <c r="D73" s="99"/>
      <c r="E73" s="99"/>
      <c r="F73" s="99"/>
      <c r="G73" s="99"/>
      <c r="H73" s="100"/>
    </row>
    <row r="74" ht="15.75" customHeight="1">
      <c r="A74" s="39"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251</v>
      </c>
    </row>
    <row r="3" ht="15.75" customHeight="1"/>
    <row r="4" ht="15.75" customHeight="1">
      <c r="B4" s="12" t="s">
        <v>2</v>
      </c>
      <c r="C4" s="113" t="str">
        <f>'Diseño'!C4</f>
        <v/>
      </c>
      <c r="D4" s="16"/>
      <c r="E4" s="16"/>
      <c r="F4" s="16"/>
      <c r="G4" s="18"/>
    </row>
    <row r="5" ht="15.75" customHeight="1">
      <c r="B5" s="22" t="s">
        <v>17</v>
      </c>
      <c r="C5" s="25">
        <v>9.0</v>
      </c>
      <c r="D5" s="16"/>
      <c r="E5" s="16"/>
      <c r="F5" s="16"/>
      <c r="G5" s="18"/>
    </row>
    <row r="6" ht="15.75" customHeight="1">
      <c r="B6" s="102" t="s">
        <v>21</v>
      </c>
      <c r="C6" s="25">
        <f>H10+H21+H44+H68</f>
        <v>125</v>
      </c>
      <c r="D6" s="16"/>
      <c r="E6" s="16"/>
      <c r="F6" s="16"/>
      <c r="G6" s="18"/>
      <c r="I6" s="10"/>
    </row>
    <row r="7" ht="15.75" customHeight="1">
      <c r="B7" s="102" t="s">
        <v>252</v>
      </c>
      <c r="C7" s="25">
        <f>B49+B60</f>
        <v>10</v>
      </c>
      <c r="D7" s="16"/>
      <c r="E7" s="16"/>
      <c r="F7" s="16"/>
      <c r="G7" s="18"/>
    </row>
    <row r="8" ht="15.75" customHeight="1">
      <c r="B8" s="102" t="s">
        <v>253</v>
      </c>
      <c r="C8" s="124" t="str">
        <f>IF(H44&lt;=0, "❌ ERROR: La Actividad 1 debe tener un tiempo mayor a 0.", IF(H21&gt;60, "❌ ERROR: El 'Área de Conocimiento' no puede exceder los 60 min.", IF((H10+H21+H44)&lt;100, "❌ ERROR: El tiempo total debe ser de al menos 100 min.", "✅ VALIDACIÓN CORRECTA")))</f>
        <v>✅ VALIDACIÓN CORRECTA</v>
      </c>
      <c r="D8" s="16"/>
      <c r="E8" s="16"/>
      <c r="F8" s="16"/>
      <c r="G8" s="18"/>
      <c r="I8" s="10"/>
      <c r="J8" s="10"/>
      <c r="K8" s="10"/>
    </row>
    <row r="9" ht="15.75" customHeight="1"/>
    <row r="10" ht="15.75" customHeight="1">
      <c r="A10" s="105" t="s">
        <v>255</v>
      </c>
      <c r="G10" s="55" t="s">
        <v>31</v>
      </c>
      <c r="H10" s="106" t="str">
        <f>B13</f>
        <v/>
      </c>
    </row>
    <row r="11" ht="15.75" customHeight="1">
      <c r="G11" s="39" t="s">
        <v>256</v>
      </c>
    </row>
    <row r="12" ht="15.75" customHeight="1">
      <c r="A12" s="42" t="s">
        <v>257</v>
      </c>
      <c r="B12" s="29" t="s">
        <v>339</v>
      </c>
      <c r="C12" s="16"/>
      <c r="D12" s="16"/>
      <c r="E12" s="16"/>
      <c r="F12" s="16"/>
      <c r="G12" s="16"/>
      <c r="H12" s="18"/>
    </row>
    <row r="13" ht="15.75" customHeight="1">
      <c r="A13" s="45" t="s">
        <v>31</v>
      </c>
      <c r="B13" s="25"/>
      <c r="C13" s="16"/>
      <c r="D13" s="16"/>
      <c r="E13" s="16"/>
      <c r="F13" s="16"/>
      <c r="G13" s="16"/>
      <c r="H13" s="18"/>
    </row>
    <row r="14" ht="15.75" customHeight="1">
      <c r="A14" s="108" t="s">
        <v>259</v>
      </c>
      <c r="B14" s="16"/>
      <c r="C14" s="16"/>
      <c r="D14" s="16"/>
      <c r="E14" s="16"/>
      <c r="F14" s="16"/>
      <c r="G14" s="16"/>
      <c r="H14" s="18"/>
    </row>
    <row r="15" ht="15.75" customHeight="1">
      <c r="A15" s="125" t="s">
        <v>339</v>
      </c>
      <c r="B15" s="96"/>
      <c r="C15" s="96"/>
      <c r="D15" s="96"/>
      <c r="E15" s="96"/>
      <c r="F15" s="96"/>
      <c r="G15" s="96"/>
      <c r="H15" s="97"/>
    </row>
    <row r="16" ht="15.75" customHeight="1">
      <c r="A16" s="98"/>
      <c r="B16" s="99"/>
      <c r="C16" s="99"/>
      <c r="D16" s="99"/>
      <c r="E16" s="99"/>
      <c r="F16" s="99"/>
      <c r="G16" s="99"/>
      <c r="H16" s="100"/>
    </row>
    <row r="17" ht="15.75" customHeight="1">
      <c r="A17" s="108" t="s">
        <v>261</v>
      </c>
      <c r="B17" s="16"/>
      <c r="C17" s="16"/>
      <c r="D17" s="16"/>
      <c r="E17" s="16"/>
      <c r="F17" s="16"/>
      <c r="G17" s="16"/>
      <c r="H17" s="18"/>
    </row>
    <row r="18" ht="15.75" customHeight="1">
      <c r="A18" s="125" t="s">
        <v>340</v>
      </c>
      <c r="B18" s="96"/>
      <c r="C18" s="96"/>
      <c r="D18" s="96"/>
      <c r="E18" s="96"/>
      <c r="F18" s="96"/>
      <c r="G18" s="96"/>
      <c r="H18" s="97"/>
    </row>
    <row r="19" ht="15.75" customHeight="1">
      <c r="A19" s="98"/>
      <c r="B19" s="99"/>
      <c r="C19" s="99"/>
      <c r="D19" s="99"/>
      <c r="E19" s="99"/>
      <c r="F19" s="99"/>
      <c r="G19" s="99"/>
      <c r="H19" s="100"/>
    </row>
    <row r="20" ht="15.75" customHeight="1"/>
    <row r="21" ht="15.75" customHeight="1">
      <c r="A21" s="105" t="s">
        <v>264</v>
      </c>
      <c r="G21" s="55" t="s">
        <v>31</v>
      </c>
      <c r="H21" s="106">
        <f>SUM(D39:H42)</f>
        <v>60</v>
      </c>
      <c r="I21" s="10"/>
    </row>
    <row r="22" ht="15.75" customHeight="1">
      <c r="G22" s="39" t="s">
        <v>265</v>
      </c>
    </row>
    <row r="23" ht="15.75" customHeight="1">
      <c r="A23" s="42" t="s">
        <v>266</v>
      </c>
      <c r="B23" s="29" t="s">
        <v>341</v>
      </c>
      <c r="C23" s="16"/>
      <c r="D23" s="16"/>
      <c r="E23" s="16"/>
      <c r="F23" s="16"/>
      <c r="G23" s="16"/>
      <c r="H23" s="18"/>
    </row>
    <row r="24" ht="15.75" customHeight="1">
      <c r="A24" s="42" t="s">
        <v>266</v>
      </c>
      <c r="B24" s="29" t="s">
        <v>341</v>
      </c>
      <c r="C24" s="16"/>
      <c r="D24" s="16"/>
      <c r="E24" s="16"/>
      <c r="F24" s="16"/>
      <c r="G24" s="16"/>
      <c r="H24" s="18"/>
    </row>
    <row r="25" ht="15.75" customHeight="1"/>
    <row r="26" ht="15.75" customHeight="1">
      <c r="A26" s="110" t="s">
        <v>268</v>
      </c>
      <c r="B26" s="10"/>
      <c r="C26" s="10"/>
      <c r="D26" s="10"/>
    </row>
    <row r="27" ht="15.75" customHeight="1">
      <c r="A27" s="111" t="s">
        <v>20</v>
      </c>
      <c r="B27" s="112" t="s">
        <v>270</v>
      </c>
      <c r="C27" s="18"/>
      <c r="D27" s="112" t="s">
        <v>271</v>
      </c>
      <c r="E27" s="18"/>
      <c r="F27" s="112" t="s">
        <v>272</v>
      </c>
      <c r="G27" s="16"/>
      <c r="H27" s="18"/>
    </row>
    <row r="28" ht="15.75" customHeight="1">
      <c r="A28" s="22">
        <v>1.0</v>
      </c>
      <c r="B28" s="25" t="str">
        <f>IFERROR(__xludf.DUMMYFUNCTION("FILTER('Diseño'!D:D,'Diseño'!H:H=$C$5)"),"Unidad 4: Modelación y simulación dinámica de sistemas")</f>
        <v>Unidad 4: Modelación y simulación dinámica de sistemas</v>
      </c>
      <c r="C28" s="18"/>
      <c r="D28" s="25" t="str">
        <f>IFERROR(__xludf.DUMMYFUNCTION("FILTER('Diseño'!E:E,'Diseño'!H:H=$C$5)"),"Estructuras circulares de retroalimentación")</f>
        <v>Estructuras circulares de retroalimentación</v>
      </c>
      <c r="E28" s="18"/>
      <c r="F28" s="25" t="str">
        <f>IFERROR(__xludf.DUMMYFUNCTION("FILTER('Diseño'!F:F,'Diseño'!H:H=$C$5)"),"Ejemplos de retroalimentación en sistemas")</f>
        <v>Ejemplos de retroalimentación en sistemas</v>
      </c>
      <c r="G28" s="16"/>
      <c r="H28" s="18"/>
    </row>
    <row r="29" ht="15.75" customHeight="1">
      <c r="A29" s="22">
        <v>2.0</v>
      </c>
      <c r="B29" s="25" t="str">
        <f>IFERROR(__xludf.DUMMYFUNCTION("""COMPUTED_VALUE"""),"Unidad 4: Modelación y simulación dinámica de sistemas")</f>
        <v>Unidad 4: Modelación y simulación dinámica de sistemas</v>
      </c>
      <c r="C29" s="18"/>
      <c r="D29" s="25" t="str">
        <f>IFERROR(__xludf.DUMMYFUNCTION("""COMPUTED_VALUE"""),"Estructuras circulares de retroalimentación")</f>
        <v>Estructuras circulares de retroalimentación</v>
      </c>
      <c r="E29" s="18"/>
      <c r="F29" s="25" t="str">
        <f>IFERROR(__xludf.DUMMYFUNCTION("""COMPUTED_VALUE"""),"Impacto de la retroalimentación en el comportamiento de sistemas")</f>
        <v>Impacto de la retroalimentación en el comportamiento de sistemas</v>
      </c>
      <c r="G29" s="16"/>
      <c r="H29" s="18"/>
    </row>
    <row r="30" ht="15.75" customHeight="1">
      <c r="A30" s="22">
        <v>3.0</v>
      </c>
      <c r="B30" s="25" t="str">
        <f>IFERROR(__xludf.DUMMYFUNCTION("""COMPUTED_VALUE"""),"Unidad 4: Modelación y simulación dinámica de sistemas")</f>
        <v>Unidad 4: Modelación y simulación dinámica de sistemas</v>
      </c>
      <c r="C30" s="18"/>
      <c r="D30" s="25" t="str">
        <f>IFERROR(__xludf.DUMMYFUNCTION("""COMPUTED_VALUE"""),"Estructuras circulares de retroalimentación")</f>
        <v>Estructuras circulares de retroalimentación</v>
      </c>
      <c r="E30" s="18"/>
      <c r="F30" s="25" t="str">
        <f>IFERROR(__xludf.DUMMYFUNCTION("""COMPUTED_VALUE"""),"Retroalimentación y toma de decisiones")</f>
        <v>Retroalimentación y toma de decisiones</v>
      </c>
      <c r="G30" s="16"/>
      <c r="H30" s="18"/>
    </row>
    <row r="31" ht="15.75" customHeight="1">
      <c r="A31" s="22">
        <v>4.0</v>
      </c>
      <c r="B31" s="25" t="str">
        <f>IFERROR(__xludf.DUMMYFUNCTION("""COMPUTED_VALUE"""),"Unidad 4: Modelación y simulación dinámica de sistemas")</f>
        <v>Unidad 4: Modelación y simulación dinámica de sistemas</v>
      </c>
      <c r="C31" s="18"/>
      <c r="D31" s="25" t="str">
        <f>IFERROR(__xludf.DUMMYFUNCTION("""COMPUTED_VALUE"""),"Estructuras circulares de retroalimentación")</f>
        <v>Estructuras circulares de retroalimentación</v>
      </c>
      <c r="E31" s="18"/>
      <c r="F31" s="25" t="str">
        <f>IFERROR(__xludf.DUMMYFUNCTION("""COMPUTED_VALUE"""),"Acumulaciones y tasas de cambio")</f>
        <v>Acumulaciones y tasas de cambio</v>
      </c>
      <c r="G31" s="16"/>
      <c r="H31" s="18"/>
    </row>
    <row r="32" ht="15.75" customHeight="1">
      <c r="A32" s="22">
        <v>5.0</v>
      </c>
      <c r="B32" s="25" t="str">
        <f>IFERROR(__xludf.DUMMYFUNCTION("""COMPUTED_VALUE"""),"Unidad 4: Modelación y simulación dinámica de sistemas")</f>
        <v>Unidad 4: Modelación y simulación dinámica de sistemas</v>
      </c>
      <c r="C32" s="18"/>
      <c r="D32" s="25" t="str">
        <f>IFERROR(__xludf.DUMMYFUNCTION("""COMPUTED_VALUE"""),"Estructuras circulares de retroalimentación")</f>
        <v>Estructuras circulares de retroalimentación</v>
      </c>
      <c r="E32" s="18"/>
      <c r="F32" s="25" t="str">
        <f>IFERROR(__xludf.DUMMYFUNCTION("""COMPUTED_VALUE"""),"Diagramas de ciclos causales a flujos y niveles")</f>
        <v>Diagramas de ciclos causales a flujos y niveles</v>
      </c>
      <c r="G32" s="16"/>
      <c r="H32" s="18"/>
    </row>
    <row r="33" ht="15.75" customHeight="1">
      <c r="A33" s="22">
        <v>6.0</v>
      </c>
      <c r="B33" s="25" t="str">
        <f>IFERROR(__xludf.DUMMYFUNCTION("""COMPUTED_VALUE"""),"Unidad 4: Modelación y simulación dinámica de sistemas")</f>
        <v>Unidad 4: Modelación y simulación dinámica de sistemas</v>
      </c>
      <c r="C33" s="18"/>
      <c r="D33" s="25" t="str">
        <f>IFERROR(__xludf.DUMMYFUNCTION("""COMPUTED_VALUE"""),"Estructuras circulares de retroalimentación")</f>
        <v>Estructuras circulares de retroalimentación</v>
      </c>
      <c r="E33" s="18"/>
      <c r="F33" s="25" t="str">
        <f>IFERROR(__xludf.DUMMYFUNCTION("""COMPUTED_VALUE"""),"Ejemplos de ciclos causales")</f>
        <v>Ejemplos de ciclos causales</v>
      </c>
      <c r="G33" s="16"/>
      <c r="H33" s="18"/>
    </row>
    <row r="34" ht="15.75" customHeight="1">
      <c r="A34" s="22">
        <v>7.0</v>
      </c>
      <c r="B34" s="25" t="str">
        <f>IFERROR(__xludf.DUMMYFUNCTION("""COMPUTED_VALUE"""),"Unidad 4: Modelación y simulación dinámica de sistemas")</f>
        <v>Unidad 4: Modelación y simulación dinámica de sistemas</v>
      </c>
      <c r="C34" s="18"/>
      <c r="D34" s="25" t="str">
        <f>IFERROR(__xludf.DUMMYFUNCTION("""COMPUTED_VALUE"""),"Simulación con VENSIM")</f>
        <v>Simulación con VENSIM</v>
      </c>
      <c r="E34" s="18"/>
      <c r="F34" s="25" t="str">
        <f>IFERROR(__xludf.DUMMYFUNCTION("""COMPUTED_VALUE"""),"Introducción a VENSIM")</f>
        <v>Introducción a VENSIM</v>
      </c>
      <c r="G34" s="16"/>
      <c r="H34" s="18"/>
    </row>
    <row r="35" ht="15.75" customHeight="1">
      <c r="B35" s="135" t="str">
        <f>IFERROR(__xludf.DUMMYFUNCTION("""COMPUTED_VALUE"""),"Unidad 4: Modelación y simulación dinámica de sistemas")</f>
        <v>Unidad 4: Modelación y simulación dinámica de sistemas</v>
      </c>
      <c r="D35" s="135" t="str">
        <f>IFERROR(__xludf.DUMMYFUNCTION("""COMPUTED_VALUE"""),"Simulación con VENSIM")</f>
        <v>Simulación con VENSIM</v>
      </c>
      <c r="F35" s="135" t="str">
        <f>IFERROR(__xludf.DUMMYFUNCTION("""COMPUTED_VALUE"""),"Ejemplos de simulaciones en VENSIM")</f>
        <v>Ejemplos de simulaciones en VENSIM</v>
      </c>
    </row>
    <row r="36" ht="15.75" customHeight="1">
      <c r="A36" s="110" t="s">
        <v>284</v>
      </c>
    </row>
    <row r="37" ht="15.75" customHeight="1">
      <c r="A37" s="10"/>
      <c r="B37" s="10"/>
      <c r="C37" s="10"/>
      <c r="D37" s="10"/>
      <c r="E37" s="10"/>
      <c r="F37" s="10"/>
      <c r="G37" s="10"/>
      <c r="H37" s="10"/>
    </row>
    <row r="38">
      <c r="A38" s="111" t="s">
        <v>285</v>
      </c>
      <c r="B38" s="111" t="s">
        <v>86</v>
      </c>
      <c r="C38" s="119" t="s">
        <v>286</v>
      </c>
      <c r="D38" s="120" t="s">
        <v>287</v>
      </c>
      <c r="E38" s="16"/>
      <c r="F38" s="16"/>
      <c r="G38" s="16"/>
      <c r="H38" s="18"/>
      <c r="I38" s="121" t="s">
        <v>135</v>
      </c>
    </row>
    <row r="39" ht="15.75" customHeight="1">
      <c r="A39" s="22" t="s">
        <v>288</v>
      </c>
      <c r="B39" s="22" t="s">
        <v>289</v>
      </c>
      <c r="C39" s="22">
        <v>30.0</v>
      </c>
      <c r="D39" s="29">
        <v>15.0</v>
      </c>
      <c r="E39" s="16"/>
      <c r="F39" s="16"/>
      <c r="G39" s="16"/>
      <c r="H39" s="18"/>
      <c r="I39" s="22" t="str">
        <f t="shared" ref="I39:I42" si="1">IF(D39&lt;=C39,"Correcto", "Corregir")</f>
        <v>Correcto</v>
      </c>
    </row>
    <row r="40" ht="15.75" customHeight="1">
      <c r="A40" s="22" t="s">
        <v>290</v>
      </c>
      <c r="B40" s="22" t="s">
        <v>289</v>
      </c>
      <c r="C40" s="22">
        <v>6.0</v>
      </c>
      <c r="D40" s="29">
        <v>5.0</v>
      </c>
      <c r="E40" s="16"/>
      <c r="F40" s="16"/>
      <c r="G40" s="16"/>
      <c r="H40" s="18"/>
      <c r="I40" s="22" t="str">
        <f t="shared" si="1"/>
        <v>Correcto</v>
      </c>
    </row>
    <row r="41" ht="15.75" customHeight="1">
      <c r="A41" s="22" t="s">
        <v>292</v>
      </c>
      <c r="B41" s="22" t="s">
        <v>293</v>
      </c>
      <c r="C41" s="22">
        <v>10.0</v>
      </c>
      <c r="D41" s="29">
        <v>15.0</v>
      </c>
      <c r="E41" s="16"/>
      <c r="F41" s="16"/>
      <c r="G41" s="16"/>
      <c r="H41" s="18"/>
      <c r="I41" s="22" t="str">
        <f t="shared" si="1"/>
        <v>Corregir</v>
      </c>
    </row>
    <row r="42" ht="15.75" customHeight="1">
      <c r="A42" s="22" t="s">
        <v>294</v>
      </c>
      <c r="B42" s="22" t="s">
        <v>289</v>
      </c>
      <c r="C42" s="22">
        <v>30.0</v>
      </c>
      <c r="D42" s="29">
        <v>25.0</v>
      </c>
      <c r="E42" s="16"/>
      <c r="F42" s="16"/>
      <c r="G42" s="16"/>
      <c r="H42" s="18"/>
      <c r="I42" s="22" t="str">
        <f t="shared" si="1"/>
        <v>Correcto</v>
      </c>
    </row>
    <row r="43" ht="15.75" customHeight="1"/>
    <row r="44" ht="15.75" customHeight="1">
      <c r="A44" s="105" t="s">
        <v>296</v>
      </c>
      <c r="G44" s="55" t="s">
        <v>31</v>
      </c>
      <c r="H44" s="106">
        <f>B50</f>
        <v>50</v>
      </c>
    </row>
    <row r="45" ht="15.75" customHeight="1">
      <c r="G45" s="39" t="s">
        <v>297</v>
      </c>
    </row>
    <row r="46" ht="15.75" customHeight="1">
      <c r="A46" s="39" t="s">
        <v>298</v>
      </c>
    </row>
    <row r="47">
      <c r="A47" s="42" t="s">
        <v>299</v>
      </c>
      <c r="B47" s="29" t="s">
        <v>341</v>
      </c>
      <c r="C47" s="16"/>
      <c r="D47" s="16"/>
      <c r="E47" s="16"/>
      <c r="F47" s="16"/>
      <c r="G47" s="16"/>
      <c r="H47" s="18"/>
    </row>
    <row r="48" ht="15.75" customHeight="1">
      <c r="A48" s="42" t="s">
        <v>10</v>
      </c>
      <c r="B48" s="25" t="s">
        <v>301</v>
      </c>
      <c r="C48" s="16"/>
      <c r="D48" s="16"/>
      <c r="E48" s="16"/>
      <c r="F48" s="16"/>
      <c r="G48" s="16"/>
      <c r="H48" s="18"/>
    </row>
    <row r="49" ht="15.75" customHeight="1">
      <c r="A49" s="42" t="s">
        <v>252</v>
      </c>
      <c r="B49" s="127">
        <v>10.0</v>
      </c>
      <c r="C49" s="16"/>
      <c r="D49" s="16"/>
      <c r="E49" s="16"/>
      <c r="F49" s="16"/>
      <c r="G49" s="16"/>
      <c r="H49" s="18"/>
    </row>
    <row r="50" ht="15.75" customHeight="1">
      <c r="A50" s="42" t="s">
        <v>31</v>
      </c>
      <c r="B50" s="29">
        <v>50.0</v>
      </c>
      <c r="C50" s="16"/>
      <c r="D50" s="16"/>
      <c r="E50" s="16"/>
      <c r="F50" s="16"/>
      <c r="G50" s="16"/>
      <c r="H50" s="18"/>
    </row>
    <row r="51" ht="15.75" customHeight="1">
      <c r="A51" s="128" t="s">
        <v>303</v>
      </c>
      <c r="B51" s="10"/>
      <c r="C51" s="10"/>
      <c r="D51" s="10"/>
      <c r="E51" s="10"/>
      <c r="F51" s="10"/>
      <c r="G51" s="10"/>
      <c r="H51" s="10"/>
    </row>
    <row r="52" ht="15.75" customHeight="1">
      <c r="A52" s="108" t="s">
        <v>304</v>
      </c>
      <c r="B52" s="16"/>
      <c r="C52" s="16"/>
      <c r="D52" s="16"/>
      <c r="E52" s="16"/>
      <c r="F52" s="16"/>
      <c r="G52" s="16"/>
      <c r="H52" s="18"/>
    </row>
    <row r="53" ht="15.75" customHeight="1">
      <c r="A53" s="134"/>
      <c r="B53" s="96"/>
      <c r="C53" s="96"/>
      <c r="D53" s="96"/>
      <c r="E53" s="96"/>
      <c r="F53" s="96"/>
      <c r="G53" s="96"/>
      <c r="H53" s="97"/>
    </row>
    <row r="54" ht="15.75" customHeight="1">
      <c r="A54" s="129"/>
      <c r="H54" s="130"/>
    </row>
    <row r="55" ht="15.75" customHeight="1">
      <c r="A55" s="98"/>
      <c r="B55" s="99"/>
      <c r="C55" s="99"/>
      <c r="D55" s="99"/>
      <c r="E55" s="99"/>
      <c r="F55" s="99"/>
      <c r="G55" s="99"/>
      <c r="H55" s="100"/>
    </row>
    <row r="56" ht="15.75" customHeight="1"/>
    <row r="57" ht="15.75" customHeight="1">
      <c r="A57" s="39" t="s">
        <v>307</v>
      </c>
    </row>
    <row r="58">
      <c r="A58" s="42" t="s">
        <v>299</v>
      </c>
      <c r="B58" s="25"/>
      <c r="C58" s="16"/>
      <c r="D58" s="16"/>
      <c r="E58" s="16"/>
      <c r="F58" s="16"/>
      <c r="G58" s="16"/>
      <c r="H58" s="18"/>
    </row>
    <row r="59" ht="15.75" customHeight="1">
      <c r="A59" s="42" t="s">
        <v>10</v>
      </c>
      <c r="B59" s="25"/>
      <c r="C59" s="16"/>
      <c r="D59" s="16"/>
      <c r="E59" s="16"/>
      <c r="F59" s="16"/>
      <c r="G59" s="16"/>
      <c r="H59" s="18"/>
    </row>
    <row r="60" ht="15.75" customHeight="1">
      <c r="A60" s="42" t="s">
        <v>252</v>
      </c>
      <c r="B60" s="133"/>
      <c r="C60" s="16"/>
      <c r="D60" s="16"/>
      <c r="E60" s="16"/>
      <c r="F60" s="16"/>
      <c r="G60" s="16"/>
      <c r="H60" s="18"/>
    </row>
    <row r="61" ht="15.75" customHeight="1">
      <c r="A61" s="42" t="s">
        <v>31</v>
      </c>
      <c r="B61" s="133"/>
      <c r="C61" s="16"/>
      <c r="D61" s="16"/>
      <c r="E61" s="16"/>
      <c r="F61" s="16"/>
      <c r="G61" s="16"/>
      <c r="H61" s="18"/>
    </row>
    <row r="62" ht="15.75" customHeight="1">
      <c r="A62" s="132" t="s">
        <v>310</v>
      </c>
      <c r="B62" s="10"/>
      <c r="C62" s="10"/>
      <c r="D62" s="10"/>
      <c r="E62" s="10"/>
      <c r="F62" s="10"/>
      <c r="G62" s="10"/>
      <c r="H62" s="10"/>
    </row>
    <row r="63" ht="15.75" customHeight="1">
      <c r="A63" s="108" t="s">
        <v>304</v>
      </c>
      <c r="B63" s="16"/>
      <c r="C63" s="16"/>
      <c r="D63" s="16"/>
      <c r="E63" s="16"/>
      <c r="F63" s="16"/>
      <c r="G63" s="16"/>
      <c r="H63" s="18"/>
    </row>
    <row r="64" ht="15.75" customHeight="1">
      <c r="A64" s="134"/>
      <c r="B64" s="96"/>
      <c r="C64" s="96"/>
      <c r="D64" s="96"/>
      <c r="E64" s="96"/>
      <c r="F64" s="96"/>
      <c r="G64" s="96"/>
      <c r="H64" s="97"/>
    </row>
    <row r="65" ht="15.75" customHeight="1">
      <c r="A65" s="129"/>
      <c r="H65" s="130"/>
    </row>
    <row r="66" ht="15.75" customHeight="1">
      <c r="A66" s="98"/>
      <c r="B66" s="99"/>
      <c r="C66" s="99"/>
      <c r="D66" s="99"/>
      <c r="E66" s="99"/>
      <c r="F66" s="99"/>
      <c r="G66" s="99"/>
      <c r="H66" s="100"/>
    </row>
    <row r="67" ht="15.75" customHeight="1"/>
    <row r="68" ht="15.75" customHeight="1">
      <c r="A68" s="105" t="s">
        <v>313</v>
      </c>
      <c r="G68" s="55" t="s">
        <v>31</v>
      </c>
      <c r="H68" s="109">
        <v>15.0</v>
      </c>
    </row>
    <row r="69" ht="15.75" customHeight="1">
      <c r="G69" s="39" t="s">
        <v>314</v>
      </c>
    </row>
    <row r="70" ht="15.75" customHeight="1">
      <c r="A70" s="42" t="s">
        <v>31</v>
      </c>
      <c r="B70" s="133"/>
      <c r="C70" s="16"/>
      <c r="D70" s="16"/>
      <c r="E70" s="16"/>
      <c r="F70" s="16"/>
      <c r="G70" s="16"/>
      <c r="H70" s="18"/>
    </row>
    <row r="71" ht="15.75" customHeight="1">
      <c r="A71" s="120" t="s">
        <v>315</v>
      </c>
      <c r="B71" s="16"/>
      <c r="C71" s="16"/>
      <c r="D71" s="16"/>
      <c r="E71" s="16"/>
      <c r="F71" s="16"/>
      <c r="G71" s="16"/>
      <c r="H71" s="18"/>
    </row>
    <row r="72" ht="15.75" customHeight="1">
      <c r="A72" s="134"/>
      <c r="B72" s="96"/>
      <c r="C72" s="96"/>
      <c r="D72" s="96"/>
      <c r="E72" s="96"/>
      <c r="F72" s="96"/>
      <c r="G72" s="96"/>
      <c r="H72" s="97"/>
    </row>
    <row r="73" ht="15.75" customHeight="1">
      <c r="A73" s="98"/>
      <c r="B73" s="99"/>
      <c r="C73" s="99"/>
      <c r="D73" s="99"/>
      <c r="E73" s="99"/>
      <c r="F73" s="99"/>
      <c r="G73" s="99"/>
      <c r="H73" s="100"/>
    </row>
    <row r="74" ht="15.75" customHeight="1">
      <c r="A74" s="39"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38.38"/>
  </cols>
  <sheetData>
    <row r="1" ht="15.75" customHeight="1"/>
    <row r="2" ht="15.75" customHeight="1">
      <c r="B2" s="4" t="s">
        <v>251</v>
      </c>
    </row>
    <row r="3" ht="15.75" customHeight="1"/>
    <row r="4" ht="15.75" customHeight="1">
      <c r="B4" s="12" t="s">
        <v>2</v>
      </c>
      <c r="C4" s="104" t="s">
        <v>4</v>
      </c>
      <c r="D4" s="16"/>
      <c r="E4" s="16"/>
      <c r="F4" s="16"/>
      <c r="G4" s="18"/>
    </row>
    <row r="5" ht="15.75" customHeight="1">
      <c r="B5" s="22" t="s">
        <v>17</v>
      </c>
      <c r="C5" s="29">
        <v>10.0</v>
      </c>
      <c r="D5" s="16"/>
      <c r="E5" s="16"/>
      <c r="F5" s="16"/>
      <c r="G5" s="18"/>
    </row>
    <row r="6" ht="15.75" customHeight="1">
      <c r="B6" s="102" t="s">
        <v>21</v>
      </c>
      <c r="C6" s="29">
        <v>126.0</v>
      </c>
      <c r="D6" s="16"/>
      <c r="E6" s="16"/>
      <c r="F6" s="16"/>
      <c r="G6" s="18"/>
      <c r="I6" s="10"/>
    </row>
    <row r="7" ht="15.75" customHeight="1">
      <c r="B7" s="102" t="s">
        <v>252</v>
      </c>
      <c r="C7" s="29">
        <v>10.0</v>
      </c>
      <c r="D7" s="16"/>
      <c r="E7" s="16"/>
      <c r="F7" s="16"/>
      <c r="G7" s="18"/>
    </row>
    <row r="8" ht="15.75" customHeight="1">
      <c r="B8" s="102" t="s">
        <v>253</v>
      </c>
      <c r="C8" s="136" t="s">
        <v>254</v>
      </c>
      <c r="D8" s="16"/>
      <c r="E8" s="16"/>
      <c r="F8" s="16"/>
      <c r="G8" s="18"/>
      <c r="I8" s="10"/>
      <c r="J8" s="10"/>
      <c r="K8" s="10"/>
    </row>
    <row r="9" ht="15.75" customHeight="1"/>
    <row r="10" ht="15.75" customHeight="1">
      <c r="A10" s="105" t="s">
        <v>255</v>
      </c>
      <c r="G10" s="55" t="s">
        <v>31</v>
      </c>
      <c r="H10" s="106">
        <f>B13</f>
        <v>3</v>
      </c>
    </row>
    <row r="11" ht="15.75" customHeight="1">
      <c r="G11" s="39" t="s">
        <v>256</v>
      </c>
    </row>
    <row r="12" ht="15.75" customHeight="1">
      <c r="A12" s="137" t="s">
        <v>257</v>
      </c>
      <c r="B12" s="29" t="s">
        <v>342</v>
      </c>
      <c r="C12" s="16"/>
      <c r="D12" s="16"/>
      <c r="E12" s="16"/>
      <c r="F12" s="16"/>
      <c r="G12" s="16"/>
      <c r="H12" s="18"/>
    </row>
    <row r="13" ht="15.75" customHeight="1">
      <c r="A13" s="138" t="s">
        <v>31</v>
      </c>
      <c r="B13" s="29">
        <v>3.0</v>
      </c>
      <c r="C13" s="16"/>
      <c r="D13" s="16"/>
      <c r="E13" s="16"/>
      <c r="F13" s="16"/>
      <c r="G13" s="16"/>
      <c r="H13" s="18"/>
    </row>
    <row r="14" ht="15.75" customHeight="1">
      <c r="A14" s="139" t="s">
        <v>259</v>
      </c>
      <c r="B14" s="140"/>
      <c r="C14" s="140"/>
      <c r="D14" s="140"/>
      <c r="E14" s="140"/>
      <c r="F14" s="140"/>
      <c r="G14" s="140"/>
      <c r="H14" s="141"/>
    </row>
    <row r="15" ht="15.75" customHeight="1">
      <c r="A15" s="125" t="s">
        <v>342</v>
      </c>
      <c r="B15" s="96"/>
      <c r="C15" s="96"/>
      <c r="D15" s="96"/>
      <c r="E15" s="96"/>
      <c r="F15" s="96"/>
      <c r="G15" s="96"/>
      <c r="H15" s="97"/>
    </row>
    <row r="16" ht="15.75" customHeight="1">
      <c r="A16" s="98"/>
      <c r="B16" s="99"/>
      <c r="C16" s="99"/>
      <c r="D16" s="99"/>
      <c r="E16" s="99"/>
      <c r="F16" s="99"/>
      <c r="G16" s="99"/>
      <c r="H16" s="100"/>
    </row>
    <row r="17" ht="15.75" customHeight="1">
      <c r="A17" s="139" t="s">
        <v>261</v>
      </c>
      <c r="B17" s="140"/>
      <c r="C17" s="140"/>
      <c r="D17" s="140"/>
      <c r="E17" s="140"/>
      <c r="F17" s="140"/>
      <c r="G17" s="140"/>
      <c r="H17" s="141"/>
    </row>
    <row r="18" ht="15.75" customHeight="1">
      <c r="A18" s="125" t="s">
        <v>343</v>
      </c>
      <c r="B18" s="96"/>
      <c r="C18" s="96"/>
      <c r="D18" s="96"/>
      <c r="E18" s="96"/>
      <c r="F18" s="96"/>
      <c r="G18" s="96"/>
      <c r="H18" s="97"/>
    </row>
    <row r="19" ht="15.75" customHeight="1">
      <c r="A19" s="98"/>
      <c r="B19" s="99"/>
      <c r="C19" s="99"/>
      <c r="D19" s="99"/>
      <c r="E19" s="99"/>
      <c r="F19" s="99"/>
      <c r="G19" s="99"/>
      <c r="H19" s="100"/>
    </row>
    <row r="20" ht="15.75" customHeight="1"/>
    <row r="21" ht="15.75" customHeight="1">
      <c r="A21" s="105" t="s">
        <v>264</v>
      </c>
      <c r="G21" s="55" t="s">
        <v>31</v>
      </c>
      <c r="H21" s="109">
        <v>58.0</v>
      </c>
      <c r="I21" s="10"/>
    </row>
    <row r="22" ht="15.75" customHeight="1">
      <c r="G22" s="39" t="s">
        <v>265</v>
      </c>
    </row>
    <row r="23" ht="15.75" customHeight="1">
      <c r="A23" s="42" t="s">
        <v>266</v>
      </c>
      <c r="B23" s="29" t="s">
        <v>338</v>
      </c>
      <c r="C23" s="16"/>
      <c r="D23" s="16"/>
      <c r="E23" s="16"/>
      <c r="F23" s="16"/>
      <c r="G23" s="16"/>
      <c r="H23" s="18"/>
    </row>
    <row r="24" ht="15.75" customHeight="1">
      <c r="A24" s="42" t="s">
        <v>266</v>
      </c>
      <c r="B24" s="29" t="s">
        <v>338</v>
      </c>
      <c r="C24" s="16"/>
      <c r="D24" s="16"/>
      <c r="E24" s="16"/>
      <c r="F24" s="16"/>
      <c r="G24" s="16"/>
      <c r="H24" s="18"/>
    </row>
    <row r="25" ht="15.75" customHeight="1"/>
    <row r="26" ht="15.75" customHeight="1">
      <c r="A26" s="110" t="s">
        <v>268</v>
      </c>
      <c r="B26" s="10"/>
      <c r="C26" s="10"/>
      <c r="D26" s="10"/>
    </row>
    <row r="27" ht="15.75" customHeight="1">
      <c r="A27" s="111" t="s">
        <v>20</v>
      </c>
      <c r="B27" s="112" t="s">
        <v>270</v>
      </c>
      <c r="C27" s="18"/>
      <c r="D27" s="112" t="s">
        <v>271</v>
      </c>
      <c r="E27" s="18"/>
      <c r="F27" s="112" t="s">
        <v>272</v>
      </c>
      <c r="G27" s="16"/>
      <c r="H27" s="18"/>
    </row>
    <row r="28" ht="15.75" customHeight="1">
      <c r="A28" s="122">
        <v>1.0</v>
      </c>
      <c r="B28" s="29">
        <v>9.0</v>
      </c>
      <c r="C28" s="142"/>
      <c r="D28" s="29" t="s">
        <v>344</v>
      </c>
      <c r="E28" s="142"/>
      <c r="F28" s="29" t="s">
        <v>345</v>
      </c>
      <c r="G28" s="143"/>
      <c r="H28" s="142"/>
    </row>
    <row r="29" ht="15.75" customHeight="1">
      <c r="A29" s="122">
        <v>2.0</v>
      </c>
      <c r="B29" s="29">
        <v>9.0</v>
      </c>
      <c r="C29" s="142"/>
      <c r="D29" s="29" t="s">
        <v>344</v>
      </c>
      <c r="E29" s="142"/>
      <c r="F29" s="29" t="s">
        <v>346</v>
      </c>
      <c r="G29" s="143"/>
      <c r="H29" s="142"/>
    </row>
    <row r="30" ht="15.75" customHeight="1">
      <c r="A30" s="122">
        <v>3.0</v>
      </c>
      <c r="B30" s="29">
        <v>10.0</v>
      </c>
      <c r="C30" s="142"/>
      <c r="D30" s="29" t="s">
        <v>347</v>
      </c>
      <c r="E30" s="142"/>
      <c r="F30" s="29" t="s">
        <v>348</v>
      </c>
      <c r="G30" s="143"/>
      <c r="H30" s="142"/>
    </row>
    <row r="31" ht="15.75" customHeight="1">
      <c r="A31" s="122">
        <v>4.0</v>
      </c>
      <c r="B31" s="29">
        <v>10.0</v>
      </c>
      <c r="C31" s="142"/>
      <c r="D31" s="29" t="s">
        <v>347</v>
      </c>
      <c r="E31" s="142"/>
      <c r="F31" s="29" t="s">
        <v>349</v>
      </c>
      <c r="G31" s="143"/>
      <c r="H31" s="142"/>
    </row>
    <row r="32" ht="15.75" customHeight="1">
      <c r="A32" s="122">
        <v>5.0</v>
      </c>
      <c r="B32" s="29">
        <v>10.0</v>
      </c>
      <c r="C32" s="142"/>
      <c r="D32" s="29" t="s">
        <v>347</v>
      </c>
      <c r="E32" s="142"/>
      <c r="F32" s="29" t="s">
        <v>350</v>
      </c>
      <c r="G32" s="143"/>
      <c r="H32" s="142"/>
    </row>
    <row r="33" ht="15.75" customHeight="1">
      <c r="A33" s="122">
        <v>6.0</v>
      </c>
      <c r="B33" s="29">
        <v>10.0</v>
      </c>
      <c r="C33" s="142"/>
      <c r="D33" s="29" t="s">
        <v>347</v>
      </c>
      <c r="E33" s="142"/>
      <c r="F33" s="29" t="s">
        <v>351</v>
      </c>
      <c r="G33" s="143"/>
      <c r="H33" s="142"/>
    </row>
    <row r="34" ht="15.75" customHeight="1">
      <c r="A34" s="122">
        <v>7.0</v>
      </c>
      <c r="B34" s="29">
        <v>10.0</v>
      </c>
      <c r="C34" s="142"/>
      <c r="D34" s="29" t="s">
        <v>347</v>
      </c>
      <c r="E34" s="142"/>
      <c r="F34" s="29" t="s">
        <v>352</v>
      </c>
      <c r="G34" s="143"/>
      <c r="H34" s="142"/>
    </row>
    <row r="35" ht="15.75" customHeight="1">
      <c r="A35" s="122">
        <v>8.0</v>
      </c>
      <c r="B35" s="29">
        <v>10.0</v>
      </c>
      <c r="C35" s="142"/>
      <c r="D35" s="29" t="s">
        <v>347</v>
      </c>
      <c r="E35" s="142"/>
      <c r="F35" s="29" t="s">
        <v>353</v>
      </c>
      <c r="G35" s="143"/>
      <c r="H35" s="142"/>
    </row>
    <row r="36" ht="15.75" customHeight="1">
      <c r="A36" s="122">
        <v>9.0</v>
      </c>
      <c r="B36" s="29">
        <v>10.0</v>
      </c>
      <c r="C36" s="142"/>
      <c r="D36" s="29" t="s">
        <v>347</v>
      </c>
      <c r="E36" s="142"/>
      <c r="F36" s="29" t="s">
        <v>354</v>
      </c>
      <c r="G36" s="143"/>
      <c r="H36" s="142"/>
    </row>
    <row r="37" ht="15.75" customHeight="1">
      <c r="A37" s="122">
        <v>10.0</v>
      </c>
      <c r="B37" s="29">
        <v>11.0</v>
      </c>
      <c r="C37" s="142"/>
      <c r="D37" s="29" t="s">
        <v>355</v>
      </c>
      <c r="E37" s="142"/>
      <c r="F37" s="29" t="s">
        <v>356</v>
      </c>
      <c r="G37" s="143"/>
      <c r="H37" s="142"/>
    </row>
    <row r="38" ht="15.75" customHeight="1">
      <c r="A38" s="110" t="s">
        <v>284</v>
      </c>
    </row>
    <row r="39" ht="15.75" customHeight="1">
      <c r="A39" s="10"/>
      <c r="B39" s="10"/>
      <c r="C39" s="10"/>
      <c r="D39" s="10"/>
      <c r="E39" s="10"/>
      <c r="F39" s="10"/>
      <c r="G39" s="10"/>
      <c r="H39" s="10"/>
    </row>
    <row r="40">
      <c r="A40" s="111" t="s">
        <v>285</v>
      </c>
      <c r="B40" s="111" t="s">
        <v>86</v>
      </c>
      <c r="C40" s="119" t="s">
        <v>286</v>
      </c>
      <c r="D40" s="120" t="s">
        <v>287</v>
      </c>
      <c r="E40" s="16"/>
      <c r="F40" s="16"/>
      <c r="G40" s="16"/>
      <c r="H40" s="18"/>
      <c r="I40" s="121" t="s">
        <v>135</v>
      </c>
    </row>
    <row r="41" ht="15.75" customHeight="1">
      <c r="A41" s="123" t="s">
        <v>288</v>
      </c>
      <c r="B41" s="123" t="s">
        <v>289</v>
      </c>
      <c r="C41" s="123"/>
      <c r="D41" s="46">
        <v>15.0</v>
      </c>
      <c r="E41" s="16"/>
      <c r="F41" s="16"/>
      <c r="G41" s="16"/>
      <c r="H41" s="18"/>
      <c r="I41" s="22" t="str">
        <f t="shared" ref="I41:I44" si="1">IF(D41&lt;=C41,"Correcto", "Corregir")</f>
        <v>Corregir</v>
      </c>
    </row>
    <row r="42" ht="15.75" customHeight="1">
      <c r="A42" s="123" t="s">
        <v>290</v>
      </c>
      <c r="B42" s="123" t="s">
        <v>289</v>
      </c>
      <c r="C42" s="123" t="s">
        <v>291</v>
      </c>
      <c r="D42" s="46">
        <v>3.0</v>
      </c>
      <c r="E42" s="16"/>
      <c r="F42" s="16"/>
      <c r="G42" s="16"/>
      <c r="H42" s="18"/>
      <c r="I42" s="22" t="str">
        <f t="shared" si="1"/>
        <v>Correcto</v>
      </c>
    </row>
    <row r="43" ht="15.75" customHeight="1">
      <c r="A43" s="123" t="s">
        <v>292</v>
      </c>
      <c r="B43" s="123" t="s">
        <v>293</v>
      </c>
      <c r="C43" s="123"/>
      <c r="D43" s="46">
        <v>15.0</v>
      </c>
      <c r="E43" s="16"/>
      <c r="F43" s="16"/>
      <c r="G43" s="16"/>
      <c r="H43" s="18"/>
      <c r="I43" s="22" t="str">
        <f t="shared" si="1"/>
        <v>Corregir</v>
      </c>
    </row>
    <row r="44" ht="15.75" customHeight="1">
      <c r="A44" s="123" t="s">
        <v>294</v>
      </c>
      <c r="B44" s="123" t="s">
        <v>289</v>
      </c>
      <c r="C44" s="123"/>
      <c r="D44" s="46">
        <v>25.0</v>
      </c>
      <c r="E44" s="16"/>
      <c r="F44" s="16"/>
      <c r="G44" s="16"/>
      <c r="H44" s="18"/>
      <c r="I44" s="22" t="str">
        <f t="shared" si="1"/>
        <v>Corregir</v>
      </c>
    </row>
    <row r="45" ht="15.75" customHeight="1"/>
    <row r="46" ht="15.75" customHeight="1">
      <c r="A46" s="105" t="s">
        <v>296</v>
      </c>
      <c r="G46" s="55" t="s">
        <v>31</v>
      </c>
      <c r="H46" s="106">
        <f>B52</f>
        <v>50</v>
      </c>
    </row>
    <row r="47" ht="15.75" customHeight="1">
      <c r="G47" s="39" t="s">
        <v>297</v>
      </c>
    </row>
    <row r="48" ht="15.75" customHeight="1">
      <c r="A48" s="39" t="s">
        <v>298</v>
      </c>
    </row>
    <row r="49">
      <c r="A49" s="42" t="s">
        <v>299</v>
      </c>
      <c r="B49" s="29" t="s">
        <v>338</v>
      </c>
      <c r="C49" s="16"/>
      <c r="D49" s="16"/>
      <c r="E49" s="16"/>
      <c r="F49" s="16"/>
      <c r="G49" s="16"/>
      <c r="H49" s="18"/>
    </row>
    <row r="50" ht="15.75" customHeight="1">
      <c r="A50" s="42" t="s">
        <v>10</v>
      </c>
      <c r="B50" s="25" t="s">
        <v>301</v>
      </c>
      <c r="C50" s="16"/>
      <c r="D50" s="16"/>
      <c r="E50" s="16"/>
      <c r="F50" s="16"/>
      <c r="G50" s="16"/>
      <c r="H50" s="18"/>
    </row>
    <row r="51" ht="15.75" customHeight="1">
      <c r="A51" s="42" t="s">
        <v>252</v>
      </c>
      <c r="B51" s="127">
        <v>10.0</v>
      </c>
      <c r="C51" s="16"/>
      <c r="D51" s="16"/>
      <c r="E51" s="16"/>
      <c r="F51" s="16"/>
      <c r="G51" s="16"/>
      <c r="H51" s="18"/>
    </row>
    <row r="52" ht="15.75" customHeight="1">
      <c r="A52" s="42" t="s">
        <v>31</v>
      </c>
      <c r="B52" s="29">
        <v>50.0</v>
      </c>
      <c r="C52" s="16"/>
      <c r="D52" s="16"/>
      <c r="E52" s="16"/>
      <c r="F52" s="16"/>
      <c r="G52" s="16"/>
      <c r="H52" s="18"/>
    </row>
    <row r="53" ht="15.75" customHeight="1">
      <c r="A53" s="128" t="s">
        <v>303</v>
      </c>
      <c r="B53" s="10"/>
      <c r="C53" s="10"/>
      <c r="D53" s="10"/>
      <c r="E53" s="10"/>
      <c r="F53" s="10"/>
      <c r="G53" s="10"/>
      <c r="H53" s="10"/>
    </row>
    <row r="54" ht="15.75" customHeight="1">
      <c r="A54" s="108" t="s">
        <v>304</v>
      </c>
      <c r="B54" s="16"/>
      <c r="C54" s="16"/>
      <c r="D54" s="16"/>
      <c r="E54" s="16"/>
      <c r="F54" s="16"/>
      <c r="G54" s="16"/>
      <c r="H54" s="18"/>
    </row>
    <row r="55" ht="15.75" customHeight="1">
      <c r="A55" s="125" t="s">
        <v>359</v>
      </c>
      <c r="B55" s="96"/>
      <c r="C55" s="96"/>
      <c r="D55" s="96"/>
      <c r="E55" s="96"/>
      <c r="F55" s="96"/>
      <c r="G55" s="96"/>
      <c r="H55" s="97"/>
    </row>
    <row r="56" ht="15.75" customHeight="1">
      <c r="A56" s="129"/>
      <c r="H56" s="130"/>
    </row>
    <row r="57" ht="15.75" customHeight="1">
      <c r="A57" s="98"/>
      <c r="B57" s="99"/>
      <c r="C57" s="99"/>
      <c r="D57" s="99"/>
      <c r="E57" s="99"/>
      <c r="F57" s="99"/>
      <c r="G57" s="99"/>
      <c r="H57" s="100"/>
    </row>
    <row r="58" ht="15.75" customHeight="1"/>
    <row r="59" ht="15.75" customHeight="1">
      <c r="A59" s="39" t="s">
        <v>307</v>
      </c>
    </row>
    <row r="60">
      <c r="A60" s="42" t="s">
        <v>299</v>
      </c>
      <c r="B60" s="25"/>
      <c r="C60" s="16"/>
      <c r="D60" s="16"/>
      <c r="E60" s="16"/>
      <c r="F60" s="16"/>
      <c r="G60" s="16"/>
      <c r="H60" s="18"/>
    </row>
    <row r="61" ht="15.75" customHeight="1">
      <c r="A61" s="42" t="s">
        <v>10</v>
      </c>
      <c r="B61" s="25"/>
      <c r="C61" s="16"/>
      <c r="D61" s="16"/>
      <c r="E61" s="16"/>
      <c r="F61" s="16"/>
      <c r="G61" s="16"/>
      <c r="H61" s="18"/>
    </row>
    <row r="62" ht="15.75" customHeight="1">
      <c r="A62" s="42" t="s">
        <v>252</v>
      </c>
      <c r="B62" s="133"/>
      <c r="C62" s="16"/>
      <c r="D62" s="16"/>
      <c r="E62" s="16"/>
      <c r="F62" s="16"/>
      <c r="G62" s="16"/>
      <c r="H62" s="18"/>
    </row>
    <row r="63" ht="15.75" customHeight="1">
      <c r="A63" s="42" t="s">
        <v>31</v>
      </c>
      <c r="B63" s="133"/>
      <c r="C63" s="16"/>
      <c r="D63" s="16"/>
      <c r="E63" s="16"/>
      <c r="F63" s="16"/>
      <c r="G63" s="16"/>
      <c r="H63" s="18"/>
    </row>
    <row r="64" ht="15.75" customHeight="1">
      <c r="A64" s="132" t="s">
        <v>310</v>
      </c>
      <c r="B64" s="10"/>
      <c r="C64" s="10"/>
      <c r="D64" s="10"/>
      <c r="E64" s="10"/>
      <c r="F64" s="10"/>
      <c r="G64" s="10"/>
      <c r="H64" s="10"/>
    </row>
    <row r="65" ht="15.75" customHeight="1">
      <c r="A65" s="108" t="s">
        <v>304</v>
      </c>
      <c r="B65" s="16"/>
      <c r="C65" s="16"/>
      <c r="D65" s="16"/>
      <c r="E65" s="16"/>
      <c r="F65" s="16"/>
      <c r="G65" s="16"/>
      <c r="H65" s="18"/>
    </row>
    <row r="66" ht="15.75" customHeight="1">
      <c r="A66" s="134"/>
      <c r="B66" s="96"/>
      <c r="C66" s="96"/>
      <c r="D66" s="96"/>
      <c r="E66" s="96"/>
      <c r="F66" s="96"/>
      <c r="G66" s="96"/>
      <c r="H66" s="97"/>
    </row>
    <row r="67" ht="15.75" customHeight="1">
      <c r="A67" s="129"/>
      <c r="H67" s="130"/>
    </row>
    <row r="68" ht="15.75" customHeight="1">
      <c r="A68" s="98"/>
      <c r="B68" s="99"/>
      <c r="C68" s="99"/>
      <c r="D68" s="99"/>
      <c r="E68" s="99"/>
      <c r="F68" s="99"/>
      <c r="G68" s="99"/>
      <c r="H68" s="100"/>
    </row>
    <row r="69" ht="15.75" customHeight="1"/>
    <row r="70" ht="15.75" customHeight="1">
      <c r="A70" s="105" t="s">
        <v>313</v>
      </c>
      <c r="G70" s="55" t="s">
        <v>31</v>
      </c>
      <c r="H70" s="106">
        <f>B72</f>
        <v>15</v>
      </c>
    </row>
    <row r="71" ht="15.75" customHeight="1">
      <c r="G71" s="39" t="s">
        <v>314</v>
      </c>
    </row>
    <row r="72" ht="15.75" customHeight="1">
      <c r="A72" s="42" t="s">
        <v>31</v>
      </c>
      <c r="B72" s="127">
        <v>15.0</v>
      </c>
      <c r="C72" s="16"/>
      <c r="D72" s="16"/>
      <c r="E72" s="16"/>
      <c r="F72" s="16"/>
      <c r="G72" s="16"/>
      <c r="H72" s="18"/>
    </row>
    <row r="73" ht="15.75" customHeight="1">
      <c r="A73" s="120" t="s">
        <v>315</v>
      </c>
      <c r="B73" s="16"/>
      <c r="C73" s="16"/>
      <c r="D73" s="16"/>
      <c r="E73" s="16"/>
      <c r="F73" s="16"/>
      <c r="G73" s="16"/>
      <c r="H73" s="18"/>
    </row>
    <row r="74" ht="15.75" customHeight="1">
      <c r="A74" s="125" t="s">
        <v>364</v>
      </c>
      <c r="B74" s="96"/>
      <c r="C74" s="96"/>
      <c r="D74" s="96"/>
      <c r="E74" s="96"/>
      <c r="F74" s="96"/>
      <c r="G74" s="96"/>
      <c r="H74" s="97"/>
    </row>
    <row r="75" ht="15.75" customHeight="1">
      <c r="A75" s="98"/>
      <c r="B75" s="99"/>
      <c r="C75" s="99"/>
      <c r="D75" s="99"/>
      <c r="E75" s="99"/>
      <c r="F75" s="99"/>
      <c r="G75" s="99"/>
      <c r="H75" s="100"/>
    </row>
    <row r="76" ht="15.75" customHeight="1">
      <c r="A76" s="39" t="s">
        <v>317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8">
    <mergeCell ref="C4:G4"/>
    <mergeCell ref="C5:G5"/>
    <mergeCell ref="C6:G6"/>
    <mergeCell ref="C7:G7"/>
    <mergeCell ref="C8:G8"/>
    <mergeCell ref="A10:F10"/>
    <mergeCell ref="B12:H12"/>
    <mergeCell ref="B13:H13"/>
    <mergeCell ref="A15:H16"/>
    <mergeCell ref="A18:H19"/>
    <mergeCell ref="A21:F21"/>
    <mergeCell ref="B23:H23"/>
    <mergeCell ref="B24:H24"/>
    <mergeCell ref="B27:C27"/>
    <mergeCell ref="D27:E27"/>
    <mergeCell ref="F27:H27"/>
    <mergeCell ref="D40:H40"/>
    <mergeCell ref="D41:H41"/>
    <mergeCell ref="D42:H42"/>
    <mergeCell ref="D43:H43"/>
    <mergeCell ref="D44:H44"/>
    <mergeCell ref="A46:F46"/>
    <mergeCell ref="B49:H49"/>
    <mergeCell ref="B50:H50"/>
    <mergeCell ref="B51:H51"/>
    <mergeCell ref="B52:H52"/>
    <mergeCell ref="A54:H54"/>
    <mergeCell ref="A55:H57"/>
    <mergeCell ref="B72:H72"/>
    <mergeCell ref="A73:H73"/>
    <mergeCell ref="A74:H75"/>
    <mergeCell ref="B60:H60"/>
    <mergeCell ref="B61:H61"/>
    <mergeCell ref="B62:H62"/>
    <mergeCell ref="B63:H63"/>
    <mergeCell ref="A65:H65"/>
    <mergeCell ref="A66:H68"/>
    <mergeCell ref="A70:F70"/>
  </mergeCells>
  <conditionalFormatting sqref="D41:H44">
    <cfRule type="cellIs" dxfId="0" priority="1" operator="between">
      <formula>0</formula>
      <formula>45</formula>
    </cfRule>
  </conditionalFormatting>
  <dataValidations>
    <dataValidation type="list" allowBlank="1" showErrorMessage="1" sqref="B50">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9 B60">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251</v>
      </c>
    </row>
    <row r="3" ht="15.75" customHeight="1"/>
    <row r="4" ht="15.75" customHeight="1">
      <c r="B4" s="12" t="s">
        <v>2</v>
      </c>
      <c r="C4" s="113" t="str">
        <f>'Diseño'!C4</f>
        <v/>
      </c>
      <c r="D4" s="16"/>
      <c r="E4" s="16"/>
      <c r="F4" s="16"/>
      <c r="G4" s="18"/>
    </row>
    <row r="5" ht="15.75" customHeight="1">
      <c r="B5" s="22" t="s">
        <v>17</v>
      </c>
      <c r="C5" s="25">
        <v>11.0</v>
      </c>
      <c r="D5" s="16"/>
      <c r="E5" s="16"/>
      <c r="F5" s="16"/>
      <c r="G5" s="18"/>
    </row>
    <row r="6" ht="15.75" customHeight="1">
      <c r="B6" s="102" t="s">
        <v>21</v>
      </c>
      <c r="C6" s="25">
        <f>H10+H21+H44+H68</f>
        <v>105</v>
      </c>
      <c r="D6" s="16"/>
      <c r="E6" s="16"/>
      <c r="F6" s="16"/>
      <c r="G6" s="18"/>
      <c r="I6" s="10"/>
    </row>
    <row r="7" ht="15.75" customHeight="1">
      <c r="B7" s="102" t="s">
        <v>252</v>
      </c>
      <c r="C7" s="25">
        <f>B49+B60</f>
        <v>0</v>
      </c>
      <c r="D7" s="16"/>
      <c r="E7" s="16"/>
      <c r="F7" s="16"/>
      <c r="G7" s="18"/>
    </row>
    <row r="8" ht="15.75" customHeight="1">
      <c r="B8" s="102" t="s">
        <v>253</v>
      </c>
      <c r="C8" s="124"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6"/>
      <c r="E8" s="16"/>
      <c r="F8" s="16"/>
      <c r="G8" s="18"/>
      <c r="I8" s="10"/>
      <c r="J8" s="10"/>
      <c r="K8" s="10"/>
    </row>
    <row r="9" ht="15.75" customHeight="1"/>
    <row r="10" ht="15.75" customHeight="1">
      <c r="A10" s="105" t="s">
        <v>255</v>
      </c>
      <c r="G10" s="55" t="s">
        <v>31</v>
      </c>
      <c r="H10" s="106">
        <f>B13</f>
        <v>5</v>
      </c>
    </row>
    <row r="11" ht="15.75" customHeight="1">
      <c r="G11" s="39" t="s">
        <v>256</v>
      </c>
    </row>
    <row r="12" ht="15.75" customHeight="1">
      <c r="A12" s="42" t="s">
        <v>257</v>
      </c>
      <c r="B12" s="29" t="s">
        <v>326</v>
      </c>
      <c r="C12" s="16"/>
      <c r="D12" s="16"/>
      <c r="E12" s="16"/>
      <c r="F12" s="16"/>
      <c r="G12" s="16"/>
      <c r="H12" s="18"/>
    </row>
    <row r="13" ht="15.75" customHeight="1">
      <c r="A13" s="45" t="s">
        <v>31</v>
      </c>
      <c r="B13" s="29">
        <v>5.0</v>
      </c>
      <c r="C13" s="16"/>
      <c r="D13" s="16"/>
      <c r="E13" s="16"/>
      <c r="F13" s="16"/>
      <c r="G13" s="16"/>
      <c r="H13" s="18"/>
    </row>
    <row r="14" ht="15.75" customHeight="1">
      <c r="A14" s="108" t="s">
        <v>259</v>
      </c>
      <c r="B14" s="16"/>
      <c r="C14" s="16"/>
      <c r="D14" s="16"/>
      <c r="E14" s="16"/>
      <c r="F14" s="16"/>
      <c r="G14" s="16"/>
      <c r="H14" s="18"/>
    </row>
    <row r="15" ht="15.75" customHeight="1">
      <c r="A15" s="125" t="s">
        <v>357</v>
      </c>
      <c r="B15" s="96"/>
      <c r="C15" s="96"/>
      <c r="D15" s="96"/>
      <c r="E15" s="96"/>
      <c r="F15" s="96"/>
      <c r="G15" s="96"/>
      <c r="H15" s="97"/>
    </row>
    <row r="16" ht="15.75" customHeight="1">
      <c r="A16" s="98"/>
      <c r="B16" s="99"/>
      <c r="C16" s="99"/>
      <c r="D16" s="99"/>
      <c r="E16" s="99"/>
      <c r="F16" s="99"/>
      <c r="G16" s="99"/>
      <c r="H16" s="100"/>
    </row>
    <row r="17" ht="15.75" customHeight="1">
      <c r="A17" s="108" t="s">
        <v>261</v>
      </c>
      <c r="B17" s="16"/>
      <c r="C17" s="16"/>
      <c r="D17" s="16"/>
      <c r="E17" s="16"/>
      <c r="F17" s="16"/>
      <c r="G17" s="16"/>
      <c r="H17" s="18"/>
    </row>
    <row r="18" ht="15.75" customHeight="1">
      <c r="A18" s="125" t="s">
        <v>358</v>
      </c>
      <c r="B18" s="96"/>
      <c r="C18" s="96"/>
      <c r="D18" s="96"/>
      <c r="E18" s="96"/>
      <c r="F18" s="96"/>
      <c r="G18" s="96"/>
      <c r="H18" s="97"/>
    </row>
    <row r="19" ht="15.75" customHeight="1">
      <c r="A19" s="98"/>
      <c r="B19" s="99"/>
      <c r="C19" s="99"/>
      <c r="D19" s="99"/>
      <c r="E19" s="99"/>
      <c r="F19" s="99"/>
      <c r="G19" s="99"/>
      <c r="H19" s="100"/>
    </row>
    <row r="20" ht="15.75" customHeight="1"/>
    <row r="21" ht="15.75" customHeight="1">
      <c r="A21" s="105" t="s">
        <v>264</v>
      </c>
      <c r="G21" s="55" t="s">
        <v>31</v>
      </c>
      <c r="H21" s="106">
        <f>SUM(D39:H42)</f>
        <v>60</v>
      </c>
      <c r="I21" s="10"/>
    </row>
    <row r="22" ht="15.75" customHeight="1">
      <c r="G22" s="39" t="s">
        <v>265</v>
      </c>
    </row>
    <row r="23" ht="15.75" customHeight="1">
      <c r="A23" s="42" t="s">
        <v>266</v>
      </c>
      <c r="B23" s="29" t="s">
        <v>330</v>
      </c>
      <c r="C23" s="16"/>
      <c r="D23" s="16"/>
      <c r="E23" s="16"/>
      <c r="F23" s="16"/>
      <c r="G23" s="16"/>
      <c r="H23" s="18"/>
    </row>
    <row r="24" ht="15.75" customHeight="1">
      <c r="A24" s="42" t="s">
        <v>266</v>
      </c>
      <c r="B24" s="29" t="s">
        <v>325</v>
      </c>
      <c r="C24" s="16"/>
      <c r="D24" s="16"/>
      <c r="E24" s="16"/>
      <c r="F24" s="16"/>
      <c r="G24" s="16"/>
      <c r="H24" s="18"/>
    </row>
    <row r="25" ht="15.75" customHeight="1"/>
    <row r="26" ht="15.75" customHeight="1">
      <c r="A26" s="110" t="s">
        <v>268</v>
      </c>
      <c r="B26" s="10"/>
      <c r="C26" s="10"/>
      <c r="D26" s="10"/>
    </row>
    <row r="27" ht="15.75" customHeight="1">
      <c r="A27" s="111" t="s">
        <v>20</v>
      </c>
      <c r="B27" s="112" t="s">
        <v>270</v>
      </c>
      <c r="C27" s="18"/>
      <c r="D27" s="112" t="s">
        <v>271</v>
      </c>
      <c r="E27" s="18"/>
      <c r="F27" s="112" t="s">
        <v>272</v>
      </c>
      <c r="G27" s="16"/>
      <c r="H27" s="18"/>
    </row>
    <row r="28" ht="15.75" customHeight="1">
      <c r="A28" s="22">
        <v>1.0</v>
      </c>
      <c r="B28" s="25" t="str">
        <f>IFERROR(__xludf.DUMMYFUNCTION("FILTER('Diseño'!D:D,'Diseño'!H:H=$C$5)"),"Unidad 5: Toma de decisiones sistémicas")</f>
        <v>Unidad 5: Toma de decisiones sistémicas</v>
      </c>
      <c r="C28" s="18"/>
      <c r="D28" s="25" t="str">
        <f>IFERROR(__xludf.DUMMYFUNCTION("FILTER('Diseño'!E:E,'Diseño'!H:H=$C$5)"),"Patrones y tendencias en sistemas")</f>
        <v>Patrones y tendencias en sistemas</v>
      </c>
      <c r="E28" s="18"/>
      <c r="F28" s="25" t="str">
        <f>IFERROR(__xludf.DUMMYFUNCTION("FILTER('Diseño'!F:F,'Diseño'!H:H=$C$5)"),"Impacto de patrones en toma de decisiones")</f>
        <v>Impacto de patrones en toma de decisiones</v>
      </c>
      <c r="G28" s="16"/>
      <c r="H28" s="18"/>
    </row>
    <row r="29" ht="15.75" customHeight="1">
      <c r="A29" s="22">
        <v>2.0</v>
      </c>
      <c r="B29" s="25" t="str">
        <f>IFERROR(__xludf.DUMMYFUNCTION("""COMPUTED_VALUE"""),"Unidad 5: Toma de decisiones sistémicas")</f>
        <v>Unidad 5: Toma de decisiones sistémicas</v>
      </c>
      <c r="C29" s="18"/>
      <c r="D29" s="25" t="str">
        <f>IFERROR(__xludf.DUMMYFUNCTION("""COMPUTED_VALUE"""),"Patrones y tendencias en sistemas")</f>
        <v>Patrones y tendencias en sistemas</v>
      </c>
      <c r="E29" s="18"/>
      <c r="F29" s="25" t="str">
        <f>IFERROR(__xludf.DUMMYFUNCTION("""COMPUTED_VALUE"""),"Ejemplos de arquetipos sistémicos comunes")</f>
        <v>Ejemplos de arquetipos sistémicos comunes</v>
      </c>
      <c r="G29" s="16"/>
      <c r="H29" s="18"/>
    </row>
    <row r="30" ht="15.75" customHeight="1">
      <c r="A30" s="22">
        <v>3.0</v>
      </c>
      <c r="B30" s="25" t="str">
        <f>IFERROR(__xludf.DUMMYFUNCTION("""COMPUTED_VALUE"""),"Unidad 5: Toma de decisiones sistémicas")</f>
        <v>Unidad 5: Toma de decisiones sistémicas</v>
      </c>
      <c r="C30" s="18"/>
      <c r="D30" s="25" t="str">
        <f>IFERROR(__xludf.DUMMYFUNCTION("""COMPUTED_VALUE"""),"Patrones y tendencias en sistemas")</f>
        <v>Patrones y tendencias en sistemas</v>
      </c>
      <c r="E30" s="18"/>
      <c r="F30" s="25" t="str">
        <f>IFERROR(__xludf.DUMMYFUNCTION("""COMPUTED_VALUE"""),"Arquetipos y resolución de problemas sistémicos")</f>
        <v>Arquetipos y resolución de problemas sistémicos</v>
      </c>
      <c r="G30" s="16"/>
      <c r="H30" s="18"/>
    </row>
    <row r="31" ht="15.75" customHeight="1">
      <c r="A31" s="22">
        <v>4.0</v>
      </c>
      <c r="B31" s="25" t="str">
        <f>IFERROR(__xludf.DUMMYFUNCTION("""COMPUTED_VALUE"""),"Unidad 5: Toma de decisiones sistémicas")</f>
        <v>Unidad 5: Toma de decisiones sistémicas</v>
      </c>
      <c r="C31" s="18"/>
      <c r="D31" s="25" t="str">
        <f>IFERROR(__xludf.DUMMYFUNCTION("""COMPUTED_VALUE"""),"Toma de decisiones sistémicas")</f>
        <v>Toma de decisiones sistémicas</v>
      </c>
      <c r="E31" s="18"/>
      <c r="F31" s="25" t="str">
        <f>IFERROR(__xludf.DUMMYFUNCTION("""COMPUTED_VALUE"""),"Uso de VENSIM para la toma de decisiones")</f>
        <v>Uso de VENSIM para la toma de decisiones</v>
      </c>
      <c r="G31" s="16"/>
      <c r="H31" s="18"/>
    </row>
    <row r="32" ht="15.75" customHeight="1">
      <c r="A32" s="22">
        <v>5.0</v>
      </c>
      <c r="B32" s="25" t="str">
        <f>IFERROR(__xludf.DUMMYFUNCTION("""COMPUTED_VALUE"""),"Unidad 5: Toma de decisiones sistémicas")</f>
        <v>Unidad 5: Toma de decisiones sistémicas</v>
      </c>
      <c r="C32" s="18"/>
      <c r="D32" s="25" t="str">
        <f>IFERROR(__xludf.DUMMYFUNCTION("""COMPUTED_VALUE"""),"Toma de decisiones sistémicas")</f>
        <v>Toma de decisiones sistémicas</v>
      </c>
      <c r="E32" s="18"/>
      <c r="F32" s="25" t="str">
        <f>IFERROR(__xludf.DUMMYFUNCTION("""COMPUTED_VALUE"""),"Desarrollo de estrategias de toma de decisiones")</f>
        <v>Desarrollo de estrategias de toma de decisiones</v>
      </c>
      <c r="G32" s="16"/>
      <c r="H32" s="18"/>
    </row>
    <row r="33" ht="15.75" customHeight="1">
      <c r="A33" s="22">
        <v>6.0</v>
      </c>
      <c r="B33" s="25" t="str">
        <f>IFERROR(__xludf.DUMMYFUNCTION("""COMPUTED_VALUE"""),"Unidad 5: Toma de decisiones sistémicas")</f>
        <v>Unidad 5: Toma de decisiones sistémicas</v>
      </c>
      <c r="C33" s="18"/>
      <c r="D33" s="25" t="str">
        <f>IFERROR(__xludf.DUMMYFUNCTION("""COMPUTED_VALUE"""),"Toma de decisiones sistémicas")</f>
        <v>Toma de decisiones sistémicas</v>
      </c>
      <c r="E33" s="18"/>
      <c r="F33" s="25" t="str">
        <f>IFERROR(__xludf.DUMMYFUNCTION("""COMPUTED_VALUE"""),"Análisis de ejemplos reales")</f>
        <v>Análisis de ejemplos reales</v>
      </c>
      <c r="G33" s="16"/>
      <c r="H33" s="18"/>
    </row>
    <row r="34" ht="15.75" customHeight="1">
      <c r="A34" s="22">
        <v>7.0</v>
      </c>
      <c r="B34" s="25" t="str">
        <f>IFERROR(__xludf.DUMMYFUNCTION("""COMPUTED_VALUE"""),"Unidad 5: Toma de decisiones sistémicas")</f>
        <v>Unidad 5: Toma de decisiones sistémicas</v>
      </c>
      <c r="C34" s="18"/>
      <c r="D34" s="25" t="str">
        <f>IFERROR(__xludf.DUMMYFUNCTION("""COMPUTED_VALUE"""),"Toma de decisiones sistémicas")</f>
        <v>Toma de decisiones sistémicas</v>
      </c>
      <c r="E34" s="18"/>
      <c r="F34" s="25" t="str">
        <f>IFERROR(__xludf.DUMMYFUNCTION("""COMPUTED_VALUE"""),"Hábitos para análisis de información sistémica")</f>
        <v>Hábitos para análisis de información sistémica</v>
      </c>
      <c r="G34" s="16"/>
      <c r="H34" s="18"/>
    </row>
    <row r="35" ht="15.75" customHeight="1">
      <c r="B35" s="135" t="str">
        <f>IFERROR(__xludf.DUMMYFUNCTION("""COMPUTED_VALUE"""),"Unidad 5: Toma de decisiones sistémicas")</f>
        <v>Unidad 5: Toma de decisiones sistémicas</v>
      </c>
      <c r="D35" s="135" t="str">
        <f>IFERROR(__xludf.DUMMYFUNCTION("""COMPUTED_VALUE"""),"Toma de decisiones sistémicas")</f>
        <v>Toma de decisiones sistémicas</v>
      </c>
      <c r="F35" s="135" t="str">
        <f>IFERROR(__xludf.DUMMYFUNCTION("""COMPUTED_VALUE"""),"Resolución de problemas con enfoque sistémico")</f>
        <v>Resolución de problemas con enfoque sistémico</v>
      </c>
    </row>
    <row r="36" ht="15.75" customHeight="1">
      <c r="A36" s="110" t="s">
        <v>284</v>
      </c>
      <c r="B36" s="135" t="str">
        <f>IFERROR(__xludf.DUMMYFUNCTION("""COMPUTED_VALUE"""),"Unidad 5: Toma de decisiones sistémicas")</f>
        <v>Unidad 5: Toma de decisiones sistémicas</v>
      </c>
      <c r="D36" s="135" t="str">
        <f>IFERROR(__xludf.DUMMYFUNCTION("""COMPUTED_VALUE"""),"Toma de decisiones sistémicas")</f>
        <v>Toma de decisiones sistémicas</v>
      </c>
      <c r="F36" s="135" t="str">
        <f>IFERROR(__xludf.DUMMYFUNCTION("""COMPUTED_VALUE"""),"Impacto de la retroalimentación en decisiones")</f>
        <v>Impacto de la retroalimentación en decisiones</v>
      </c>
    </row>
    <row r="37" ht="15.75" customHeight="1">
      <c r="A37" s="10"/>
      <c r="B37" s="10"/>
      <c r="C37" s="10"/>
      <c r="D37" s="10"/>
      <c r="E37" s="10"/>
      <c r="F37" s="10"/>
      <c r="G37" s="10"/>
      <c r="H37" s="10"/>
    </row>
    <row r="38">
      <c r="A38" s="111" t="s">
        <v>285</v>
      </c>
      <c r="B38" s="111" t="s">
        <v>86</v>
      </c>
      <c r="C38" s="119" t="s">
        <v>286</v>
      </c>
      <c r="D38" s="120" t="s">
        <v>287</v>
      </c>
      <c r="E38" s="16"/>
      <c r="F38" s="16"/>
      <c r="G38" s="16"/>
      <c r="H38" s="18"/>
      <c r="I38" s="121" t="s">
        <v>135</v>
      </c>
    </row>
    <row r="39" ht="15.75" customHeight="1">
      <c r="A39" s="22" t="s">
        <v>288</v>
      </c>
      <c r="B39" s="22" t="s">
        <v>289</v>
      </c>
      <c r="C39" s="22">
        <v>30.0</v>
      </c>
      <c r="D39" s="29">
        <v>15.0</v>
      </c>
      <c r="E39" s="16"/>
      <c r="F39" s="16"/>
      <c r="G39" s="16"/>
      <c r="H39" s="18"/>
      <c r="I39" s="22" t="str">
        <f t="shared" ref="I39:I42" si="1">IF(D39&lt;=C39,"Correcto", "Corregir")</f>
        <v>Correcto</v>
      </c>
    </row>
    <row r="40" ht="15.75" customHeight="1">
      <c r="A40" s="22" t="s">
        <v>290</v>
      </c>
      <c r="B40" s="22" t="s">
        <v>289</v>
      </c>
      <c r="C40" s="22">
        <v>6.0</v>
      </c>
      <c r="D40" s="29">
        <v>5.0</v>
      </c>
      <c r="E40" s="16"/>
      <c r="F40" s="16"/>
      <c r="G40" s="16"/>
      <c r="H40" s="18"/>
      <c r="I40" s="22" t="str">
        <f t="shared" si="1"/>
        <v>Correcto</v>
      </c>
    </row>
    <row r="41" ht="15.75" customHeight="1">
      <c r="A41" s="22" t="s">
        <v>292</v>
      </c>
      <c r="B41" s="22" t="s">
        <v>293</v>
      </c>
      <c r="C41" s="22">
        <v>10.0</v>
      </c>
      <c r="D41" s="29">
        <v>15.0</v>
      </c>
      <c r="E41" s="16"/>
      <c r="F41" s="16"/>
      <c r="G41" s="16"/>
      <c r="H41" s="18"/>
      <c r="I41" s="22" t="str">
        <f t="shared" si="1"/>
        <v>Corregir</v>
      </c>
    </row>
    <row r="42" ht="15.75" customHeight="1">
      <c r="A42" s="22" t="s">
        <v>294</v>
      </c>
      <c r="B42" s="22" t="s">
        <v>289</v>
      </c>
      <c r="C42" s="22">
        <v>30.0</v>
      </c>
      <c r="D42" s="29">
        <v>25.0</v>
      </c>
      <c r="E42" s="16"/>
      <c r="F42" s="16"/>
      <c r="G42" s="16"/>
      <c r="H42" s="18"/>
      <c r="I42" s="22" t="str">
        <f t="shared" si="1"/>
        <v>Correcto</v>
      </c>
    </row>
    <row r="43" ht="15.75" customHeight="1"/>
    <row r="44" ht="15.75" customHeight="1">
      <c r="A44" s="105" t="s">
        <v>296</v>
      </c>
      <c r="G44" s="55" t="s">
        <v>31</v>
      </c>
      <c r="H44" s="106">
        <f>B50</f>
        <v>30</v>
      </c>
    </row>
    <row r="45" ht="15.75" customHeight="1">
      <c r="G45" s="39" t="s">
        <v>297</v>
      </c>
    </row>
    <row r="46" ht="15.75" customHeight="1">
      <c r="A46" s="39" t="s">
        <v>298</v>
      </c>
    </row>
    <row r="47">
      <c r="A47" s="42" t="s">
        <v>299</v>
      </c>
      <c r="B47" s="29" t="s">
        <v>325</v>
      </c>
      <c r="C47" s="16"/>
      <c r="D47" s="16"/>
      <c r="E47" s="16"/>
      <c r="F47" s="16"/>
      <c r="G47" s="16"/>
      <c r="H47" s="18"/>
    </row>
    <row r="48" ht="15.75" customHeight="1">
      <c r="A48" s="42" t="s">
        <v>10</v>
      </c>
      <c r="B48" s="25" t="s">
        <v>301</v>
      </c>
      <c r="C48" s="16"/>
      <c r="D48" s="16"/>
      <c r="E48" s="16"/>
      <c r="F48" s="16"/>
      <c r="G48" s="16"/>
      <c r="H48" s="18"/>
    </row>
    <row r="49" ht="15.75" customHeight="1">
      <c r="A49" s="42" t="s">
        <v>252</v>
      </c>
      <c r="B49" s="133">
        <v>0.0</v>
      </c>
      <c r="C49" s="16"/>
      <c r="D49" s="16"/>
      <c r="E49" s="16"/>
      <c r="F49" s="16"/>
      <c r="G49" s="16"/>
      <c r="H49" s="18"/>
    </row>
    <row r="50" ht="15.75" customHeight="1">
      <c r="A50" s="42" t="s">
        <v>31</v>
      </c>
      <c r="B50" s="29">
        <v>30.0</v>
      </c>
      <c r="C50" s="16"/>
      <c r="D50" s="16"/>
      <c r="E50" s="16"/>
      <c r="F50" s="16"/>
      <c r="G50" s="16"/>
      <c r="H50" s="18"/>
    </row>
    <row r="51" ht="15.75" customHeight="1">
      <c r="A51" s="128" t="s">
        <v>303</v>
      </c>
      <c r="B51" s="10"/>
      <c r="C51" s="10"/>
      <c r="D51" s="10"/>
      <c r="E51" s="10"/>
      <c r="F51" s="10"/>
      <c r="G51" s="10"/>
      <c r="H51" s="10"/>
    </row>
    <row r="52" ht="15.75" customHeight="1">
      <c r="A52" s="108" t="s">
        <v>304</v>
      </c>
      <c r="B52" s="16"/>
      <c r="C52" s="16"/>
      <c r="D52" s="16"/>
      <c r="E52" s="16"/>
      <c r="F52" s="16"/>
      <c r="G52" s="16"/>
      <c r="H52" s="18"/>
    </row>
    <row r="53" ht="15.75" customHeight="1">
      <c r="A53" s="125" t="s">
        <v>370</v>
      </c>
      <c r="B53" s="96"/>
      <c r="C53" s="96"/>
      <c r="D53" s="96"/>
      <c r="E53" s="96"/>
      <c r="F53" s="96"/>
      <c r="G53" s="96"/>
      <c r="H53" s="97"/>
    </row>
    <row r="54" ht="15.75" customHeight="1">
      <c r="A54" s="129"/>
      <c r="H54" s="130"/>
    </row>
    <row r="55" ht="15.75" customHeight="1">
      <c r="A55" s="98"/>
      <c r="B55" s="99"/>
      <c r="C55" s="99"/>
      <c r="D55" s="99"/>
      <c r="E55" s="99"/>
      <c r="F55" s="99"/>
      <c r="G55" s="99"/>
      <c r="H55" s="100"/>
    </row>
    <row r="56" ht="15.75" customHeight="1"/>
    <row r="57" ht="15.75" customHeight="1">
      <c r="A57" s="39" t="s">
        <v>307</v>
      </c>
    </row>
    <row r="58">
      <c r="A58" s="42" t="s">
        <v>299</v>
      </c>
      <c r="B58" s="25"/>
      <c r="C58" s="16"/>
      <c r="D58" s="16"/>
      <c r="E58" s="16"/>
      <c r="F58" s="16"/>
      <c r="G58" s="16"/>
      <c r="H58" s="18"/>
    </row>
    <row r="59" ht="15.75" customHeight="1">
      <c r="A59" s="42" t="s">
        <v>10</v>
      </c>
      <c r="B59" s="25"/>
      <c r="C59" s="16"/>
      <c r="D59" s="16"/>
      <c r="E59" s="16"/>
      <c r="F59" s="16"/>
      <c r="G59" s="16"/>
      <c r="H59" s="18"/>
    </row>
    <row r="60" ht="15.75" customHeight="1">
      <c r="A60" s="42" t="s">
        <v>252</v>
      </c>
      <c r="B60" s="133"/>
      <c r="C60" s="16"/>
      <c r="D60" s="16"/>
      <c r="E60" s="16"/>
      <c r="F60" s="16"/>
      <c r="G60" s="16"/>
      <c r="H60" s="18"/>
    </row>
    <row r="61" ht="15.75" customHeight="1">
      <c r="A61" s="42" t="s">
        <v>31</v>
      </c>
      <c r="B61" s="133"/>
      <c r="C61" s="16"/>
      <c r="D61" s="16"/>
      <c r="E61" s="16"/>
      <c r="F61" s="16"/>
      <c r="G61" s="16"/>
      <c r="H61" s="18"/>
    </row>
    <row r="62" ht="15.75" customHeight="1">
      <c r="A62" s="132" t="s">
        <v>310</v>
      </c>
      <c r="B62" s="10"/>
      <c r="C62" s="10"/>
      <c r="D62" s="10"/>
      <c r="E62" s="10"/>
      <c r="F62" s="10"/>
      <c r="G62" s="10"/>
      <c r="H62" s="10"/>
    </row>
    <row r="63" ht="15.75" customHeight="1">
      <c r="A63" s="108" t="s">
        <v>304</v>
      </c>
      <c r="B63" s="16"/>
      <c r="C63" s="16"/>
      <c r="D63" s="16"/>
      <c r="E63" s="16"/>
      <c r="F63" s="16"/>
      <c r="G63" s="16"/>
      <c r="H63" s="18"/>
    </row>
    <row r="64" ht="15.75" customHeight="1">
      <c r="A64" s="134"/>
      <c r="B64" s="96"/>
      <c r="C64" s="96"/>
      <c r="D64" s="96"/>
      <c r="E64" s="96"/>
      <c r="F64" s="96"/>
      <c r="G64" s="96"/>
      <c r="H64" s="97"/>
    </row>
    <row r="65" ht="15.75" customHeight="1">
      <c r="A65" s="129"/>
      <c r="H65" s="130"/>
    </row>
    <row r="66" ht="15.75" customHeight="1">
      <c r="A66" s="98"/>
      <c r="B66" s="99"/>
      <c r="C66" s="99"/>
      <c r="D66" s="99"/>
      <c r="E66" s="99"/>
      <c r="F66" s="99"/>
      <c r="G66" s="99"/>
      <c r="H66" s="100"/>
    </row>
    <row r="67" ht="15.75" customHeight="1"/>
    <row r="68" ht="15.75" customHeight="1">
      <c r="A68" s="105" t="s">
        <v>313</v>
      </c>
      <c r="G68" s="55" t="s">
        <v>31</v>
      </c>
      <c r="H68" s="106">
        <f>B70</f>
        <v>10</v>
      </c>
    </row>
    <row r="69" ht="15.75" customHeight="1">
      <c r="G69" s="39" t="s">
        <v>314</v>
      </c>
    </row>
    <row r="70" ht="15.75" customHeight="1">
      <c r="A70" s="42" t="s">
        <v>31</v>
      </c>
      <c r="B70" s="127">
        <v>10.0</v>
      </c>
      <c r="C70" s="16"/>
      <c r="D70" s="16"/>
      <c r="E70" s="16"/>
      <c r="F70" s="16"/>
      <c r="G70" s="16"/>
      <c r="H70" s="18"/>
    </row>
    <row r="71" ht="15.75" customHeight="1">
      <c r="A71" s="120" t="s">
        <v>315</v>
      </c>
      <c r="B71" s="16"/>
      <c r="C71" s="16"/>
      <c r="D71" s="16"/>
      <c r="E71" s="16"/>
      <c r="F71" s="16"/>
      <c r="G71" s="16"/>
      <c r="H71" s="18"/>
    </row>
    <row r="72" ht="15.75" customHeight="1">
      <c r="A72" s="125" t="s">
        <v>320</v>
      </c>
      <c r="B72" s="96"/>
      <c r="C72" s="96"/>
      <c r="D72" s="96"/>
      <c r="E72" s="96"/>
      <c r="F72" s="96"/>
      <c r="G72" s="96"/>
      <c r="H72" s="97"/>
    </row>
    <row r="73" ht="15.75" customHeight="1">
      <c r="A73" s="98"/>
      <c r="B73" s="99"/>
      <c r="C73" s="99"/>
      <c r="D73" s="99"/>
      <c r="E73" s="99"/>
      <c r="F73" s="99"/>
      <c r="G73" s="99"/>
      <c r="H73" s="100"/>
    </row>
    <row r="74" ht="15.75" customHeight="1">
      <c r="A74" s="39"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44" t="s">
        <v>85</v>
      </c>
    </row>
    <row r="3" ht="15.75" customHeight="1"/>
    <row r="4" ht="15.75" customHeight="1">
      <c r="B4" s="12" t="s">
        <v>2</v>
      </c>
      <c r="C4" s="25" t="str">
        <f>'Diseño'!C4</f>
        <v/>
      </c>
      <c r="D4" s="16"/>
      <c r="E4" s="16"/>
      <c r="F4" s="16"/>
      <c r="G4" s="18"/>
    </row>
    <row r="5" ht="15.75" customHeight="1">
      <c r="B5" s="102" t="s">
        <v>21</v>
      </c>
      <c r="C5" s="25">
        <f>H9+H26+H43</f>
        <v>4</v>
      </c>
      <c r="D5" s="16"/>
      <c r="E5" s="16"/>
      <c r="F5" s="16"/>
      <c r="G5" s="18"/>
    </row>
    <row r="6" ht="15.75" customHeight="1">
      <c r="B6" s="102" t="s">
        <v>252</v>
      </c>
      <c r="C6" s="25">
        <f>F9+F26+F43</f>
        <v>0</v>
      </c>
      <c r="D6" s="16"/>
      <c r="E6" s="16"/>
      <c r="F6" s="16"/>
      <c r="G6" s="18"/>
    </row>
    <row r="7" ht="15.75" customHeight="1">
      <c r="B7" s="21" t="s">
        <v>360</v>
      </c>
    </row>
    <row r="8" ht="15.75" customHeight="1"/>
    <row r="9" ht="15.75" customHeight="1">
      <c r="A9" s="105" t="s">
        <v>361</v>
      </c>
      <c r="E9" s="55" t="s">
        <v>252</v>
      </c>
      <c r="F9" s="106"/>
      <c r="G9" s="55" t="s">
        <v>362</v>
      </c>
      <c r="H9" s="106"/>
    </row>
    <row r="10" ht="15.75" customHeight="1">
      <c r="A10" s="21" t="s">
        <v>289</v>
      </c>
    </row>
    <row r="11" ht="15.75" customHeight="1">
      <c r="A11" s="111" t="s">
        <v>266</v>
      </c>
      <c r="B11" s="25"/>
      <c r="C11" s="16"/>
      <c r="D11" s="16"/>
      <c r="E11" s="16"/>
      <c r="F11" s="16"/>
      <c r="G11" s="16"/>
      <c r="H11" s="18"/>
    </row>
    <row r="12" ht="15.75" customHeight="1">
      <c r="A12" s="111" t="s">
        <v>266</v>
      </c>
      <c r="B12" s="25"/>
      <c r="C12" s="16"/>
      <c r="D12" s="16"/>
      <c r="E12" s="16"/>
      <c r="F12" s="16"/>
      <c r="G12" s="16"/>
      <c r="H12" s="18"/>
    </row>
    <row r="13" ht="15.75" customHeight="1">
      <c r="A13" s="111" t="s">
        <v>266</v>
      </c>
      <c r="B13" s="25"/>
      <c r="C13" s="16"/>
      <c r="D13" s="16"/>
      <c r="E13" s="16"/>
      <c r="F13" s="16"/>
      <c r="G13" s="16"/>
      <c r="H13" s="18"/>
    </row>
    <row r="14" ht="15.75" customHeight="1">
      <c r="A14" s="111" t="s">
        <v>363</v>
      </c>
      <c r="B14" s="25"/>
      <c r="C14" s="16"/>
      <c r="D14" s="16"/>
      <c r="E14" s="16"/>
      <c r="F14" s="16"/>
      <c r="G14" s="16"/>
      <c r="H14" s="18"/>
    </row>
    <row r="15" ht="15.75" customHeight="1">
      <c r="A15" s="108" t="s">
        <v>365</v>
      </c>
      <c r="B15" s="16"/>
      <c r="C15" s="16"/>
      <c r="D15" s="16"/>
      <c r="E15" s="16"/>
      <c r="F15" s="16"/>
      <c r="G15" s="16"/>
      <c r="H15" s="18"/>
    </row>
    <row r="16" ht="15.75" customHeight="1">
      <c r="A16" s="134"/>
      <c r="B16" s="96"/>
      <c r="C16" s="96"/>
      <c r="D16" s="96"/>
      <c r="E16" s="96"/>
      <c r="F16" s="96"/>
      <c r="G16" s="96"/>
      <c r="H16" s="97"/>
    </row>
    <row r="17" ht="15.75" customHeight="1">
      <c r="A17" s="129"/>
      <c r="H17" s="130"/>
    </row>
    <row r="18" ht="15.75" customHeight="1">
      <c r="A18" s="98"/>
      <c r="B18" s="99"/>
      <c r="C18" s="99"/>
      <c r="D18" s="99"/>
      <c r="E18" s="99"/>
      <c r="F18" s="99"/>
      <c r="G18" s="99"/>
      <c r="H18" s="100"/>
    </row>
    <row r="19" ht="15.75" customHeight="1">
      <c r="A19" s="108" t="s">
        <v>366</v>
      </c>
      <c r="B19" s="16"/>
      <c r="C19" s="16"/>
      <c r="D19" s="16"/>
      <c r="E19" s="16"/>
      <c r="F19" s="16"/>
      <c r="G19" s="16"/>
      <c r="H19" s="18"/>
    </row>
    <row r="20" ht="15.75" customHeight="1">
      <c r="A20" s="134"/>
      <c r="B20" s="96"/>
      <c r="C20" s="96"/>
      <c r="D20" s="96"/>
      <c r="E20" s="96"/>
      <c r="F20" s="96"/>
      <c r="G20" s="96"/>
      <c r="H20" s="97"/>
    </row>
    <row r="21" ht="15.75" customHeight="1">
      <c r="A21" s="129"/>
      <c r="H21" s="130"/>
    </row>
    <row r="22" ht="15.75" customHeight="1">
      <c r="A22" s="129"/>
      <c r="H22" s="130"/>
    </row>
    <row r="23" ht="15.75" customHeight="1">
      <c r="A23" s="98"/>
      <c r="B23" s="99"/>
      <c r="C23" s="99"/>
      <c r="D23" s="99"/>
      <c r="E23" s="99"/>
      <c r="F23" s="99"/>
      <c r="G23" s="99"/>
      <c r="H23" s="100"/>
    </row>
    <row r="24" ht="15.75" customHeight="1"/>
    <row r="25" ht="15.75" customHeight="1"/>
    <row r="26" ht="15.75" customHeight="1">
      <c r="A26" s="105" t="s">
        <v>367</v>
      </c>
      <c r="E26" s="55" t="s">
        <v>252</v>
      </c>
      <c r="F26" s="109"/>
      <c r="G26" s="55" t="s">
        <v>362</v>
      </c>
      <c r="H26" s="109">
        <v>4.0</v>
      </c>
    </row>
    <row r="27" ht="15.75" customHeight="1">
      <c r="A27" s="21" t="s">
        <v>289</v>
      </c>
    </row>
    <row r="28" ht="15.75" customHeight="1">
      <c r="A28" s="111" t="s">
        <v>266</v>
      </c>
      <c r="B28" s="29"/>
      <c r="C28" s="16"/>
      <c r="D28" s="16"/>
      <c r="E28" s="16"/>
      <c r="F28" s="16"/>
      <c r="G28" s="16"/>
      <c r="H28" s="18"/>
    </row>
    <row r="29" ht="15.75" customHeight="1">
      <c r="A29" s="111" t="s">
        <v>266</v>
      </c>
      <c r="B29" s="29"/>
      <c r="C29" s="16"/>
      <c r="D29" s="16"/>
      <c r="E29" s="16"/>
      <c r="F29" s="16"/>
      <c r="G29" s="16"/>
      <c r="H29" s="18"/>
    </row>
    <row r="30" ht="15.75" customHeight="1">
      <c r="A30" s="111" t="s">
        <v>266</v>
      </c>
      <c r="B30" s="25"/>
      <c r="C30" s="16"/>
      <c r="D30" s="16"/>
      <c r="E30" s="16"/>
      <c r="F30" s="16"/>
      <c r="G30" s="16"/>
      <c r="H30" s="18"/>
    </row>
    <row r="31" ht="15.75" customHeight="1">
      <c r="A31" s="111" t="s">
        <v>363</v>
      </c>
      <c r="B31" s="29"/>
      <c r="C31" s="16"/>
      <c r="D31" s="16"/>
      <c r="E31" s="16"/>
      <c r="F31" s="16"/>
      <c r="G31" s="16"/>
      <c r="H31" s="18"/>
    </row>
    <row r="32" ht="15.75" customHeight="1">
      <c r="A32" s="108" t="s">
        <v>365</v>
      </c>
      <c r="B32" s="16"/>
      <c r="C32" s="16"/>
      <c r="D32" s="16"/>
      <c r="E32" s="16"/>
      <c r="F32" s="16"/>
      <c r="G32" s="16"/>
      <c r="H32" s="18"/>
    </row>
    <row r="33" ht="15.75" customHeight="1">
      <c r="A33" s="125"/>
      <c r="B33" s="96"/>
      <c r="C33" s="96"/>
      <c r="D33" s="96"/>
      <c r="E33" s="96"/>
      <c r="F33" s="96"/>
      <c r="G33" s="96"/>
      <c r="H33" s="97"/>
    </row>
    <row r="34" ht="15.75" customHeight="1">
      <c r="A34" s="129"/>
      <c r="H34" s="130"/>
    </row>
    <row r="35" ht="15.75" customHeight="1">
      <c r="A35" s="98"/>
      <c r="B35" s="99"/>
      <c r="C35" s="99"/>
      <c r="D35" s="99"/>
      <c r="E35" s="99"/>
      <c r="F35" s="99"/>
      <c r="G35" s="99"/>
      <c r="H35" s="100"/>
    </row>
    <row r="36" ht="15.75" customHeight="1">
      <c r="A36" s="108" t="s">
        <v>366</v>
      </c>
      <c r="B36" s="16"/>
      <c r="C36" s="16"/>
      <c r="D36" s="16"/>
      <c r="E36" s="16"/>
      <c r="F36" s="16"/>
      <c r="G36" s="16"/>
      <c r="H36" s="18"/>
    </row>
    <row r="37" ht="15.75" customHeight="1">
      <c r="A37" s="125"/>
      <c r="B37" s="96"/>
      <c r="C37" s="96"/>
      <c r="D37" s="96"/>
      <c r="E37" s="96"/>
      <c r="F37" s="96"/>
      <c r="G37" s="96"/>
      <c r="H37" s="97"/>
    </row>
    <row r="38" ht="15.75" customHeight="1">
      <c r="A38" s="129"/>
      <c r="H38" s="130"/>
    </row>
    <row r="39" ht="15.75" customHeight="1">
      <c r="A39" s="129"/>
      <c r="H39" s="130"/>
    </row>
    <row r="40" ht="15.75" customHeight="1">
      <c r="A40" s="98"/>
      <c r="B40" s="99"/>
      <c r="C40" s="99"/>
      <c r="D40" s="99"/>
      <c r="E40" s="99"/>
      <c r="F40" s="99"/>
      <c r="G40" s="99"/>
      <c r="H40" s="100"/>
    </row>
    <row r="41" ht="15.75" customHeight="1"/>
    <row r="42" ht="15.75" customHeight="1"/>
    <row r="43" ht="15.75" customHeight="1">
      <c r="A43" s="105" t="s">
        <v>368</v>
      </c>
      <c r="E43" s="55" t="s">
        <v>252</v>
      </c>
      <c r="F43" s="106"/>
      <c r="G43" s="55" t="s">
        <v>362</v>
      </c>
      <c r="H43" s="106"/>
    </row>
    <row r="44" ht="15.75" customHeight="1">
      <c r="A44" s="128" t="s">
        <v>369</v>
      </c>
    </row>
    <row r="45" ht="15.75" customHeight="1">
      <c r="A45" s="111" t="s">
        <v>266</v>
      </c>
      <c r="B45" s="25"/>
      <c r="C45" s="16"/>
      <c r="D45" s="16"/>
      <c r="E45" s="16"/>
      <c r="F45" s="16"/>
      <c r="G45" s="16"/>
      <c r="H45" s="18"/>
    </row>
    <row r="46" ht="15.75" customHeight="1">
      <c r="A46" s="111" t="s">
        <v>266</v>
      </c>
      <c r="B46" s="25"/>
      <c r="C46" s="16"/>
      <c r="D46" s="16"/>
      <c r="E46" s="16"/>
      <c r="F46" s="16"/>
      <c r="G46" s="16"/>
      <c r="H46" s="18"/>
    </row>
    <row r="47" ht="15.75" customHeight="1">
      <c r="A47" s="111" t="s">
        <v>266</v>
      </c>
      <c r="B47" s="25"/>
      <c r="C47" s="16"/>
      <c r="D47" s="16"/>
      <c r="E47" s="16"/>
      <c r="F47" s="16"/>
      <c r="G47" s="16"/>
      <c r="H47" s="18"/>
    </row>
    <row r="48" ht="15.75" customHeight="1">
      <c r="A48" s="111" t="s">
        <v>363</v>
      </c>
      <c r="B48" s="25"/>
      <c r="C48" s="16"/>
      <c r="D48" s="16"/>
      <c r="E48" s="16"/>
      <c r="F48" s="16"/>
      <c r="G48" s="16"/>
      <c r="H48" s="18"/>
    </row>
    <row r="49" ht="15.75" customHeight="1">
      <c r="A49" s="108" t="s">
        <v>365</v>
      </c>
      <c r="B49" s="16"/>
      <c r="C49" s="16"/>
      <c r="D49" s="16"/>
      <c r="E49" s="16"/>
      <c r="F49" s="16"/>
      <c r="G49" s="16"/>
      <c r="H49" s="18"/>
    </row>
    <row r="50" ht="15.75" customHeight="1">
      <c r="A50" s="134"/>
      <c r="B50" s="96"/>
      <c r="C50" s="96"/>
      <c r="D50" s="96"/>
      <c r="E50" s="96"/>
      <c r="F50" s="96"/>
      <c r="G50" s="96"/>
      <c r="H50" s="97"/>
    </row>
    <row r="51" ht="15.75" customHeight="1">
      <c r="A51" s="129"/>
      <c r="H51" s="130"/>
    </row>
    <row r="52" ht="15.75" customHeight="1">
      <c r="A52" s="98"/>
      <c r="B52" s="99"/>
      <c r="C52" s="99"/>
      <c r="D52" s="99"/>
      <c r="E52" s="99"/>
      <c r="F52" s="99"/>
      <c r="G52" s="99"/>
      <c r="H52" s="100"/>
    </row>
    <row r="53" ht="15.75" customHeight="1">
      <c r="A53" s="108" t="s">
        <v>366</v>
      </c>
      <c r="B53" s="16"/>
      <c r="C53" s="16"/>
      <c r="D53" s="16"/>
      <c r="E53" s="16"/>
      <c r="F53" s="16"/>
      <c r="G53" s="16"/>
      <c r="H53" s="18"/>
    </row>
    <row r="54" ht="15.75" customHeight="1">
      <c r="A54" s="134"/>
      <c r="B54" s="96"/>
      <c r="C54" s="96"/>
      <c r="D54" s="96"/>
      <c r="E54" s="96"/>
      <c r="F54" s="96"/>
      <c r="G54" s="96"/>
      <c r="H54" s="97"/>
    </row>
    <row r="55" ht="15.75" customHeight="1">
      <c r="A55" s="129"/>
      <c r="H55" s="130"/>
    </row>
    <row r="56" ht="15.75" customHeight="1">
      <c r="A56" s="129"/>
      <c r="H56" s="130"/>
    </row>
    <row r="57" ht="15.75" customHeight="1">
      <c r="A57" s="98"/>
      <c r="B57" s="99"/>
      <c r="C57" s="99"/>
      <c r="D57" s="99"/>
      <c r="E57" s="99"/>
      <c r="F57" s="99"/>
      <c r="G57" s="99"/>
      <c r="H57" s="100"/>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11:B13 B28:B30 B45:B47">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44" t="s">
        <v>371</v>
      </c>
    </row>
    <row r="3" ht="15.75" customHeight="1"/>
    <row r="4" ht="15.75" customHeight="1">
      <c r="B4" s="12" t="s">
        <v>2</v>
      </c>
      <c r="C4" s="25" t="str">
        <f>'Diseño'!C4</f>
        <v/>
      </c>
      <c r="D4" s="16"/>
      <c r="E4" s="16"/>
      <c r="F4" s="16"/>
      <c r="G4" s="18"/>
    </row>
    <row r="5" ht="15.75" customHeight="1">
      <c r="B5" s="102" t="s">
        <v>21</v>
      </c>
      <c r="C5" s="25">
        <f>H9+H26+H43+H60+H77+H94+H111</f>
        <v>10</v>
      </c>
      <c r="D5" s="16"/>
      <c r="E5" s="16"/>
      <c r="F5" s="16"/>
      <c r="G5" s="18"/>
    </row>
    <row r="6" ht="15.75" customHeight="1">
      <c r="B6" s="102" t="s">
        <v>252</v>
      </c>
      <c r="C6" s="25">
        <f>F9+F26+F43+F60+F77+F94+F111</f>
        <v>16</v>
      </c>
      <c r="D6" s="16"/>
      <c r="E6" s="16"/>
      <c r="F6" s="16"/>
      <c r="G6" s="18"/>
    </row>
    <row r="7" ht="15.75" customHeight="1">
      <c r="B7" s="21" t="s">
        <v>372</v>
      </c>
    </row>
    <row r="8" ht="15.75" customHeight="1"/>
    <row r="9" ht="15.75" customHeight="1">
      <c r="A9" s="105" t="s">
        <v>373</v>
      </c>
      <c r="E9" s="55" t="s">
        <v>252</v>
      </c>
      <c r="F9" s="109">
        <v>6.0</v>
      </c>
      <c r="G9" s="55" t="s">
        <v>362</v>
      </c>
      <c r="H9" s="109">
        <v>6.0</v>
      </c>
    </row>
    <row r="10" ht="15.75" customHeight="1">
      <c r="A10" s="21" t="s">
        <v>374</v>
      </c>
    </row>
    <row r="11" ht="15.75" customHeight="1">
      <c r="A11" s="111" t="s">
        <v>266</v>
      </c>
      <c r="B11" s="29" t="s">
        <v>375</v>
      </c>
      <c r="C11" s="16"/>
      <c r="D11" s="16"/>
      <c r="E11" s="16"/>
      <c r="F11" s="16"/>
      <c r="G11" s="16"/>
      <c r="H11" s="18"/>
    </row>
    <row r="12" ht="15.75" customHeight="1">
      <c r="A12" s="111" t="s">
        <v>266</v>
      </c>
      <c r="B12" s="29" t="s">
        <v>376</v>
      </c>
      <c r="C12" s="16"/>
      <c r="D12" s="16"/>
      <c r="E12" s="16"/>
      <c r="F12" s="16"/>
      <c r="G12" s="16"/>
      <c r="H12" s="18"/>
    </row>
    <row r="13" ht="15.75" customHeight="1">
      <c r="A13" s="111" t="s">
        <v>266</v>
      </c>
      <c r="B13" s="25"/>
      <c r="C13" s="16"/>
      <c r="D13" s="16"/>
      <c r="E13" s="16"/>
      <c r="F13" s="16"/>
      <c r="G13" s="16"/>
      <c r="H13" s="18"/>
    </row>
    <row r="14" ht="15.75" customHeight="1">
      <c r="A14" s="111" t="s">
        <v>363</v>
      </c>
      <c r="B14" s="29" t="s">
        <v>377</v>
      </c>
      <c r="C14" s="16"/>
      <c r="D14" s="16"/>
      <c r="E14" s="16"/>
      <c r="F14" s="16"/>
      <c r="G14" s="16"/>
      <c r="H14" s="18"/>
    </row>
    <row r="15" ht="15.75" customHeight="1">
      <c r="A15" s="108" t="s">
        <v>365</v>
      </c>
      <c r="B15" s="16"/>
      <c r="C15" s="16"/>
      <c r="D15" s="16"/>
      <c r="E15" s="16"/>
      <c r="F15" s="16"/>
      <c r="G15" s="16"/>
      <c r="H15" s="18"/>
    </row>
    <row r="16" ht="15.75" customHeight="1">
      <c r="A16" s="125" t="s">
        <v>378</v>
      </c>
      <c r="B16" s="96"/>
      <c r="C16" s="96"/>
      <c r="D16" s="96"/>
      <c r="E16" s="96"/>
      <c r="F16" s="96"/>
      <c r="G16" s="96"/>
      <c r="H16" s="97"/>
    </row>
    <row r="17" ht="15.75" customHeight="1">
      <c r="A17" s="129"/>
      <c r="H17" s="130"/>
    </row>
    <row r="18" ht="15.75" customHeight="1">
      <c r="A18" s="98"/>
      <c r="B18" s="99"/>
      <c r="C18" s="99"/>
      <c r="D18" s="99"/>
      <c r="E18" s="99"/>
      <c r="F18" s="99"/>
      <c r="G18" s="99"/>
      <c r="H18" s="100"/>
    </row>
    <row r="19" ht="15.75" customHeight="1">
      <c r="A19" s="108" t="s">
        <v>366</v>
      </c>
      <c r="B19" s="16"/>
      <c r="C19" s="16"/>
      <c r="D19" s="16"/>
      <c r="E19" s="16"/>
      <c r="F19" s="16"/>
      <c r="G19" s="16"/>
      <c r="H19" s="18"/>
    </row>
    <row r="20" ht="15.75" customHeight="1">
      <c r="A20" s="125" t="s">
        <v>379</v>
      </c>
      <c r="B20" s="96"/>
      <c r="C20" s="96"/>
      <c r="D20" s="96"/>
      <c r="E20" s="96"/>
      <c r="F20" s="96"/>
      <c r="G20" s="96"/>
      <c r="H20" s="97"/>
    </row>
    <row r="21" ht="15.75" customHeight="1">
      <c r="A21" s="129"/>
      <c r="H21" s="130"/>
    </row>
    <row r="22" ht="15.75" customHeight="1">
      <c r="A22" s="129"/>
      <c r="H22" s="130"/>
    </row>
    <row r="23" ht="15.75" customHeight="1">
      <c r="A23" s="98"/>
      <c r="B23" s="99"/>
      <c r="C23" s="99"/>
      <c r="D23" s="99"/>
      <c r="E23" s="99"/>
      <c r="F23" s="99"/>
      <c r="G23" s="99"/>
      <c r="H23" s="100"/>
    </row>
    <row r="24" ht="15.75" customHeight="1"/>
    <row r="25" ht="15.75" customHeight="1"/>
    <row r="26" ht="15.75" customHeight="1">
      <c r="A26" s="105" t="s">
        <v>380</v>
      </c>
      <c r="E26" s="55" t="s">
        <v>252</v>
      </c>
      <c r="F26" s="109">
        <v>10.0</v>
      </c>
      <c r="G26" s="55" t="s">
        <v>362</v>
      </c>
      <c r="H26" s="109">
        <v>4.0</v>
      </c>
    </row>
    <row r="27" ht="15.75" customHeight="1">
      <c r="A27" s="128" t="s">
        <v>369</v>
      </c>
    </row>
    <row r="28" ht="15.75" customHeight="1">
      <c r="A28" s="111" t="s">
        <v>266</v>
      </c>
      <c r="B28" s="29" t="s">
        <v>376</v>
      </c>
      <c r="C28" s="16"/>
      <c r="D28" s="16"/>
      <c r="E28" s="16"/>
      <c r="F28" s="16"/>
      <c r="G28" s="16"/>
      <c r="H28" s="18"/>
    </row>
    <row r="29" ht="15.75" customHeight="1">
      <c r="A29" s="111" t="s">
        <v>266</v>
      </c>
      <c r="B29" s="29" t="s">
        <v>383</v>
      </c>
      <c r="C29" s="16"/>
      <c r="D29" s="16"/>
      <c r="E29" s="16"/>
      <c r="F29" s="16"/>
      <c r="G29" s="16"/>
      <c r="H29" s="18"/>
    </row>
    <row r="30" ht="15.75" customHeight="1">
      <c r="A30" s="111" t="s">
        <v>266</v>
      </c>
      <c r="B30" s="25"/>
      <c r="C30" s="16"/>
      <c r="D30" s="16"/>
      <c r="E30" s="16"/>
      <c r="F30" s="16"/>
      <c r="G30" s="16"/>
      <c r="H30" s="18"/>
    </row>
    <row r="31" ht="15.75" customHeight="1">
      <c r="A31" s="111" t="s">
        <v>363</v>
      </c>
      <c r="B31" s="29" t="s">
        <v>387</v>
      </c>
      <c r="C31" s="16"/>
      <c r="D31" s="16"/>
      <c r="E31" s="16"/>
      <c r="F31" s="16"/>
      <c r="G31" s="16"/>
      <c r="H31" s="18"/>
    </row>
    <row r="32" ht="15.75" customHeight="1">
      <c r="A32" s="108" t="s">
        <v>365</v>
      </c>
      <c r="B32" s="16"/>
      <c r="C32" s="16"/>
      <c r="D32" s="16"/>
      <c r="E32" s="16"/>
      <c r="F32" s="16"/>
      <c r="G32" s="16"/>
      <c r="H32" s="18"/>
    </row>
    <row r="33" ht="15.75" customHeight="1">
      <c r="A33" s="125" t="s">
        <v>393</v>
      </c>
      <c r="B33" s="96"/>
      <c r="C33" s="96"/>
      <c r="D33" s="96"/>
      <c r="E33" s="96"/>
      <c r="F33" s="96"/>
      <c r="G33" s="96"/>
      <c r="H33" s="97"/>
    </row>
    <row r="34" ht="15.75" customHeight="1">
      <c r="A34" s="129"/>
      <c r="H34" s="130"/>
    </row>
    <row r="35" ht="15.75" customHeight="1">
      <c r="A35" s="98"/>
      <c r="B35" s="99"/>
      <c r="C35" s="99"/>
      <c r="D35" s="99"/>
      <c r="E35" s="99"/>
      <c r="F35" s="99"/>
      <c r="G35" s="99"/>
      <c r="H35" s="100"/>
    </row>
    <row r="36" ht="15.75" customHeight="1">
      <c r="A36" s="108" t="s">
        <v>366</v>
      </c>
      <c r="B36" s="16"/>
      <c r="C36" s="16"/>
      <c r="D36" s="16"/>
      <c r="E36" s="16"/>
      <c r="F36" s="16"/>
      <c r="G36" s="16"/>
      <c r="H36" s="18"/>
    </row>
    <row r="37" ht="15.75" customHeight="1">
      <c r="A37" s="125" t="s">
        <v>399</v>
      </c>
      <c r="B37" s="96"/>
      <c r="C37" s="96"/>
      <c r="D37" s="96"/>
      <c r="E37" s="96"/>
      <c r="F37" s="96"/>
      <c r="G37" s="96"/>
      <c r="H37" s="97"/>
    </row>
    <row r="38" ht="15.75" customHeight="1">
      <c r="A38" s="129"/>
      <c r="H38" s="130"/>
    </row>
    <row r="39" ht="15.75" customHeight="1">
      <c r="A39" s="129"/>
      <c r="H39" s="130"/>
    </row>
    <row r="40" ht="15.75" customHeight="1">
      <c r="A40" s="98"/>
      <c r="B40" s="99"/>
      <c r="C40" s="99"/>
      <c r="D40" s="99"/>
      <c r="E40" s="99"/>
      <c r="F40" s="99"/>
      <c r="G40" s="99"/>
      <c r="H40" s="100"/>
    </row>
    <row r="41" ht="15.75" customHeight="1"/>
    <row r="42" ht="15.75" customHeight="1"/>
    <row r="43" ht="15.75" customHeight="1">
      <c r="A43" s="105" t="s">
        <v>407</v>
      </c>
      <c r="E43" s="55" t="s">
        <v>252</v>
      </c>
      <c r="F43" s="106"/>
      <c r="G43" s="55" t="s">
        <v>362</v>
      </c>
      <c r="H43" s="106"/>
    </row>
    <row r="44" ht="15.75" customHeight="1">
      <c r="A44" s="128" t="s">
        <v>369</v>
      </c>
    </row>
    <row r="45" ht="15.75" customHeight="1">
      <c r="A45" s="111" t="s">
        <v>266</v>
      </c>
      <c r="B45" s="25"/>
      <c r="C45" s="16"/>
      <c r="D45" s="16"/>
      <c r="E45" s="16"/>
      <c r="F45" s="16"/>
      <c r="G45" s="16"/>
      <c r="H45" s="18"/>
    </row>
    <row r="46" ht="15.75" customHeight="1">
      <c r="A46" s="111" t="s">
        <v>266</v>
      </c>
      <c r="B46" s="25"/>
      <c r="C46" s="16"/>
      <c r="D46" s="16"/>
      <c r="E46" s="16"/>
      <c r="F46" s="16"/>
      <c r="G46" s="16"/>
      <c r="H46" s="18"/>
    </row>
    <row r="47" ht="15.75" customHeight="1">
      <c r="A47" s="111" t="s">
        <v>266</v>
      </c>
      <c r="B47" s="25"/>
      <c r="C47" s="16"/>
      <c r="D47" s="16"/>
      <c r="E47" s="16"/>
      <c r="F47" s="16"/>
      <c r="G47" s="16"/>
      <c r="H47" s="18"/>
    </row>
    <row r="48" ht="15.75" customHeight="1">
      <c r="A48" s="111" t="s">
        <v>363</v>
      </c>
      <c r="B48" s="25"/>
      <c r="C48" s="16"/>
      <c r="D48" s="16"/>
      <c r="E48" s="16"/>
      <c r="F48" s="16"/>
      <c r="G48" s="16"/>
      <c r="H48" s="18"/>
    </row>
    <row r="49" ht="15.75" customHeight="1">
      <c r="A49" s="108" t="s">
        <v>365</v>
      </c>
      <c r="B49" s="16"/>
      <c r="C49" s="16"/>
      <c r="D49" s="16"/>
      <c r="E49" s="16"/>
      <c r="F49" s="16"/>
      <c r="G49" s="16"/>
      <c r="H49" s="18"/>
    </row>
    <row r="50" ht="15.75" customHeight="1">
      <c r="A50" s="134"/>
      <c r="B50" s="96"/>
      <c r="C50" s="96"/>
      <c r="D50" s="96"/>
      <c r="E50" s="96"/>
      <c r="F50" s="96"/>
      <c r="G50" s="96"/>
      <c r="H50" s="97"/>
    </row>
    <row r="51" ht="15.75" customHeight="1">
      <c r="A51" s="129"/>
      <c r="H51" s="130"/>
    </row>
    <row r="52" ht="15.75" customHeight="1">
      <c r="A52" s="98"/>
      <c r="B52" s="99"/>
      <c r="C52" s="99"/>
      <c r="D52" s="99"/>
      <c r="E52" s="99"/>
      <c r="F52" s="99"/>
      <c r="G52" s="99"/>
      <c r="H52" s="100"/>
    </row>
    <row r="53" ht="15.75" customHeight="1">
      <c r="A53" s="108" t="s">
        <v>366</v>
      </c>
      <c r="B53" s="16"/>
      <c r="C53" s="16"/>
      <c r="D53" s="16"/>
      <c r="E53" s="16"/>
      <c r="F53" s="16"/>
      <c r="G53" s="16"/>
      <c r="H53" s="18"/>
    </row>
    <row r="54" ht="15.75" customHeight="1">
      <c r="A54" s="134"/>
      <c r="B54" s="96"/>
      <c r="C54" s="96"/>
      <c r="D54" s="96"/>
      <c r="E54" s="96"/>
      <c r="F54" s="96"/>
      <c r="G54" s="96"/>
      <c r="H54" s="97"/>
    </row>
    <row r="55" ht="15.75" customHeight="1">
      <c r="A55" s="129"/>
      <c r="H55" s="130"/>
    </row>
    <row r="56" ht="15.75" customHeight="1">
      <c r="A56" s="129"/>
      <c r="H56" s="130"/>
    </row>
    <row r="57" ht="15.75" customHeight="1">
      <c r="A57" s="98"/>
      <c r="B57" s="99"/>
      <c r="C57" s="99"/>
      <c r="D57" s="99"/>
      <c r="E57" s="99"/>
      <c r="F57" s="99"/>
      <c r="G57" s="99"/>
      <c r="H57" s="100"/>
    </row>
    <row r="58" ht="15.75" customHeight="1"/>
    <row r="59" ht="15.75" customHeight="1"/>
    <row r="60" ht="15.75" customHeight="1">
      <c r="A60" s="105" t="s">
        <v>454</v>
      </c>
      <c r="E60" s="55" t="s">
        <v>252</v>
      </c>
      <c r="F60" s="106"/>
      <c r="G60" s="55" t="s">
        <v>362</v>
      </c>
      <c r="H60" s="106"/>
    </row>
    <row r="61" ht="15.75" customHeight="1">
      <c r="A61" s="128" t="s">
        <v>369</v>
      </c>
    </row>
    <row r="62" ht="15.75" customHeight="1">
      <c r="A62" s="111" t="s">
        <v>266</v>
      </c>
      <c r="B62" s="25"/>
      <c r="C62" s="16"/>
      <c r="D62" s="16"/>
      <c r="E62" s="16"/>
      <c r="F62" s="16"/>
      <c r="G62" s="16"/>
      <c r="H62" s="18"/>
    </row>
    <row r="63" ht="15.75" customHeight="1">
      <c r="A63" s="111" t="s">
        <v>266</v>
      </c>
      <c r="B63" s="25"/>
      <c r="C63" s="16"/>
      <c r="D63" s="16"/>
      <c r="E63" s="16"/>
      <c r="F63" s="16"/>
      <c r="G63" s="16"/>
      <c r="H63" s="18"/>
    </row>
    <row r="64" ht="15.75" customHeight="1">
      <c r="A64" s="111" t="s">
        <v>266</v>
      </c>
      <c r="B64" s="25"/>
      <c r="C64" s="16"/>
      <c r="D64" s="16"/>
      <c r="E64" s="16"/>
      <c r="F64" s="16"/>
      <c r="G64" s="16"/>
      <c r="H64" s="18"/>
    </row>
    <row r="65" ht="15.75" customHeight="1">
      <c r="A65" s="111" t="s">
        <v>363</v>
      </c>
      <c r="B65" s="25"/>
      <c r="C65" s="16"/>
      <c r="D65" s="16"/>
      <c r="E65" s="16"/>
      <c r="F65" s="16"/>
      <c r="G65" s="16"/>
      <c r="H65" s="18"/>
    </row>
    <row r="66" ht="15.75" customHeight="1">
      <c r="A66" s="108" t="s">
        <v>365</v>
      </c>
      <c r="B66" s="16"/>
      <c r="C66" s="16"/>
      <c r="D66" s="16"/>
      <c r="E66" s="16"/>
      <c r="F66" s="16"/>
      <c r="G66" s="16"/>
      <c r="H66" s="18"/>
    </row>
    <row r="67" ht="15.75" customHeight="1">
      <c r="A67" s="134"/>
      <c r="B67" s="96"/>
      <c r="C67" s="96"/>
      <c r="D67" s="96"/>
      <c r="E67" s="96"/>
      <c r="F67" s="96"/>
      <c r="G67" s="96"/>
      <c r="H67" s="97"/>
    </row>
    <row r="68" ht="15.75" customHeight="1">
      <c r="A68" s="129"/>
      <c r="H68" s="130"/>
    </row>
    <row r="69" ht="15.75" customHeight="1">
      <c r="A69" s="98"/>
      <c r="B69" s="99"/>
      <c r="C69" s="99"/>
      <c r="D69" s="99"/>
      <c r="E69" s="99"/>
      <c r="F69" s="99"/>
      <c r="G69" s="99"/>
      <c r="H69" s="100"/>
    </row>
    <row r="70" ht="15.75" customHeight="1">
      <c r="A70" s="108" t="s">
        <v>366</v>
      </c>
      <c r="B70" s="16"/>
      <c r="C70" s="16"/>
      <c r="D70" s="16"/>
      <c r="E70" s="16"/>
      <c r="F70" s="16"/>
      <c r="G70" s="16"/>
      <c r="H70" s="18"/>
    </row>
    <row r="71" ht="15.75" customHeight="1">
      <c r="A71" s="134"/>
      <c r="B71" s="96"/>
      <c r="C71" s="96"/>
      <c r="D71" s="96"/>
      <c r="E71" s="96"/>
      <c r="F71" s="96"/>
      <c r="G71" s="96"/>
      <c r="H71" s="97"/>
    </row>
    <row r="72" ht="15.75" customHeight="1">
      <c r="A72" s="129"/>
      <c r="H72" s="130"/>
    </row>
    <row r="73" ht="15.75" customHeight="1">
      <c r="A73" s="129"/>
      <c r="H73" s="130"/>
    </row>
    <row r="74" ht="15.75" customHeight="1">
      <c r="A74" s="98"/>
      <c r="B74" s="99"/>
      <c r="C74" s="99"/>
      <c r="D74" s="99"/>
      <c r="E74" s="99"/>
      <c r="F74" s="99"/>
      <c r="G74" s="99"/>
      <c r="H74" s="100"/>
    </row>
    <row r="75" ht="15.75" customHeight="1"/>
    <row r="76" ht="15.75" customHeight="1"/>
    <row r="77" ht="15.75" customHeight="1">
      <c r="A77" s="105" t="s">
        <v>487</v>
      </c>
      <c r="E77" s="55" t="s">
        <v>252</v>
      </c>
      <c r="F77" s="106"/>
      <c r="G77" s="55" t="s">
        <v>362</v>
      </c>
      <c r="H77" s="106"/>
    </row>
    <row r="78" ht="15.75" customHeight="1">
      <c r="A78" s="128" t="s">
        <v>369</v>
      </c>
    </row>
    <row r="79" ht="15.75" customHeight="1">
      <c r="A79" s="111" t="s">
        <v>266</v>
      </c>
      <c r="B79" s="25"/>
      <c r="C79" s="16"/>
      <c r="D79" s="16"/>
      <c r="E79" s="16"/>
      <c r="F79" s="16"/>
      <c r="G79" s="16"/>
      <c r="H79" s="18"/>
    </row>
    <row r="80" ht="15.75" customHeight="1">
      <c r="A80" s="111" t="s">
        <v>266</v>
      </c>
      <c r="B80" s="25"/>
      <c r="C80" s="16"/>
      <c r="D80" s="16"/>
      <c r="E80" s="16"/>
      <c r="F80" s="16"/>
      <c r="G80" s="16"/>
      <c r="H80" s="18"/>
    </row>
    <row r="81" ht="15.75" customHeight="1">
      <c r="A81" s="111" t="s">
        <v>266</v>
      </c>
      <c r="B81" s="25"/>
      <c r="C81" s="16"/>
      <c r="D81" s="16"/>
      <c r="E81" s="16"/>
      <c r="F81" s="16"/>
      <c r="G81" s="16"/>
      <c r="H81" s="18"/>
    </row>
    <row r="82" ht="15.75" customHeight="1">
      <c r="A82" s="111" t="s">
        <v>363</v>
      </c>
      <c r="B82" s="25"/>
      <c r="C82" s="16"/>
      <c r="D82" s="16"/>
      <c r="E82" s="16"/>
      <c r="F82" s="16"/>
      <c r="G82" s="16"/>
      <c r="H82" s="18"/>
    </row>
    <row r="83" ht="15.75" customHeight="1">
      <c r="A83" s="108" t="s">
        <v>365</v>
      </c>
      <c r="B83" s="16"/>
      <c r="C83" s="16"/>
      <c r="D83" s="16"/>
      <c r="E83" s="16"/>
      <c r="F83" s="16"/>
      <c r="G83" s="16"/>
      <c r="H83" s="18"/>
    </row>
    <row r="84" ht="15.75" customHeight="1">
      <c r="A84" s="134"/>
      <c r="B84" s="96"/>
      <c r="C84" s="96"/>
      <c r="D84" s="96"/>
      <c r="E84" s="96"/>
      <c r="F84" s="96"/>
      <c r="G84" s="96"/>
      <c r="H84" s="97"/>
    </row>
    <row r="85" ht="15.75" customHeight="1">
      <c r="A85" s="129"/>
      <c r="H85" s="130"/>
    </row>
    <row r="86" ht="15.75" customHeight="1">
      <c r="A86" s="98"/>
      <c r="B86" s="99"/>
      <c r="C86" s="99"/>
      <c r="D86" s="99"/>
      <c r="E86" s="99"/>
      <c r="F86" s="99"/>
      <c r="G86" s="99"/>
      <c r="H86" s="100"/>
    </row>
    <row r="87" ht="15.75" customHeight="1">
      <c r="A87" s="108" t="s">
        <v>366</v>
      </c>
      <c r="B87" s="16"/>
      <c r="C87" s="16"/>
      <c r="D87" s="16"/>
      <c r="E87" s="16"/>
      <c r="F87" s="16"/>
      <c r="G87" s="16"/>
      <c r="H87" s="18"/>
    </row>
    <row r="88" ht="15.75" customHeight="1">
      <c r="A88" s="134"/>
      <c r="B88" s="96"/>
      <c r="C88" s="96"/>
      <c r="D88" s="96"/>
      <c r="E88" s="96"/>
      <c r="F88" s="96"/>
      <c r="G88" s="96"/>
      <c r="H88" s="97"/>
    </row>
    <row r="89" ht="15.75" customHeight="1">
      <c r="A89" s="129"/>
      <c r="H89" s="130"/>
    </row>
    <row r="90" ht="15.75" customHeight="1">
      <c r="A90" s="129"/>
      <c r="H90" s="130"/>
    </row>
    <row r="91" ht="15.75" customHeight="1">
      <c r="A91" s="98"/>
      <c r="B91" s="99"/>
      <c r="C91" s="99"/>
      <c r="D91" s="99"/>
      <c r="E91" s="99"/>
      <c r="F91" s="99"/>
      <c r="G91" s="99"/>
      <c r="H91" s="100"/>
    </row>
    <row r="92" ht="15.75" customHeight="1"/>
    <row r="93" ht="15.75" customHeight="1"/>
    <row r="94" ht="15.75" customHeight="1">
      <c r="A94" s="105" t="s">
        <v>493</v>
      </c>
      <c r="E94" s="55" t="s">
        <v>252</v>
      </c>
      <c r="F94" s="106"/>
      <c r="G94" s="55" t="s">
        <v>362</v>
      </c>
      <c r="H94" s="106"/>
    </row>
    <row r="95" ht="15.75" customHeight="1">
      <c r="A95" s="128" t="s">
        <v>369</v>
      </c>
    </row>
    <row r="96" ht="15.75" customHeight="1">
      <c r="A96" s="111" t="s">
        <v>266</v>
      </c>
      <c r="B96" s="25"/>
      <c r="C96" s="16"/>
      <c r="D96" s="16"/>
      <c r="E96" s="16"/>
      <c r="F96" s="16"/>
      <c r="G96" s="16"/>
      <c r="H96" s="18"/>
    </row>
    <row r="97" ht="15.75" customHeight="1">
      <c r="A97" s="111" t="s">
        <v>266</v>
      </c>
      <c r="B97" s="25"/>
      <c r="C97" s="16"/>
      <c r="D97" s="16"/>
      <c r="E97" s="16"/>
      <c r="F97" s="16"/>
      <c r="G97" s="16"/>
      <c r="H97" s="18"/>
    </row>
    <row r="98" ht="15.75" customHeight="1">
      <c r="A98" s="111" t="s">
        <v>266</v>
      </c>
      <c r="B98" s="25"/>
      <c r="C98" s="16"/>
      <c r="D98" s="16"/>
      <c r="E98" s="16"/>
      <c r="F98" s="16"/>
      <c r="G98" s="16"/>
      <c r="H98" s="18"/>
    </row>
    <row r="99" ht="15.75" customHeight="1">
      <c r="A99" s="111" t="s">
        <v>363</v>
      </c>
      <c r="B99" s="25"/>
      <c r="C99" s="16"/>
      <c r="D99" s="16"/>
      <c r="E99" s="16"/>
      <c r="F99" s="16"/>
      <c r="G99" s="16"/>
      <c r="H99" s="18"/>
    </row>
    <row r="100" ht="15.75" customHeight="1">
      <c r="A100" s="108" t="s">
        <v>365</v>
      </c>
      <c r="B100" s="16"/>
      <c r="C100" s="16"/>
      <c r="D100" s="16"/>
      <c r="E100" s="16"/>
      <c r="F100" s="16"/>
      <c r="G100" s="16"/>
      <c r="H100" s="18"/>
    </row>
    <row r="101" ht="15.75" customHeight="1">
      <c r="A101" s="134"/>
      <c r="B101" s="96"/>
      <c r="C101" s="96"/>
      <c r="D101" s="96"/>
      <c r="E101" s="96"/>
      <c r="F101" s="96"/>
      <c r="G101" s="96"/>
      <c r="H101" s="97"/>
    </row>
    <row r="102" ht="15.75" customHeight="1">
      <c r="A102" s="129"/>
      <c r="H102" s="130"/>
    </row>
    <row r="103" ht="15.75" customHeight="1">
      <c r="A103" s="98"/>
      <c r="B103" s="99"/>
      <c r="C103" s="99"/>
      <c r="D103" s="99"/>
      <c r="E103" s="99"/>
      <c r="F103" s="99"/>
      <c r="G103" s="99"/>
      <c r="H103" s="100"/>
    </row>
    <row r="104" ht="15.75" customHeight="1">
      <c r="A104" s="108" t="s">
        <v>366</v>
      </c>
      <c r="B104" s="16"/>
      <c r="C104" s="16"/>
      <c r="D104" s="16"/>
      <c r="E104" s="16"/>
      <c r="F104" s="16"/>
      <c r="G104" s="16"/>
      <c r="H104" s="18"/>
    </row>
    <row r="105" ht="15.75" customHeight="1">
      <c r="A105" s="134"/>
      <c r="B105" s="96"/>
      <c r="C105" s="96"/>
      <c r="D105" s="96"/>
      <c r="E105" s="96"/>
      <c r="F105" s="96"/>
      <c r="G105" s="96"/>
      <c r="H105" s="97"/>
    </row>
    <row r="106" ht="15.75" customHeight="1">
      <c r="A106" s="129"/>
      <c r="H106" s="130"/>
    </row>
    <row r="107" ht="15.75" customHeight="1">
      <c r="A107" s="129"/>
      <c r="H107" s="130"/>
    </row>
    <row r="108" ht="15.75" customHeight="1">
      <c r="A108" s="98"/>
      <c r="B108" s="99"/>
      <c r="C108" s="99"/>
      <c r="D108" s="99"/>
      <c r="E108" s="99"/>
      <c r="F108" s="99"/>
      <c r="G108" s="99"/>
      <c r="H108" s="100"/>
    </row>
    <row r="109" ht="15.75" customHeight="1"/>
    <row r="110" ht="15.75" customHeight="1"/>
    <row r="111" ht="15.75" customHeight="1">
      <c r="A111" s="105" t="s">
        <v>499</v>
      </c>
      <c r="E111" s="55" t="s">
        <v>252</v>
      </c>
      <c r="F111" s="106"/>
      <c r="G111" s="55" t="s">
        <v>362</v>
      </c>
      <c r="H111" s="106"/>
    </row>
    <row r="112" ht="15.75" customHeight="1">
      <c r="A112" s="128" t="s">
        <v>369</v>
      </c>
    </row>
    <row r="113" ht="15.75" customHeight="1">
      <c r="A113" s="111" t="s">
        <v>266</v>
      </c>
      <c r="B113" s="25"/>
      <c r="C113" s="16"/>
      <c r="D113" s="16"/>
      <c r="E113" s="16"/>
      <c r="F113" s="16"/>
      <c r="G113" s="16"/>
      <c r="H113" s="18"/>
    </row>
    <row r="114" ht="15.75" customHeight="1">
      <c r="A114" s="111" t="s">
        <v>266</v>
      </c>
      <c r="B114" s="25"/>
      <c r="C114" s="16"/>
      <c r="D114" s="16"/>
      <c r="E114" s="16"/>
      <c r="F114" s="16"/>
      <c r="G114" s="16"/>
      <c r="H114" s="18"/>
    </row>
    <row r="115" ht="15.75" customHeight="1">
      <c r="A115" s="111" t="s">
        <v>266</v>
      </c>
      <c r="B115" s="25"/>
      <c r="C115" s="16"/>
      <c r="D115" s="16"/>
      <c r="E115" s="16"/>
      <c r="F115" s="16"/>
      <c r="G115" s="16"/>
      <c r="H115" s="18"/>
    </row>
    <row r="116" ht="15.75" customHeight="1">
      <c r="A116" s="111" t="s">
        <v>363</v>
      </c>
      <c r="B116" s="25"/>
      <c r="C116" s="16"/>
      <c r="D116" s="16"/>
      <c r="E116" s="16"/>
      <c r="F116" s="16"/>
      <c r="G116" s="16"/>
      <c r="H116" s="18"/>
    </row>
    <row r="117" ht="15.75" customHeight="1">
      <c r="A117" s="108" t="s">
        <v>365</v>
      </c>
      <c r="B117" s="16"/>
      <c r="C117" s="16"/>
      <c r="D117" s="16"/>
      <c r="E117" s="16"/>
      <c r="F117" s="16"/>
      <c r="G117" s="16"/>
      <c r="H117" s="18"/>
    </row>
    <row r="118" ht="15.75" customHeight="1">
      <c r="A118" s="134"/>
      <c r="B118" s="96"/>
      <c r="C118" s="96"/>
      <c r="D118" s="96"/>
      <c r="E118" s="96"/>
      <c r="F118" s="96"/>
      <c r="G118" s="96"/>
      <c r="H118" s="97"/>
    </row>
    <row r="119" ht="15.75" customHeight="1">
      <c r="A119" s="129"/>
      <c r="H119" s="130"/>
    </row>
    <row r="120" ht="15.75" customHeight="1">
      <c r="A120" s="98"/>
      <c r="B120" s="99"/>
      <c r="C120" s="99"/>
      <c r="D120" s="99"/>
      <c r="E120" s="99"/>
      <c r="F120" s="99"/>
      <c r="G120" s="99"/>
      <c r="H120" s="100"/>
    </row>
    <row r="121" ht="15.75" customHeight="1">
      <c r="A121" s="108" t="s">
        <v>366</v>
      </c>
      <c r="B121" s="16"/>
      <c r="C121" s="16"/>
      <c r="D121" s="16"/>
      <c r="E121" s="16"/>
      <c r="F121" s="16"/>
      <c r="G121" s="16"/>
      <c r="H121" s="18"/>
    </row>
    <row r="122" ht="15.75" customHeight="1">
      <c r="A122" s="134"/>
      <c r="B122" s="96"/>
      <c r="C122" s="96"/>
      <c r="D122" s="96"/>
      <c r="E122" s="96"/>
      <c r="F122" s="96"/>
      <c r="G122" s="96"/>
      <c r="H122" s="97"/>
    </row>
    <row r="123" ht="15.75" customHeight="1">
      <c r="A123" s="129"/>
      <c r="H123" s="130"/>
    </row>
    <row r="124" ht="15.75" customHeight="1">
      <c r="A124" s="129"/>
      <c r="H124" s="130"/>
    </row>
    <row r="125" ht="15.75" customHeight="1">
      <c r="A125" s="98"/>
      <c r="B125" s="99"/>
      <c r="C125" s="99"/>
      <c r="D125" s="99"/>
      <c r="E125" s="99"/>
      <c r="F125" s="99"/>
      <c r="G125" s="99"/>
      <c r="H125" s="10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44" t="s">
        <v>107</v>
      </c>
    </row>
    <row r="3" ht="15.75" customHeight="1"/>
    <row r="4" ht="15.75" customHeight="1">
      <c r="B4" s="12" t="s">
        <v>2</v>
      </c>
      <c r="C4" s="25" t="str">
        <f>'Diseño'!C4</f>
        <v/>
      </c>
      <c r="D4" s="16"/>
      <c r="E4" s="16"/>
      <c r="F4" s="16"/>
      <c r="G4" s="18"/>
    </row>
    <row r="5" ht="15.75" customHeight="1">
      <c r="B5" s="102" t="s">
        <v>21</v>
      </c>
      <c r="C5" s="25">
        <f>H9+H26+H43+H60+H77+H94+H111+H128</f>
        <v>6</v>
      </c>
      <c r="D5" s="16"/>
      <c r="E5" s="16"/>
      <c r="F5" s="16"/>
      <c r="G5" s="18"/>
    </row>
    <row r="6" ht="15.75" customHeight="1">
      <c r="B6" s="102" t="s">
        <v>252</v>
      </c>
      <c r="C6" s="25">
        <f>F9+F26+F43+F60+F77+F94+F111+F128</f>
        <v>15</v>
      </c>
      <c r="D6" s="16"/>
      <c r="E6" s="16"/>
      <c r="F6" s="16"/>
      <c r="G6" s="18"/>
    </row>
    <row r="7" ht="15.75" customHeight="1">
      <c r="B7" s="21" t="s">
        <v>398</v>
      </c>
    </row>
    <row r="8" ht="15.75" customHeight="1"/>
    <row r="9" ht="15.75" customHeight="1">
      <c r="A9" s="105" t="s">
        <v>401</v>
      </c>
      <c r="E9" s="55" t="s">
        <v>252</v>
      </c>
      <c r="F9" s="106"/>
      <c r="G9" s="55" t="s">
        <v>362</v>
      </c>
      <c r="H9" s="106"/>
    </row>
    <row r="10" ht="15.75" customHeight="1">
      <c r="A10" s="21" t="s">
        <v>404</v>
      </c>
    </row>
    <row r="11" ht="15.75" customHeight="1">
      <c r="A11" s="111" t="s">
        <v>266</v>
      </c>
      <c r="B11" s="25"/>
      <c r="C11" s="16"/>
      <c r="D11" s="16"/>
      <c r="E11" s="16"/>
      <c r="F11" s="16"/>
      <c r="G11" s="16"/>
      <c r="H11" s="18"/>
    </row>
    <row r="12" ht="15.75" customHeight="1">
      <c r="A12" s="111" t="s">
        <v>266</v>
      </c>
      <c r="B12" s="25"/>
      <c r="C12" s="16"/>
      <c r="D12" s="16"/>
      <c r="E12" s="16"/>
      <c r="F12" s="16"/>
      <c r="G12" s="16"/>
      <c r="H12" s="18"/>
    </row>
    <row r="13" ht="15.75" customHeight="1">
      <c r="A13" s="111" t="s">
        <v>266</v>
      </c>
      <c r="B13" s="25"/>
      <c r="C13" s="16"/>
      <c r="D13" s="16"/>
      <c r="E13" s="16"/>
      <c r="F13" s="16"/>
      <c r="G13" s="16"/>
      <c r="H13" s="18"/>
    </row>
    <row r="14" ht="15.75" customHeight="1">
      <c r="A14" s="111" t="s">
        <v>363</v>
      </c>
      <c r="B14" s="25"/>
      <c r="C14" s="16"/>
      <c r="D14" s="16"/>
      <c r="E14" s="16"/>
      <c r="F14" s="16"/>
      <c r="G14" s="16"/>
      <c r="H14" s="18"/>
    </row>
    <row r="15" ht="15.75" customHeight="1">
      <c r="A15" s="108" t="s">
        <v>365</v>
      </c>
      <c r="B15" s="16"/>
      <c r="C15" s="16"/>
      <c r="D15" s="16"/>
      <c r="E15" s="16"/>
      <c r="F15" s="16"/>
      <c r="G15" s="16"/>
      <c r="H15" s="18"/>
    </row>
    <row r="16" ht="15.75" customHeight="1">
      <c r="A16" s="134"/>
      <c r="B16" s="96"/>
      <c r="C16" s="96"/>
      <c r="D16" s="96"/>
      <c r="E16" s="96"/>
      <c r="F16" s="96"/>
      <c r="G16" s="96"/>
      <c r="H16" s="97"/>
    </row>
    <row r="17" ht="15.75" customHeight="1">
      <c r="A17" s="129"/>
      <c r="H17" s="130"/>
    </row>
    <row r="18" ht="15.75" customHeight="1">
      <c r="A18" s="98"/>
      <c r="B18" s="99"/>
      <c r="C18" s="99"/>
      <c r="D18" s="99"/>
      <c r="E18" s="99"/>
      <c r="F18" s="99"/>
      <c r="G18" s="99"/>
      <c r="H18" s="100"/>
    </row>
    <row r="19" ht="15.75" customHeight="1">
      <c r="A19" s="108" t="s">
        <v>443</v>
      </c>
      <c r="B19" s="16"/>
      <c r="C19" s="16"/>
      <c r="D19" s="16"/>
      <c r="E19" s="16"/>
      <c r="F19" s="16"/>
      <c r="G19" s="16"/>
      <c r="H19" s="18"/>
    </row>
    <row r="20" ht="15.75" customHeight="1">
      <c r="A20" s="146"/>
      <c r="B20" s="96"/>
      <c r="C20" s="96"/>
      <c r="D20" s="96"/>
      <c r="E20" s="96"/>
      <c r="F20" s="96"/>
      <c r="G20" s="96"/>
      <c r="H20" s="97"/>
    </row>
    <row r="21" ht="15.75" customHeight="1">
      <c r="A21" s="129"/>
      <c r="H21" s="130"/>
    </row>
    <row r="22" ht="15.75" customHeight="1">
      <c r="A22" s="129"/>
      <c r="H22" s="130"/>
    </row>
    <row r="23" ht="15.75" customHeight="1">
      <c r="A23" s="98"/>
      <c r="B23" s="99"/>
      <c r="C23" s="99"/>
      <c r="D23" s="99"/>
      <c r="E23" s="99"/>
      <c r="F23" s="99"/>
      <c r="G23" s="99"/>
      <c r="H23" s="100"/>
    </row>
    <row r="24" ht="15.75" customHeight="1">
      <c r="A24" s="105"/>
      <c r="B24" s="105"/>
      <c r="C24" s="105"/>
      <c r="D24" s="105"/>
      <c r="E24" s="55"/>
      <c r="F24" s="147"/>
      <c r="G24" s="55"/>
      <c r="H24" s="147"/>
    </row>
    <row r="25" ht="15.75" customHeight="1">
      <c r="A25" s="105"/>
      <c r="B25" s="105"/>
      <c r="C25" s="105"/>
      <c r="D25" s="105"/>
      <c r="E25" s="55"/>
      <c r="F25" s="147"/>
      <c r="G25" s="55"/>
      <c r="H25" s="147"/>
    </row>
    <row r="26" ht="15.75" customHeight="1">
      <c r="A26" s="105" t="s">
        <v>469</v>
      </c>
      <c r="E26" s="55" t="s">
        <v>252</v>
      </c>
      <c r="F26" s="109">
        <v>5.0</v>
      </c>
      <c r="G26" s="55" t="s">
        <v>362</v>
      </c>
      <c r="H26" s="109">
        <v>2.0</v>
      </c>
    </row>
    <row r="27" ht="15.75" customHeight="1">
      <c r="A27" s="21" t="s">
        <v>374</v>
      </c>
    </row>
    <row r="28" ht="15.75" customHeight="1">
      <c r="A28" s="111" t="s">
        <v>266</v>
      </c>
      <c r="B28" s="29" t="s">
        <v>375</v>
      </c>
      <c r="C28" s="16"/>
      <c r="D28" s="16"/>
      <c r="E28" s="16"/>
      <c r="F28" s="16"/>
      <c r="G28" s="16"/>
      <c r="H28" s="18"/>
    </row>
    <row r="29" ht="15.75" customHeight="1">
      <c r="A29" s="111" t="s">
        <v>266</v>
      </c>
      <c r="B29" s="29" t="s">
        <v>418</v>
      </c>
      <c r="C29" s="16"/>
      <c r="D29" s="16"/>
      <c r="E29" s="16"/>
      <c r="F29" s="16"/>
      <c r="G29" s="16"/>
      <c r="H29" s="18"/>
    </row>
    <row r="30" ht="15.75" customHeight="1">
      <c r="A30" s="111" t="s">
        <v>266</v>
      </c>
      <c r="B30" s="29" t="s">
        <v>420</v>
      </c>
      <c r="C30" s="16"/>
      <c r="D30" s="16"/>
      <c r="E30" s="16"/>
      <c r="F30" s="16"/>
      <c r="G30" s="16"/>
      <c r="H30" s="18"/>
    </row>
    <row r="31" ht="15.75" customHeight="1">
      <c r="A31" s="111" t="s">
        <v>363</v>
      </c>
      <c r="B31" s="29" t="s">
        <v>485</v>
      </c>
      <c r="C31" s="16"/>
      <c r="D31" s="16"/>
      <c r="E31" s="16"/>
      <c r="F31" s="16"/>
      <c r="G31" s="16"/>
      <c r="H31" s="18"/>
    </row>
    <row r="32" ht="15.75" customHeight="1">
      <c r="A32" s="108" t="s">
        <v>365</v>
      </c>
      <c r="B32" s="16"/>
      <c r="C32" s="16"/>
      <c r="D32" s="16"/>
      <c r="E32" s="16"/>
      <c r="F32" s="16"/>
      <c r="G32" s="16"/>
      <c r="H32" s="18"/>
    </row>
    <row r="33" ht="15.75" customHeight="1">
      <c r="A33" s="125" t="s">
        <v>486</v>
      </c>
      <c r="B33" s="96"/>
      <c r="C33" s="96"/>
      <c r="D33" s="96"/>
      <c r="E33" s="96"/>
      <c r="F33" s="96"/>
      <c r="G33" s="96"/>
      <c r="H33" s="97"/>
    </row>
    <row r="34" ht="15.75" customHeight="1">
      <c r="A34" s="129"/>
      <c r="H34" s="130"/>
    </row>
    <row r="35" ht="15.75" customHeight="1">
      <c r="A35" s="98"/>
      <c r="B35" s="99"/>
      <c r="C35" s="99"/>
      <c r="D35" s="99"/>
      <c r="E35" s="99"/>
      <c r="F35" s="99"/>
      <c r="G35" s="99"/>
      <c r="H35" s="100"/>
    </row>
    <row r="36" ht="15.75" customHeight="1">
      <c r="A36" s="108" t="s">
        <v>366</v>
      </c>
      <c r="B36" s="16"/>
      <c r="C36" s="16"/>
      <c r="D36" s="16"/>
      <c r="E36" s="16"/>
      <c r="F36" s="16"/>
      <c r="G36" s="16"/>
      <c r="H36" s="18"/>
    </row>
    <row r="37" ht="15.75" customHeight="1">
      <c r="A37" s="125" t="s">
        <v>488</v>
      </c>
      <c r="B37" s="96"/>
      <c r="C37" s="96"/>
      <c r="D37" s="96"/>
      <c r="E37" s="96"/>
      <c r="F37" s="96"/>
      <c r="G37" s="96"/>
      <c r="H37" s="97"/>
    </row>
    <row r="38" ht="15.75" customHeight="1">
      <c r="A38" s="129"/>
      <c r="H38" s="130"/>
    </row>
    <row r="39" ht="15.75" customHeight="1">
      <c r="A39" s="129"/>
      <c r="H39" s="130"/>
    </row>
    <row r="40" ht="15.75" customHeight="1">
      <c r="A40" s="98"/>
      <c r="B40" s="99"/>
      <c r="C40" s="99"/>
      <c r="D40" s="99"/>
      <c r="E40" s="99"/>
      <c r="F40" s="99"/>
      <c r="G40" s="99"/>
      <c r="H40" s="100"/>
    </row>
    <row r="41" ht="15.75" customHeight="1"/>
    <row r="42" ht="15.75" customHeight="1"/>
    <row r="43" ht="15.75" customHeight="1">
      <c r="A43" s="105" t="s">
        <v>489</v>
      </c>
      <c r="E43" s="55" t="s">
        <v>252</v>
      </c>
      <c r="F43" s="109">
        <v>5.0</v>
      </c>
      <c r="G43" s="55" t="s">
        <v>362</v>
      </c>
      <c r="H43" s="109">
        <v>2.0</v>
      </c>
    </row>
    <row r="44" ht="15.75" customHeight="1">
      <c r="A44" s="21" t="s">
        <v>374</v>
      </c>
    </row>
    <row r="45" ht="15.75" customHeight="1">
      <c r="A45" s="111" t="s">
        <v>266</v>
      </c>
      <c r="B45" s="29" t="s">
        <v>420</v>
      </c>
      <c r="C45" s="16"/>
      <c r="D45" s="16"/>
      <c r="E45" s="16"/>
      <c r="F45" s="16"/>
      <c r="G45" s="16"/>
      <c r="H45" s="18"/>
    </row>
    <row r="46" ht="15.75" customHeight="1">
      <c r="A46" s="111" t="s">
        <v>266</v>
      </c>
      <c r="B46" s="29" t="s">
        <v>383</v>
      </c>
      <c r="C46" s="16"/>
      <c r="D46" s="16"/>
      <c r="E46" s="16"/>
      <c r="F46" s="16"/>
      <c r="G46" s="16"/>
      <c r="H46" s="18"/>
    </row>
    <row r="47" ht="15.75" customHeight="1">
      <c r="A47" s="111" t="s">
        <v>266</v>
      </c>
      <c r="B47" s="29" t="s">
        <v>376</v>
      </c>
      <c r="C47" s="16"/>
      <c r="D47" s="16"/>
      <c r="E47" s="16"/>
      <c r="F47" s="16"/>
      <c r="G47" s="16"/>
      <c r="H47" s="18"/>
    </row>
    <row r="48" ht="15.75" customHeight="1">
      <c r="A48" s="111" t="s">
        <v>363</v>
      </c>
      <c r="B48" s="29" t="s">
        <v>490</v>
      </c>
      <c r="C48" s="16"/>
      <c r="D48" s="16"/>
      <c r="E48" s="16"/>
      <c r="F48" s="16"/>
      <c r="G48" s="16"/>
      <c r="H48" s="18"/>
    </row>
    <row r="49" ht="15.75" customHeight="1">
      <c r="A49" s="108" t="s">
        <v>365</v>
      </c>
      <c r="B49" s="16"/>
      <c r="C49" s="16"/>
      <c r="D49" s="16"/>
      <c r="E49" s="16"/>
      <c r="F49" s="16"/>
      <c r="G49" s="16"/>
      <c r="H49" s="18"/>
    </row>
    <row r="50" ht="15.75" customHeight="1">
      <c r="A50" s="125" t="s">
        <v>491</v>
      </c>
      <c r="B50" s="96"/>
      <c r="C50" s="96"/>
      <c r="D50" s="96"/>
      <c r="E50" s="96"/>
      <c r="F50" s="96"/>
      <c r="G50" s="96"/>
      <c r="H50" s="97"/>
    </row>
    <row r="51" ht="15.75" customHeight="1">
      <c r="A51" s="129"/>
      <c r="H51" s="130"/>
    </row>
    <row r="52" ht="15.75" customHeight="1">
      <c r="A52" s="98"/>
      <c r="B52" s="99"/>
      <c r="C52" s="99"/>
      <c r="D52" s="99"/>
      <c r="E52" s="99"/>
      <c r="F52" s="99"/>
      <c r="G52" s="99"/>
      <c r="H52" s="100"/>
    </row>
    <row r="53" ht="15.75" customHeight="1">
      <c r="A53" s="108" t="s">
        <v>366</v>
      </c>
      <c r="B53" s="16"/>
      <c r="C53" s="16"/>
      <c r="D53" s="16"/>
      <c r="E53" s="16"/>
      <c r="F53" s="16"/>
      <c r="G53" s="16"/>
      <c r="H53" s="18"/>
    </row>
    <row r="54" ht="15.75" customHeight="1">
      <c r="A54" s="148" t="s">
        <v>492</v>
      </c>
      <c r="B54" s="96"/>
      <c r="C54" s="96"/>
      <c r="D54" s="96"/>
      <c r="E54" s="96"/>
      <c r="F54" s="96"/>
      <c r="G54" s="96"/>
      <c r="H54" s="97"/>
    </row>
    <row r="55" ht="15.75" customHeight="1">
      <c r="A55" s="129"/>
      <c r="H55" s="130"/>
    </row>
    <row r="56" ht="15.75" customHeight="1">
      <c r="A56" s="129"/>
      <c r="H56" s="130"/>
    </row>
    <row r="57" ht="15.75" customHeight="1">
      <c r="A57" s="98"/>
      <c r="B57" s="99"/>
      <c r="C57" s="99"/>
      <c r="D57" s="99"/>
      <c r="E57" s="99"/>
      <c r="F57" s="99"/>
      <c r="G57" s="99"/>
      <c r="H57" s="100"/>
    </row>
    <row r="58" ht="15.75" customHeight="1"/>
    <row r="59" ht="15.75" customHeight="1"/>
    <row r="60" ht="15.75" customHeight="1">
      <c r="A60" s="105" t="s">
        <v>494</v>
      </c>
      <c r="E60" s="55" t="s">
        <v>252</v>
      </c>
      <c r="F60" s="109">
        <v>5.0</v>
      </c>
      <c r="G60" s="55" t="s">
        <v>362</v>
      </c>
      <c r="H60" s="109">
        <v>2.0</v>
      </c>
    </row>
    <row r="61" ht="15.75" customHeight="1">
      <c r="A61" s="128" t="s">
        <v>369</v>
      </c>
    </row>
    <row r="62" ht="15.75" customHeight="1">
      <c r="A62" s="111" t="s">
        <v>266</v>
      </c>
      <c r="B62" s="29" t="s">
        <v>495</v>
      </c>
      <c r="C62" s="16"/>
      <c r="D62" s="16"/>
      <c r="E62" s="16"/>
      <c r="F62" s="16"/>
      <c r="G62" s="16"/>
      <c r="H62" s="18"/>
    </row>
    <row r="63" ht="15.75" customHeight="1">
      <c r="A63" s="111" t="s">
        <v>266</v>
      </c>
      <c r="B63" s="145" t="s">
        <v>496</v>
      </c>
    </row>
    <row r="64" ht="15.75" customHeight="1">
      <c r="A64" s="111" t="s">
        <v>266</v>
      </c>
      <c r="B64" s="25"/>
      <c r="C64" s="16"/>
      <c r="D64" s="16"/>
      <c r="E64" s="16"/>
      <c r="F64" s="16"/>
      <c r="G64" s="16"/>
      <c r="H64" s="18"/>
    </row>
    <row r="65" ht="15.75" customHeight="1">
      <c r="A65" s="111" t="s">
        <v>363</v>
      </c>
      <c r="B65" s="25"/>
      <c r="C65" s="16"/>
      <c r="D65" s="16"/>
      <c r="E65" s="16"/>
      <c r="F65" s="16"/>
      <c r="G65" s="16"/>
      <c r="H65" s="18"/>
    </row>
    <row r="66" ht="15.75" customHeight="1">
      <c r="A66" s="108" t="s">
        <v>365</v>
      </c>
      <c r="B66" s="16"/>
      <c r="C66" s="16"/>
      <c r="D66" s="16"/>
      <c r="E66" s="16"/>
      <c r="F66" s="16"/>
      <c r="G66" s="16"/>
      <c r="H66" s="18"/>
    </row>
    <row r="67" ht="15.75" customHeight="1">
      <c r="A67" s="149" t="s">
        <v>497</v>
      </c>
      <c r="B67" s="96"/>
      <c r="C67" s="96"/>
      <c r="D67" s="96"/>
      <c r="E67" s="96"/>
      <c r="F67" s="96"/>
      <c r="G67" s="96"/>
      <c r="H67" s="97"/>
    </row>
    <row r="68" ht="15.75" customHeight="1">
      <c r="A68" s="129"/>
      <c r="H68" s="130"/>
    </row>
    <row r="69" ht="15.75" customHeight="1">
      <c r="A69" s="98"/>
      <c r="B69" s="99"/>
      <c r="C69" s="99"/>
      <c r="D69" s="99"/>
      <c r="E69" s="99"/>
      <c r="F69" s="99"/>
      <c r="G69" s="99"/>
      <c r="H69" s="100"/>
    </row>
    <row r="70" ht="15.75" customHeight="1">
      <c r="A70" s="108" t="s">
        <v>366</v>
      </c>
      <c r="B70" s="16"/>
      <c r="C70" s="16"/>
      <c r="D70" s="16"/>
      <c r="E70" s="16"/>
      <c r="F70" s="16"/>
      <c r="G70" s="16"/>
      <c r="H70" s="18"/>
    </row>
    <row r="71" ht="15.75" customHeight="1">
      <c r="A71" s="125" t="s">
        <v>498</v>
      </c>
      <c r="B71" s="96"/>
      <c r="C71" s="96"/>
      <c r="D71" s="96"/>
      <c r="E71" s="96"/>
      <c r="F71" s="96"/>
      <c r="G71" s="96"/>
      <c r="H71" s="97"/>
    </row>
    <row r="72" ht="15.75" customHeight="1">
      <c r="A72" s="129"/>
      <c r="H72" s="130"/>
    </row>
    <row r="73" ht="15.75" customHeight="1">
      <c r="A73" s="129"/>
      <c r="H73" s="130"/>
    </row>
    <row r="74" ht="15.75" customHeight="1">
      <c r="A74" s="98"/>
      <c r="B74" s="99"/>
      <c r="C74" s="99"/>
      <c r="D74" s="99"/>
      <c r="E74" s="99"/>
      <c r="F74" s="99"/>
      <c r="G74" s="99"/>
      <c r="H74" s="100"/>
    </row>
    <row r="75" ht="15.75" customHeight="1"/>
    <row r="76" ht="15.75" customHeight="1"/>
    <row r="77" ht="15.75" customHeight="1">
      <c r="A77" s="105" t="s">
        <v>500</v>
      </c>
      <c r="E77" s="55" t="s">
        <v>252</v>
      </c>
      <c r="F77" s="106"/>
      <c r="G77" s="55" t="s">
        <v>362</v>
      </c>
      <c r="H77" s="106"/>
    </row>
    <row r="78" ht="15.75" customHeight="1">
      <c r="A78" s="128" t="s">
        <v>369</v>
      </c>
    </row>
    <row r="79" ht="15.75" customHeight="1">
      <c r="A79" s="111" t="s">
        <v>266</v>
      </c>
      <c r="B79" s="25"/>
      <c r="C79" s="16"/>
      <c r="D79" s="16"/>
      <c r="E79" s="16"/>
      <c r="F79" s="16"/>
      <c r="G79" s="16"/>
      <c r="H79" s="18"/>
    </row>
    <row r="80" ht="15.75" customHeight="1">
      <c r="A80" s="111" t="s">
        <v>266</v>
      </c>
      <c r="B80" s="25"/>
      <c r="C80" s="16"/>
      <c r="D80" s="16"/>
      <c r="E80" s="16"/>
      <c r="F80" s="16"/>
      <c r="G80" s="16"/>
      <c r="H80" s="18"/>
    </row>
    <row r="81" ht="15.75" customHeight="1">
      <c r="A81" s="111" t="s">
        <v>266</v>
      </c>
      <c r="B81" s="25"/>
      <c r="C81" s="16"/>
      <c r="D81" s="16"/>
      <c r="E81" s="16"/>
      <c r="F81" s="16"/>
      <c r="G81" s="16"/>
      <c r="H81" s="18"/>
    </row>
    <row r="82" ht="15.75" customHeight="1">
      <c r="A82" s="111" t="s">
        <v>363</v>
      </c>
      <c r="B82" s="25"/>
      <c r="C82" s="16"/>
      <c r="D82" s="16"/>
      <c r="E82" s="16"/>
      <c r="F82" s="16"/>
      <c r="G82" s="16"/>
      <c r="H82" s="18"/>
    </row>
    <row r="83" ht="15.75" customHeight="1">
      <c r="A83" s="108" t="s">
        <v>365</v>
      </c>
      <c r="B83" s="16"/>
      <c r="C83" s="16"/>
      <c r="D83" s="16"/>
      <c r="E83" s="16"/>
      <c r="F83" s="16"/>
      <c r="G83" s="16"/>
      <c r="H83" s="18"/>
    </row>
    <row r="84" ht="15.75" customHeight="1">
      <c r="A84" s="134"/>
      <c r="B84" s="96"/>
      <c r="C84" s="96"/>
      <c r="D84" s="96"/>
      <c r="E84" s="96"/>
      <c r="F84" s="96"/>
      <c r="G84" s="96"/>
      <c r="H84" s="97"/>
    </row>
    <row r="85" ht="15.75" customHeight="1">
      <c r="A85" s="129"/>
      <c r="H85" s="130"/>
    </row>
    <row r="86" ht="15.75" customHeight="1">
      <c r="A86" s="98"/>
      <c r="B86" s="99"/>
      <c r="C86" s="99"/>
      <c r="D86" s="99"/>
      <c r="E86" s="99"/>
      <c r="F86" s="99"/>
      <c r="G86" s="99"/>
      <c r="H86" s="100"/>
    </row>
    <row r="87" ht="15.75" customHeight="1">
      <c r="A87" s="108" t="s">
        <v>366</v>
      </c>
      <c r="B87" s="16"/>
      <c r="C87" s="16"/>
      <c r="D87" s="16"/>
      <c r="E87" s="16"/>
      <c r="F87" s="16"/>
      <c r="G87" s="16"/>
      <c r="H87" s="18"/>
    </row>
    <row r="88" ht="15.75" customHeight="1">
      <c r="A88" s="134"/>
      <c r="B88" s="96"/>
      <c r="C88" s="96"/>
      <c r="D88" s="96"/>
      <c r="E88" s="96"/>
      <c r="F88" s="96"/>
      <c r="G88" s="96"/>
      <c r="H88" s="97"/>
    </row>
    <row r="89" ht="15.75" customHeight="1">
      <c r="A89" s="129"/>
      <c r="H89" s="130"/>
    </row>
    <row r="90" ht="15.75" customHeight="1">
      <c r="A90" s="129"/>
      <c r="H90" s="130"/>
    </row>
    <row r="91" ht="15.75" customHeight="1">
      <c r="A91" s="98"/>
      <c r="B91" s="99"/>
      <c r="C91" s="99"/>
      <c r="D91" s="99"/>
      <c r="E91" s="99"/>
      <c r="F91" s="99"/>
      <c r="G91" s="99"/>
      <c r="H91" s="100"/>
    </row>
    <row r="92" ht="15.75" customHeight="1"/>
    <row r="93" ht="15.75" customHeight="1"/>
    <row r="94" ht="15.75" customHeight="1">
      <c r="A94" s="105" t="s">
        <v>501</v>
      </c>
      <c r="E94" s="55" t="s">
        <v>252</v>
      </c>
      <c r="F94" s="106"/>
      <c r="G94" s="55" t="s">
        <v>362</v>
      </c>
      <c r="H94" s="106"/>
    </row>
    <row r="95" ht="15.75" customHeight="1">
      <c r="A95" s="128" t="s">
        <v>369</v>
      </c>
    </row>
    <row r="96" ht="15.75" customHeight="1">
      <c r="A96" s="111" t="s">
        <v>266</v>
      </c>
      <c r="B96" s="25"/>
      <c r="C96" s="16"/>
      <c r="D96" s="16"/>
      <c r="E96" s="16"/>
      <c r="F96" s="16"/>
      <c r="G96" s="16"/>
      <c r="H96" s="18"/>
    </row>
    <row r="97" ht="15.75" customHeight="1">
      <c r="A97" s="111" t="s">
        <v>266</v>
      </c>
      <c r="B97" s="25"/>
      <c r="C97" s="16"/>
      <c r="D97" s="16"/>
      <c r="E97" s="16"/>
      <c r="F97" s="16"/>
      <c r="G97" s="16"/>
      <c r="H97" s="18"/>
    </row>
    <row r="98" ht="15.75" customHeight="1">
      <c r="A98" s="111" t="s">
        <v>266</v>
      </c>
      <c r="B98" s="25"/>
      <c r="C98" s="16"/>
      <c r="D98" s="16"/>
      <c r="E98" s="16"/>
      <c r="F98" s="16"/>
      <c r="G98" s="16"/>
      <c r="H98" s="18"/>
    </row>
    <row r="99" ht="15.75" customHeight="1">
      <c r="A99" s="111" t="s">
        <v>363</v>
      </c>
      <c r="B99" s="25"/>
      <c r="C99" s="16"/>
      <c r="D99" s="16"/>
      <c r="E99" s="16"/>
      <c r="F99" s="16"/>
      <c r="G99" s="16"/>
      <c r="H99" s="18"/>
    </row>
    <row r="100" ht="15.75" customHeight="1">
      <c r="A100" s="108" t="s">
        <v>365</v>
      </c>
      <c r="B100" s="16"/>
      <c r="C100" s="16"/>
      <c r="D100" s="16"/>
      <c r="E100" s="16"/>
      <c r="F100" s="16"/>
      <c r="G100" s="16"/>
      <c r="H100" s="18"/>
    </row>
    <row r="101" ht="15.75" customHeight="1">
      <c r="A101" s="134"/>
      <c r="B101" s="96"/>
      <c r="C101" s="96"/>
      <c r="D101" s="96"/>
      <c r="E101" s="96"/>
      <c r="F101" s="96"/>
      <c r="G101" s="96"/>
      <c r="H101" s="97"/>
    </row>
    <row r="102" ht="15.75" customHeight="1">
      <c r="A102" s="129"/>
      <c r="H102" s="130"/>
    </row>
    <row r="103" ht="15.75" customHeight="1">
      <c r="A103" s="98"/>
      <c r="B103" s="99"/>
      <c r="C103" s="99"/>
      <c r="D103" s="99"/>
      <c r="E103" s="99"/>
      <c r="F103" s="99"/>
      <c r="G103" s="99"/>
      <c r="H103" s="100"/>
    </row>
    <row r="104" ht="15.75" customHeight="1">
      <c r="A104" s="108" t="s">
        <v>366</v>
      </c>
      <c r="B104" s="16"/>
      <c r="C104" s="16"/>
      <c r="D104" s="16"/>
      <c r="E104" s="16"/>
      <c r="F104" s="16"/>
      <c r="G104" s="16"/>
      <c r="H104" s="18"/>
    </row>
    <row r="105" ht="15.75" customHeight="1">
      <c r="A105" s="134"/>
      <c r="B105" s="96"/>
      <c r="C105" s="96"/>
      <c r="D105" s="96"/>
      <c r="E105" s="96"/>
      <c r="F105" s="96"/>
      <c r="G105" s="96"/>
      <c r="H105" s="97"/>
    </row>
    <row r="106" ht="15.75" customHeight="1">
      <c r="A106" s="129"/>
      <c r="H106" s="130"/>
    </row>
    <row r="107" ht="15.75" customHeight="1">
      <c r="A107" s="129"/>
      <c r="H107" s="130"/>
    </row>
    <row r="108" ht="15.75" customHeight="1">
      <c r="A108" s="98"/>
      <c r="B108" s="99"/>
      <c r="C108" s="99"/>
      <c r="D108" s="99"/>
      <c r="E108" s="99"/>
      <c r="F108" s="99"/>
      <c r="G108" s="99"/>
      <c r="H108" s="100"/>
    </row>
    <row r="109" ht="15.75" customHeight="1"/>
    <row r="110" ht="15.75" customHeight="1"/>
    <row r="111" ht="15.75" customHeight="1">
      <c r="A111" s="105" t="s">
        <v>502</v>
      </c>
      <c r="E111" s="55" t="s">
        <v>252</v>
      </c>
      <c r="F111" s="106"/>
      <c r="G111" s="55" t="s">
        <v>362</v>
      </c>
      <c r="H111" s="106"/>
    </row>
    <row r="112" ht="15.75" customHeight="1">
      <c r="A112" s="128" t="s">
        <v>369</v>
      </c>
    </row>
    <row r="113" ht="15.75" customHeight="1">
      <c r="A113" s="111" t="s">
        <v>266</v>
      </c>
      <c r="B113" s="25"/>
      <c r="C113" s="16"/>
      <c r="D113" s="16"/>
      <c r="E113" s="16"/>
      <c r="F113" s="16"/>
      <c r="G113" s="16"/>
      <c r="H113" s="18"/>
    </row>
    <row r="114" ht="15.75" customHeight="1">
      <c r="A114" s="111" t="s">
        <v>266</v>
      </c>
      <c r="B114" s="25"/>
      <c r="C114" s="16"/>
      <c r="D114" s="16"/>
      <c r="E114" s="16"/>
      <c r="F114" s="16"/>
      <c r="G114" s="16"/>
      <c r="H114" s="18"/>
    </row>
    <row r="115" ht="15.75" customHeight="1">
      <c r="A115" s="111" t="s">
        <v>266</v>
      </c>
      <c r="B115" s="25"/>
      <c r="C115" s="16"/>
      <c r="D115" s="16"/>
      <c r="E115" s="16"/>
      <c r="F115" s="16"/>
      <c r="G115" s="16"/>
      <c r="H115" s="18"/>
    </row>
    <row r="116" ht="15.75" customHeight="1">
      <c r="A116" s="111" t="s">
        <v>363</v>
      </c>
      <c r="B116" s="25"/>
      <c r="C116" s="16"/>
      <c r="D116" s="16"/>
      <c r="E116" s="16"/>
      <c r="F116" s="16"/>
      <c r="G116" s="16"/>
      <c r="H116" s="18"/>
    </row>
    <row r="117" ht="15.75" customHeight="1">
      <c r="A117" s="108" t="s">
        <v>365</v>
      </c>
      <c r="B117" s="16"/>
      <c r="C117" s="16"/>
      <c r="D117" s="16"/>
      <c r="E117" s="16"/>
      <c r="F117" s="16"/>
      <c r="G117" s="16"/>
      <c r="H117" s="18"/>
    </row>
    <row r="118" ht="15.75" customHeight="1">
      <c r="A118" s="134"/>
      <c r="B118" s="96"/>
      <c r="C118" s="96"/>
      <c r="D118" s="96"/>
      <c r="E118" s="96"/>
      <c r="F118" s="96"/>
      <c r="G118" s="96"/>
      <c r="H118" s="97"/>
    </row>
    <row r="119" ht="15.75" customHeight="1">
      <c r="A119" s="129"/>
      <c r="H119" s="130"/>
    </row>
    <row r="120" ht="15.75" customHeight="1">
      <c r="A120" s="98"/>
      <c r="B120" s="99"/>
      <c r="C120" s="99"/>
      <c r="D120" s="99"/>
      <c r="E120" s="99"/>
      <c r="F120" s="99"/>
      <c r="G120" s="99"/>
      <c r="H120" s="100"/>
    </row>
    <row r="121" ht="15.75" customHeight="1">
      <c r="A121" s="108" t="s">
        <v>366</v>
      </c>
      <c r="B121" s="16"/>
      <c r="C121" s="16"/>
      <c r="D121" s="16"/>
      <c r="E121" s="16"/>
      <c r="F121" s="16"/>
      <c r="G121" s="16"/>
      <c r="H121" s="18"/>
    </row>
    <row r="122" ht="15.75" customHeight="1">
      <c r="A122" s="134"/>
      <c r="B122" s="96"/>
      <c r="C122" s="96"/>
      <c r="D122" s="96"/>
      <c r="E122" s="96"/>
      <c r="F122" s="96"/>
      <c r="G122" s="96"/>
      <c r="H122" s="97"/>
    </row>
    <row r="123" ht="15.75" customHeight="1">
      <c r="A123" s="129"/>
      <c r="H123" s="130"/>
    </row>
    <row r="124" ht="15.75" customHeight="1">
      <c r="A124" s="129"/>
      <c r="H124" s="130"/>
    </row>
    <row r="125" ht="15.75" customHeight="1">
      <c r="A125" s="98"/>
      <c r="B125" s="99"/>
      <c r="C125" s="99"/>
      <c r="D125" s="99"/>
      <c r="E125" s="99"/>
      <c r="F125" s="99"/>
      <c r="G125" s="99"/>
      <c r="H125" s="100"/>
    </row>
    <row r="126" ht="15.75" customHeight="1"/>
    <row r="127" ht="15.75" customHeight="1"/>
    <row r="128" ht="15.75" customHeight="1">
      <c r="A128" s="105" t="s">
        <v>503</v>
      </c>
      <c r="E128" s="55" t="s">
        <v>252</v>
      </c>
      <c r="F128" s="106"/>
      <c r="G128" s="55" t="s">
        <v>362</v>
      </c>
      <c r="H128" s="106"/>
    </row>
    <row r="129" ht="15.75" customHeight="1">
      <c r="A129" s="128" t="s">
        <v>369</v>
      </c>
    </row>
    <row r="130" ht="15.75" customHeight="1">
      <c r="A130" s="111" t="s">
        <v>266</v>
      </c>
      <c r="B130" s="25"/>
      <c r="C130" s="16"/>
      <c r="D130" s="16"/>
      <c r="E130" s="16"/>
      <c r="F130" s="16"/>
      <c r="G130" s="16"/>
      <c r="H130" s="18"/>
    </row>
    <row r="131" ht="15.75" customHeight="1">
      <c r="A131" s="111" t="s">
        <v>266</v>
      </c>
      <c r="B131" s="25"/>
      <c r="C131" s="16"/>
      <c r="D131" s="16"/>
      <c r="E131" s="16"/>
      <c r="F131" s="16"/>
      <c r="G131" s="16"/>
      <c r="H131" s="18"/>
    </row>
    <row r="132" ht="15.75" customHeight="1">
      <c r="A132" s="111" t="s">
        <v>266</v>
      </c>
      <c r="B132" s="25"/>
      <c r="C132" s="16"/>
      <c r="D132" s="16"/>
      <c r="E132" s="16"/>
      <c r="F132" s="16"/>
      <c r="G132" s="16"/>
      <c r="H132" s="18"/>
    </row>
    <row r="133" ht="15.75" customHeight="1">
      <c r="A133" s="111" t="s">
        <v>363</v>
      </c>
      <c r="B133" s="25"/>
      <c r="C133" s="16"/>
      <c r="D133" s="16"/>
      <c r="E133" s="16"/>
      <c r="F133" s="16"/>
      <c r="G133" s="16"/>
      <c r="H133" s="18"/>
    </row>
    <row r="134" ht="15.75" customHeight="1">
      <c r="A134" s="108" t="s">
        <v>365</v>
      </c>
      <c r="B134" s="16"/>
      <c r="C134" s="16"/>
      <c r="D134" s="16"/>
      <c r="E134" s="16"/>
      <c r="F134" s="16"/>
      <c r="G134" s="16"/>
      <c r="H134" s="18"/>
    </row>
    <row r="135" ht="15.75" customHeight="1">
      <c r="A135" s="134"/>
      <c r="B135" s="96"/>
      <c r="C135" s="96"/>
      <c r="D135" s="96"/>
      <c r="E135" s="96"/>
      <c r="F135" s="96"/>
      <c r="G135" s="96"/>
      <c r="H135" s="97"/>
    </row>
    <row r="136" ht="15.75" customHeight="1">
      <c r="A136" s="129"/>
      <c r="H136" s="130"/>
    </row>
    <row r="137" ht="15.75" customHeight="1">
      <c r="A137" s="98"/>
      <c r="B137" s="99"/>
      <c r="C137" s="99"/>
      <c r="D137" s="99"/>
      <c r="E137" s="99"/>
      <c r="F137" s="99"/>
      <c r="G137" s="99"/>
      <c r="H137" s="100"/>
    </row>
    <row r="138" ht="15.75" customHeight="1">
      <c r="A138" s="108" t="s">
        <v>366</v>
      </c>
      <c r="B138" s="16"/>
      <c r="C138" s="16"/>
      <c r="D138" s="16"/>
      <c r="E138" s="16"/>
      <c r="F138" s="16"/>
      <c r="G138" s="16"/>
      <c r="H138" s="18"/>
    </row>
    <row r="139" ht="15.75" customHeight="1">
      <c r="A139" s="134"/>
      <c r="B139" s="96"/>
      <c r="C139" s="96"/>
      <c r="D139" s="96"/>
      <c r="E139" s="96"/>
      <c r="F139" s="96"/>
      <c r="G139" s="96"/>
      <c r="H139" s="97"/>
    </row>
    <row r="140" ht="15.75" customHeight="1">
      <c r="A140" s="129"/>
      <c r="H140" s="130"/>
    </row>
    <row r="141" ht="15.75" customHeight="1">
      <c r="A141" s="129"/>
      <c r="H141" s="130"/>
    </row>
    <row r="142" ht="15.75" customHeight="1">
      <c r="A142" s="98"/>
      <c r="B142" s="99"/>
      <c r="C142" s="99"/>
      <c r="D142" s="99"/>
      <c r="E142" s="99"/>
      <c r="F142" s="99"/>
      <c r="G142" s="99"/>
      <c r="H142" s="100"/>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 B64 B79:B81 B96:B98 B113:B115 B130:B132">
      <formula1>Metadata!$I$17:$I$40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10" t="s">
        <v>381</v>
      </c>
      <c r="B1" s="10" t="s">
        <v>382</v>
      </c>
      <c r="C1" s="10" t="s">
        <v>11</v>
      </c>
      <c r="D1" s="10" t="s">
        <v>16</v>
      </c>
    </row>
    <row r="2">
      <c r="A2" s="10" t="s">
        <v>384</v>
      </c>
      <c r="B2" s="10" t="str">
        <f>Competencias!C13</f>
        <v>aplica modelos, métodos y artefactos de gestión de proyectos mediante el uso de herramientas de planificación, simulación y monitoreo para resolver escenarios comunes en proyectos y mejorar la toma de decisiones en la gestión de proyectos tecnológicos </v>
      </c>
      <c r="C2" s="1" t="s">
        <v>385</v>
      </c>
      <c r="D2" s="1" t="s">
        <v>386</v>
      </c>
    </row>
    <row r="3">
      <c r="A3" s="10" t="s">
        <v>388</v>
      </c>
      <c r="B3" s="10" t="str">
        <f>Competencias!C15</f>
        <v>integra estructura de desglose de trabajo (EDT) utilizando herramientas de planificación como Project Libre para organizar tareas y entregables en proyectos complejos </v>
      </c>
      <c r="C3" s="1" t="s">
        <v>389</v>
      </c>
      <c r="D3" s="1" t="s">
        <v>390</v>
      </c>
    </row>
    <row r="4">
      <c r="A4" s="10" t="s">
        <v>391</v>
      </c>
      <c r="B4" s="10" t="str">
        <f>Competencias!C17</f>
        <v>revisa riesgos y variables críticas en proyectos empleando técnicas de identificación y evaluación de riesgos para la formulación de estrategias de mitigación y control </v>
      </c>
      <c r="C4" s="1" t="s">
        <v>23</v>
      </c>
      <c r="D4" s="1" t="s">
        <v>392</v>
      </c>
    </row>
    <row r="5">
      <c r="A5" s="10" t="s">
        <v>394</v>
      </c>
      <c r="B5" s="10" t="str">
        <f>Competencias!C19</f>
        <v>integra principios de calidad, eficiencia y control de tiempos mediante el uso de cronogramas, presupuestos y simuladores para mejorar el desempeño y cumplimiento de los objetivos de proyectos de TI </v>
      </c>
      <c r="C5" s="1" t="s">
        <v>46</v>
      </c>
      <c r="D5" s="1" t="s">
        <v>33</v>
      </c>
    </row>
    <row r="6">
      <c r="A6" s="10" t="s">
        <v>395</v>
      </c>
      <c r="B6" s="10" t="str">
        <f>Competencias!C21</f>
        <v>combina prácticas ágiles de gestión de proyectos a través del uso de marcos como Scrum y Kanban para la ejecución iterativa de entregables y mejora continua del equipo </v>
      </c>
      <c r="C6" s="1" t="s">
        <v>62</v>
      </c>
      <c r="D6" s="1" t="s">
        <v>396</v>
      </c>
    </row>
    <row r="7">
      <c r="A7" s="10" t="s">
        <v>397</v>
      </c>
      <c r="B7" s="10" t="str">
        <f>Competencias!C23</f>
        <v>valida el desempeño de proyectos tecnológicos utilizando el método del valor ganado (EVM) y reportes de avance para tomar decisiones correctivas basadas en datos objetivos </v>
      </c>
      <c r="C7" s="1" t="s">
        <v>400</v>
      </c>
      <c r="D7" s="1" t="s">
        <v>54</v>
      </c>
    </row>
    <row r="8">
      <c r="A8" s="10" t="s">
        <v>402</v>
      </c>
      <c r="B8" s="10" t="str">
        <f>Competencias!C25</f>
        <v>define requisitos y objetivos de proyectos tecnológicos mediante métodos de recolección y análisis de información para establecer el alcance y éxito del proyecto en entornos organizacionales </v>
      </c>
      <c r="C8" s="1" t="s">
        <v>403</v>
      </c>
      <c r="D8" s="1" t="s">
        <v>71</v>
      </c>
    </row>
    <row r="9">
      <c r="A9" s="10" t="s">
        <v>405</v>
      </c>
      <c r="B9" s="145" t="s">
        <v>309</v>
      </c>
      <c r="C9" s="1" t="s">
        <v>406</v>
      </c>
    </row>
    <row r="10">
      <c r="A10" s="10" t="s">
        <v>408</v>
      </c>
      <c r="B10" s="145" t="s">
        <v>311</v>
      </c>
      <c r="C10" s="1" t="s">
        <v>409</v>
      </c>
    </row>
    <row r="11">
      <c r="A11" s="10" t="s">
        <v>410</v>
      </c>
      <c r="B11" s="145" t="s">
        <v>324</v>
      </c>
    </row>
    <row r="12">
      <c r="A12" s="10" t="s">
        <v>411</v>
      </c>
      <c r="B12" s="145" t="s">
        <v>325</v>
      </c>
    </row>
    <row r="13">
      <c r="A13" s="10" t="s">
        <v>412</v>
      </c>
      <c r="B13" s="145" t="s">
        <v>329</v>
      </c>
    </row>
    <row r="14">
      <c r="A14" s="10" t="s">
        <v>413</v>
      </c>
      <c r="B14" s="145" t="s">
        <v>330</v>
      </c>
    </row>
    <row r="15">
      <c r="A15" s="10" t="s">
        <v>414</v>
      </c>
    </row>
    <row r="16">
      <c r="A16" s="10" t="s">
        <v>415</v>
      </c>
    </row>
    <row r="17">
      <c r="A17" s="10" t="s">
        <v>416</v>
      </c>
      <c r="I17" s="145" t="s">
        <v>375</v>
      </c>
    </row>
    <row r="18">
      <c r="A18" s="10" t="s">
        <v>417</v>
      </c>
      <c r="I18" s="145" t="s">
        <v>418</v>
      </c>
    </row>
    <row r="19">
      <c r="A19" s="10" t="s">
        <v>419</v>
      </c>
      <c r="I19" s="145" t="s">
        <v>420</v>
      </c>
    </row>
    <row r="20">
      <c r="A20" s="10" t="s">
        <v>421</v>
      </c>
      <c r="I20" s="145" t="s">
        <v>383</v>
      </c>
    </row>
    <row r="21">
      <c r="A21" s="10" t="s">
        <v>422</v>
      </c>
      <c r="I21" s="145" t="s">
        <v>376</v>
      </c>
    </row>
    <row r="22">
      <c r="A22" s="10" t="s">
        <v>423</v>
      </c>
    </row>
    <row r="23">
      <c r="A23" s="10" t="s">
        <v>424</v>
      </c>
    </row>
    <row r="24">
      <c r="A24" s="10" t="s">
        <v>425</v>
      </c>
    </row>
    <row r="25">
      <c r="A25" s="10" t="s">
        <v>426</v>
      </c>
    </row>
    <row r="26">
      <c r="A26" s="10" t="s">
        <v>427</v>
      </c>
    </row>
    <row r="27">
      <c r="A27" s="10" t="s">
        <v>428</v>
      </c>
    </row>
    <row r="28">
      <c r="A28" s="10" t="s">
        <v>429</v>
      </c>
    </row>
    <row r="29">
      <c r="A29" s="10" t="s">
        <v>430</v>
      </c>
    </row>
    <row r="30">
      <c r="A30" s="10" t="s">
        <v>431</v>
      </c>
    </row>
    <row r="31">
      <c r="A31" s="10" t="s">
        <v>432</v>
      </c>
    </row>
    <row r="32">
      <c r="A32" s="10" t="s">
        <v>433</v>
      </c>
    </row>
    <row r="33">
      <c r="A33" s="10" t="s">
        <v>434</v>
      </c>
    </row>
    <row r="34">
      <c r="A34" s="10" t="s">
        <v>435</v>
      </c>
    </row>
    <row r="35">
      <c r="A35" s="10" t="s">
        <v>436</v>
      </c>
    </row>
    <row r="36">
      <c r="A36" s="10" t="s">
        <v>437</v>
      </c>
    </row>
    <row r="37">
      <c r="A37" s="10" t="s">
        <v>438</v>
      </c>
    </row>
    <row r="38">
      <c r="A38" s="10" t="s">
        <v>439</v>
      </c>
    </row>
    <row r="39">
      <c r="A39" s="10" t="s">
        <v>440</v>
      </c>
    </row>
    <row r="40">
      <c r="A40" s="10" t="s">
        <v>441</v>
      </c>
    </row>
    <row r="41">
      <c r="A41" s="10" t="s">
        <v>442</v>
      </c>
    </row>
    <row r="42">
      <c r="A42" s="10" t="s">
        <v>444</v>
      </c>
    </row>
    <row r="43">
      <c r="A43" s="10" t="s">
        <v>445</v>
      </c>
    </row>
    <row r="44">
      <c r="A44" s="10" t="s">
        <v>4</v>
      </c>
    </row>
    <row r="45">
      <c r="A45" s="10" t="s">
        <v>446</v>
      </c>
    </row>
    <row r="46">
      <c r="A46" s="10" t="s">
        <v>447</v>
      </c>
    </row>
    <row r="47">
      <c r="A47" s="10" t="s">
        <v>448</v>
      </c>
    </row>
    <row r="48">
      <c r="A48" s="10" t="s">
        <v>449</v>
      </c>
    </row>
    <row r="49">
      <c r="A49" s="10" t="s">
        <v>450</v>
      </c>
    </row>
    <row r="50">
      <c r="A50" s="10" t="s">
        <v>451</v>
      </c>
    </row>
    <row r="51">
      <c r="A51" s="10" t="s">
        <v>452</v>
      </c>
    </row>
    <row r="52">
      <c r="A52" s="10" t="s">
        <v>453</v>
      </c>
    </row>
    <row r="53">
      <c r="A53" s="10" t="s">
        <v>455</v>
      </c>
    </row>
    <row r="54">
      <c r="A54" s="10" t="s">
        <v>456</v>
      </c>
    </row>
    <row r="55">
      <c r="A55" s="10" t="s">
        <v>457</v>
      </c>
    </row>
    <row r="56">
      <c r="A56" s="10" t="s">
        <v>458</v>
      </c>
    </row>
    <row r="57">
      <c r="A57" s="10" t="s">
        <v>459</v>
      </c>
    </row>
    <row r="58">
      <c r="A58" s="10" t="s">
        <v>460</v>
      </c>
    </row>
    <row r="59">
      <c r="A59" s="10" t="s">
        <v>461</v>
      </c>
    </row>
    <row r="60">
      <c r="A60" s="10" t="s">
        <v>462</v>
      </c>
    </row>
    <row r="61">
      <c r="A61" s="10" t="s">
        <v>463</v>
      </c>
    </row>
    <row r="62">
      <c r="A62" s="10" t="s">
        <v>464</v>
      </c>
    </row>
    <row r="63">
      <c r="A63" s="10" t="s">
        <v>465</v>
      </c>
    </row>
    <row r="64">
      <c r="A64" s="10" t="s">
        <v>466</v>
      </c>
    </row>
    <row r="65">
      <c r="A65" s="10" t="s">
        <v>467</v>
      </c>
    </row>
    <row r="66">
      <c r="A66" s="10" t="s">
        <v>468</v>
      </c>
    </row>
    <row r="67">
      <c r="A67" s="10" t="s">
        <v>470</v>
      </c>
    </row>
    <row r="68">
      <c r="A68" s="10" t="s">
        <v>471</v>
      </c>
    </row>
    <row r="69">
      <c r="A69" s="10" t="s">
        <v>472</v>
      </c>
    </row>
    <row r="70">
      <c r="A70" s="10" t="s">
        <v>473</v>
      </c>
    </row>
    <row r="71">
      <c r="A71" s="10" t="s">
        <v>474</v>
      </c>
    </row>
    <row r="72">
      <c r="A72" s="10" t="s">
        <v>475</v>
      </c>
    </row>
    <row r="73">
      <c r="A73" s="10" t="s">
        <v>476</v>
      </c>
    </row>
    <row r="74">
      <c r="A74" s="10" t="s">
        <v>477</v>
      </c>
    </row>
    <row r="75">
      <c r="A75" s="10" t="s">
        <v>478</v>
      </c>
    </row>
    <row r="76">
      <c r="A76" s="10" t="s">
        <v>479</v>
      </c>
    </row>
    <row r="77">
      <c r="A77" s="10" t="s">
        <v>480</v>
      </c>
    </row>
    <row r="78">
      <c r="A78" s="10" t="s">
        <v>481</v>
      </c>
    </row>
    <row r="79">
      <c r="A79" s="10" t="s">
        <v>482</v>
      </c>
    </row>
    <row r="80">
      <c r="A80" s="10" t="s">
        <v>483</v>
      </c>
    </row>
    <row r="81">
      <c r="A81" s="10" t="s">
        <v>484</v>
      </c>
    </row>
  </sheetData>
  <drawing r:id="rId1"/>
</worksheet>
</file>